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cj_me\OneDrive\桌面\submit\"/>
    </mc:Choice>
  </mc:AlternateContent>
  <xr:revisionPtr revIDLastSave="0" documentId="13_ncr:1_{B1DB7B74-202F-4266-9C51-BCA38DBFAE10}" xr6:coauthVersionLast="45" xr6:coauthVersionMax="45" xr10:uidLastSave="{00000000-0000-0000-0000-000000000000}"/>
  <bookViews>
    <workbookView xWindow="-90" yWindow="-90" windowWidth="19380" windowHeight="10380" tabRatio="904" xr2:uid="{00000000-000D-0000-FFFF-FFFF00000000}"/>
  </bookViews>
  <sheets>
    <sheet name="Official Summary" sheetId="28" r:id="rId1"/>
    <sheet name="Summary II" sheetId="48" r:id="rId2"/>
    <sheet name="Assumptions" sheetId="33" r:id="rId3"/>
    <sheet name="Parcel Breakdown" sheetId="43" r:id="rId4"/>
    <sheet name="S&amp;U" sheetId="32" r:id="rId5"/>
    <sheet name="Budget" sheetId="31" r:id="rId6"/>
    <sheet name="Infra" sheetId="45" r:id="rId7"/>
    <sheet name="Acquisition &amp; Sales" sheetId="46" r:id="rId8"/>
    <sheet name="Taxes and TIF" sheetId="35" r:id="rId9"/>
    <sheet name="Loan Sizing" sheetId="39" r:id="rId10"/>
    <sheet name="Phase I Pro Forma" sheetId="38" r:id="rId11"/>
    <sheet name="Phase II Pro Forma" sheetId="40" r:id="rId12"/>
    <sheet name="Phase III Pro Forma" sheetId="41" r:id="rId13"/>
    <sheet name="Cash Flow Roll-up" sheetId="42" r:id="rId14"/>
    <sheet name="Public Benefits" sheetId="47" r:id="rId15"/>
    <sheet name="Parcels" sheetId="49" r:id="rId16"/>
  </sheets>
  <definedNames>
    <definedName name="_xlnm.Print_Area" localSheetId="0">'Official Summary'!$A$1:$O$133</definedName>
    <definedName name="_xlnm.Print_Area" localSheetId="1">'Summary II'!$A$1:$V$108</definedName>
  </definedNames>
  <calcPr calcId="191029" calcMode="autoNoTable" iterate="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8" i="31" l="1"/>
  <c r="F184" i="33"/>
  <c r="G15" i="45"/>
  <c r="F104" i="48"/>
  <c r="F102" i="48"/>
  <c r="F101" i="48"/>
  <c r="F100" i="48"/>
  <c r="F99" i="48"/>
  <c r="F86" i="48"/>
  <c r="F76" i="33"/>
  <c r="F72" i="33"/>
  <c r="F68" i="33"/>
  <c r="F64" i="33"/>
  <c r="F160" i="33"/>
  <c r="P104" i="43"/>
  <c r="O104" i="43"/>
  <c r="L89" i="43"/>
  <c r="L85" i="43"/>
  <c r="K85" i="43"/>
  <c r="P197" i="40"/>
  <c r="J197" i="40"/>
  <c r="P17" i="38"/>
  <c r="J17" i="38"/>
  <c r="I17" i="38"/>
  <c r="K22" i="38"/>
  <c r="R104" i="43" l="1"/>
  <c r="R105" i="43" s="1"/>
  <c r="R106" i="43" s="1"/>
  <c r="Q107" i="43" s="1"/>
  <c r="B441" i="40" l="1"/>
  <c r="B412" i="40"/>
  <c r="B426" i="40" s="1"/>
  <c r="B310" i="40"/>
  <c r="O192" i="33"/>
  <c r="O188" i="33"/>
  <c r="B272" i="40"/>
  <c r="K85" i="49"/>
  <c r="D60" i="46"/>
  <c r="D61" i="46" s="1"/>
  <c r="D59" i="46"/>
  <c r="E66" i="46"/>
  <c r="D66" i="46"/>
  <c r="U15" i="35"/>
  <c r="W15" i="35"/>
  <c r="G52" i="45"/>
  <c r="F52" i="45"/>
  <c r="E52" i="45"/>
  <c r="F80" i="33"/>
  <c r="P188" i="33"/>
  <c r="N188" i="33"/>
  <c r="G19" i="48"/>
  <c r="J9" i="31"/>
  <c r="I9" i="31"/>
  <c r="H9" i="31"/>
  <c r="I35" i="45" l="1"/>
  <c r="H35" i="45"/>
  <c r="G35" i="45"/>
  <c r="D53" i="46"/>
  <c r="D55" i="46" s="1"/>
  <c r="E53" i="46"/>
  <c r="G18" i="46"/>
  <c r="G19" i="46" s="1"/>
  <c r="E7" i="46" s="1"/>
  <c r="J23" i="31" s="1"/>
  <c r="E6" i="46"/>
  <c r="I23" i="31" s="1"/>
  <c r="E18" i="46"/>
  <c r="R50" i="33"/>
  <c r="E4" i="46"/>
  <c r="M85" i="49"/>
  <c r="N84" i="49" s="1"/>
  <c r="O84" i="49"/>
  <c r="O83" i="49"/>
  <c r="N83" i="49"/>
  <c r="O82" i="49"/>
  <c r="O81" i="49"/>
  <c r="N81" i="49"/>
  <c r="O80" i="49"/>
  <c r="O79" i="49"/>
  <c r="N79" i="49"/>
  <c r="O78" i="49"/>
  <c r="O77" i="49"/>
  <c r="N77" i="49"/>
  <c r="O76" i="49"/>
  <c r="O75" i="49"/>
  <c r="N75" i="49"/>
  <c r="O74" i="49"/>
  <c r="O73" i="49"/>
  <c r="N73" i="49"/>
  <c r="O72" i="49"/>
  <c r="O71" i="49"/>
  <c r="N71" i="49"/>
  <c r="O70" i="49"/>
  <c r="O69" i="49"/>
  <c r="N69" i="49"/>
  <c r="O68" i="49"/>
  <c r="O67" i="49"/>
  <c r="N67" i="49"/>
  <c r="O66" i="49"/>
  <c r="O65" i="49"/>
  <c r="N65" i="49"/>
  <c r="O64" i="49"/>
  <c r="N64" i="49"/>
  <c r="O63" i="49"/>
  <c r="N63" i="49"/>
  <c r="O62" i="49"/>
  <c r="N62" i="49"/>
  <c r="O61" i="49"/>
  <c r="N61" i="49"/>
  <c r="O60" i="49"/>
  <c r="N60" i="49"/>
  <c r="O59" i="49"/>
  <c r="N59" i="49"/>
  <c r="O58" i="49"/>
  <c r="N58" i="49"/>
  <c r="O57" i="49"/>
  <c r="N57" i="49"/>
  <c r="O56" i="49"/>
  <c r="N56" i="49"/>
  <c r="O55" i="49"/>
  <c r="N55" i="49"/>
  <c r="O54" i="49"/>
  <c r="N54" i="49"/>
  <c r="O53" i="49"/>
  <c r="N53" i="49"/>
  <c r="O52" i="49"/>
  <c r="N52" i="49"/>
  <c r="O51" i="49"/>
  <c r="N51" i="49"/>
  <c r="O50" i="49"/>
  <c r="N50" i="49"/>
  <c r="O49" i="49"/>
  <c r="N49" i="49"/>
  <c r="O48" i="49"/>
  <c r="N48" i="49"/>
  <c r="O47" i="49"/>
  <c r="N47" i="49"/>
  <c r="O46" i="49"/>
  <c r="N46" i="49"/>
  <c r="O45" i="49"/>
  <c r="N45" i="49"/>
  <c r="O44" i="49"/>
  <c r="N44" i="49"/>
  <c r="O43" i="49"/>
  <c r="N43" i="49"/>
  <c r="O42" i="49"/>
  <c r="N42" i="49"/>
  <c r="O41" i="49"/>
  <c r="N41" i="49"/>
  <c r="O40" i="49"/>
  <c r="N40" i="49"/>
  <c r="O39" i="49"/>
  <c r="N39" i="49"/>
  <c r="O38" i="49"/>
  <c r="N38" i="49"/>
  <c r="O37" i="49"/>
  <c r="N37" i="49"/>
  <c r="O36" i="49"/>
  <c r="N36" i="49"/>
  <c r="O35" i="49"/>
  <c r="N35" i="49"/>
  <c r="O34" i="49"/>
  <c r="N34" i="49"/>
  <c r="O33" i="49"/>
  <c r="N33" i="49"/>
  <c r="O32" i="49"/>
  <c r="N32" i="49"/>
  <c r="O31" i="49"/>
  <c r="N31" i="49"/>
  <c r="O30" i="49"/>
  <c r="N30" i="49"/>
  <c r="O29" i="49"/>
  <c r="N29" i="49"/>
  <c r="O28" i="49"/>
  <c r="N28" i="49"/>
  <c r="O27" i="49"/>
  <c r="N27" i="49"/>
  <c r="O26" i="49"/>
  <c r="N26" i="49"/>
  <c r="O25" i="49"/>
  <c r="N25" i="49"/>
  <c r="O24" i="49"/>
  <c r="N24" i="49"/>
  <c r="O23" i="49"/>
  <c r="N23" i="49"/>
  <c r="O22" i="49"/>
  <c r="N22" i="49"/>
  <c r="O21" i="49"/>
  <c r="N21" i="49"/>
  <c r="O20" i="49"/>
  <c r="N20" i="49"/>
  <c r="O19" i="49"/>
  <c r="N19" i="49"/>
  <c r="O18" i="49"/>
  <c r="N18" i="49"/>
  <c r="O17" i="49"/>
  <c r="N17" i="49"/>
  <c r="O16" i="49"/>
  <c r="N16" i="49"/>
  <c r="O15" i="49"/>
  <c r="N15" i="49"/>
  <c r="O14" i="49"/>
  <c r="N14" i="49"/>
  <c r="O13" i="49"/>
  <c r="N13" i="49"/>
  <c r="O12" i="49"/>
  <c r="N12" i="49"/>
  <c r="O11" i="49"/>
  <c r="N11" i="49"/>
  <c r="O10" i="49"/>
  <c r="N10" i="49"/>
  <c r="O9" i="49"/>
  <c r="N9" i="49"/>
  <c r="O8" i="49"/>
  <c r="N8" i="49"/>
  <c r="O7" i="49"/>
  <c r="N7" i="49"/>
  <c r="O6" i="49"/>
  <c r="N6" i="49"/>
  <c r="O5" i="49"/>
  <c r="N5" i="49"/>
  <c r="O4" i="49"/>
  <c r="N4" i="49"/>
  <c r="O3" i="49"/>
  <c r="N3" i="49"/>
  <c r="O2" i="49"/>
  <c r="N2" i="49"/>
  <c r="N189" i="33"/>
  <c r="P189" i="33"/>
  <c r="O189" i="33"/>
  <c r="P176" i="33"/>
  <c r="O176" i="33"/>
  <c r="N176" i="33"/>
  <c r="H10" i="45" l="1"/>
  <c r="N66" i="49"/>
  <c r="O86" i="49" s="1"/>
  <c r="N68" i="49"/>
  <c r="N70" i="49"/>
  <c r="N72" i="49"/>
  <c r="N74" i="49"/>
  <c r="N76" i="49"/>
  <c r="N78" i="49"/>
  <c r="N80" i="49"/>
  <c r="N82" i="49"/>
  <c r="L25" i="32" l="1"/>
  <c r="L24" i="32"/>
  <c r="L23" i="32"/>
  <c r="L22" i="32"/>
  <c r="G6" i="45" l="1"/>
  <c r="F33" i="39"/>
  <c r="P145" i="33"/>
  <c r="P42" i="33"/>
  <c r="O42" i="33"/>
  <c r="P41" i="33"/>
  <c r="N40" i="33"/>
  <c r="O38" i="33"/>
  <c r="N36" i="33"/>
  <c r="P35" i="33"/>
  <c r="N34" i="33"/>
  <c r="K94" i="43"/>
  <c r="H177" i="33"/>
  <c r="F177" i="33"/>
  <c r="H80" i="33"/>
  <c r="H76" i="33"/>
  <c r="H72" i="33"/>
  <c r="H68" i="33"/>
  <c r="H64" i="33"/>
  <c r="G53" i="33"/>
  <c r="H53" i="33" s="1"/>
  <c r="G49" i="33"/>
  <c r="H49" i="33" s="1"/>
  <c r="G45" i="33"/>
  <c r="H45" i="33" s="1"/>
  <c r="G41" i="33"/>
  <c r="H41" i="33" s="1"/>
  <c r="G37" i="33"/>
  <c r="H37" i="33" s="1"/>
  <c r="H126" i="33"/>
  <c r="H165" i="33"/>
  <c r="G165" i="33"/>
  <c r="G166" i="33" s="1"/>
  <c r="G161" i="33"/>
  <c r="F166" i="33"/>
  <c r="H164" i="33"/>
  <c r="G134" i="33"/>
  <c r="H134" i="33" s="1"/>
  <c r="F45" i="33"/>
  <c r="H51" i="33"/>
  <c r="G51" i="33"/>
  <c r="F51" i="33"/>
  <c r="F53" i="33" s="1"/>
  <c r="H47" i="33"/>
  <c r="H43" i="33"/>
  <c r="G43" i="33"/>
  <c r="F43" i="33"/>
  <c r="H39" i="33"/>
  <c r="G39" i="33"/>
  <c r="F39" i="33"/>
  <c r="F41" i="33" s="1"/>
  <c r="F56" i="33"/>
  <c r="H35" i="33"/>
  <c r="G35" i="33"/>
  <c r="F35" i="33"/>
  <c r="F37" i="33" s="1"/>
  <c r="E47" i="33"/>
  <c r="G47" i="33" s="1"/>
  <c r="F47" i="33" l="1"/>
  <c r="F49" i="33" s="1"/>
  <c r="F36" i="33"/>
  <c r="G22" i="33" l="1"/>
  <c r="H22" i="33" s="1"/>
  <c r="E22" i="33" l="1"/>
  <c r="G54" i="45" l="1"/>
  <c r="F54" i="45"/>
  <c r="M4" i="31"/>
  <c r="M22" i="31" s="1"/>
  <c r="M73" i="31" s="1"/>
  <c r="A156" i="39"/>
  <c r="A157" i="39" s="1"/>
  <c r="A158" i="39" s="1"/>
  <c r="A159" i="39" s="1"/>
  <c r="A160" i="39" s="1"/>
  <c r="A161" i="39" s="1"/>
  <c r="A162" i="39" s="1"/>
  <c r="B173" i="39"/>
  <c r="B172" i="39"/>
  <c r="B171" i="39"/>
  <c r="B170" i="39"/>
  <c r="B169" i="39"/>
  <c r="B168" i="39"/>
  <c r="B167" i="39"/>
  <c r="B166" i="39"/>
  <c r="AV3" i="31"/>
  <c r="AW3" i="31" s="1"/>
  <c r="AU4" i="31"/>
  <c r="AU22" i="31" s="1"/>
  <c r="AU78" i="31" s="1"/>
  <c r="A127" i="39"/>
  <c r="A128" i="39" s="1"/>
  <c r="A129" i="39" s="1"/>
  <c r="A130" i="39" s="1"/>
  <c r="A131" i="39" s="1"/>
  <c r="A132" i="39" s="1"/>
  <c r="A133" i="39" s="1"/>
  <c r="B144" i="39"/>
  <c r="B143" i="39"/>
  <c r="B142" i="39"/>
  <c r="B141" i="39"/>
  <c r="B140" i="39"/>
  <c r="B139" i="39"/>
  <c r="B138" i="39"/>
  <c r="B137" i="39"/>
  <c r="M2" i="43"/>
  <c r="AK3" i="31"/>
  <c r="AJ4" i="31"/>
  <c r="AJ22" i="31" s="1"/>
  <c r="AJ78" i="31" s="1"/>
  <c r="A98" i="39"/>
  <c r="A99" i="39" s="1"/>
  <c r="A100" i="39" s="1"/>
  <c r="A101" i="39" s="1"/>
  <c r="A102" i="39" s="1"/>
  <c r="A103" i="39" s="1"/>
  <c r="A104" i="39" s="1"/>
  <c r="B115" i="39"/>
  <c r="B114" i="39"/>
  <c r="B113" i="39"/>
  <c r="B112" i="39"/>
  <c r="B111" i="39"/>
  <c r="B110" i="39"/>
  <c r="B109" i="39"/>
  <c r="B108" i="39"/>
  <c r="B86" i="39"/>
  <c r="B85" i="39"/>
  <c r="B84" i="39"/>
  <c r="B83" i="39"/>
  <c r="B82" i="39"/>
  <c r="B81" i="39"/>
  <c r="B80" i="39"/>
  <c r="B79" i="39"/>
  <c r="Z3" i="31"/>
  <c r="Z4" i="31" s="1"/>
  <c r="Z22" i="31" s="1"/>
  <c r="Z26" i="31" s="1"/>
  <c r="AA3" i="31"/>
  <c r="AB3" i="31" s="1"/>
  <c r="Y4" i="31"/>
  <c r="Y22" i="31" s="1"/>
  <c r="AR8" i="43"/>
  <c r="H62" i="45"/>
  <c r="H63" i="45" s="1"/>
  <c r="G62" i="45"/>
  <c r="G63" i="45" s="1"/>
  <c r="I62" i="45"/>
  <c r="I63" i="45" s="1"/>
  <c r="G10" i="45"/>
  <c r="G18" i="45"/>
  <c r="J18" i="45" s="1"/>
  <c r="H18" i="45"/>
  <c r="E62" i="45"/>
  <c r="E63" i="45"/>
  <c r="F62" i="45"/>
  <c r="F63" i="45" s="1"/>
  <c r="I10" i="45"/>
  <c r="I18" i="45"/>
  <c r="H105" i="48"/>
  <c r="H106" i="48" s="1"/>
  <c r="G105" i="48"/>
  <c r="G106" i="48" s="1"/>
  <c r="F105" i="48"/>
  <c r="F106" i="48" s="1"/>
  <c r="H120" i="33"/>
  <c r="H118" i="33"/>
  <c r="G120" i="33"/>
  <c r="G118" i="33"/>
  <c r="F120" i="33"/>
  <c r="F118" i="33"/>
  <c r="H83" i="48"/>
  <c r="H84" i="48" s="1"/>
  <c r="H86" i="48"/>
  <c r="H87" i="48" s="1"/>
  <c r="G86" i="48"/>
  <c r="G87" i="48" s="1"/>
  <c r="D45" i="48"/>
  <c r="D47" i="48" s="1"/>
  <c r="H33" i="48"/>
  <c r="G33" i="48"/>
  <c r="A12" i="35"/>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F83" i="48"/>
  <c r="F80" i="48"/>
  <c r="F79" i="48"/>
  <c r="H104" i="48"/>
  <c r="G104" i="48"/>
  <c r="H102" i="48"/>
  <c r="G102" i="48"/>
  <c r="F148" i="33"/>
  <c r="H101" i="48"/>
  <c r="G101" i="48"/>
  <c r="H100" i="48"/>
  <c r="G100" i="48"/>
  <c r="H99" i="48"/>
  <c r="G99" i="48"/>
  <c r="B94" i="48"/>
  <c r="H93" i="48"/>
  <c r="G93" i="48"/>
  <c r="F93" i="48"/>
  <c r="E93" i="48"/>
  <c r="G83" i="48"/>
  <c r="G84" i="48" s="1"/>
  <c r="G80" i="48"/>
  <c r="H79" i="48"/>
  <c r="H80" i="48" s="1"/>
  <c r="G79" i="48"/>
  <c r="H73" i="48"/>
  <c r="G73" i="48"/>
  <c r="E73" i="48"/>
  <c r="H72" i="48"/>
  <c r="G72" i="48"/>
  <c r="H71" i="48"/>
  <c r="G71" i="48"/>
  <c r="H70" i="48"/>
  <c r="G70" i="48"/>
  <c r="H69" i="48"/>
  <c r="G69" i="48"/>
  <c r="E69" i="48"/>
  <c r="J19" i="32"/>
  <c r="T70" i="48" s="1"/>
  <c r="I19" i="32"/>
  <c r="R70" i="48" s="1"/>
  <c r="H19" i="32"/>
  <c r="P70" i="48" s="1"/>
  <c r="H66" i="48"/>
  <c r="G66" i="48"/>
  <c r="H65" i="48"/>
  <c r="G65" i="48"/>
  <c r="H64" i="48"/>
  <c r="G64" i="48"/>
  <c r="H63" i="48"/>
  <c r="G63" i="48"/>
  <c r="H62" i="48"/>
  <c r="G62" i="48"/>
  <c r="T62" i="48"/>
  <c r="R62" i="48"/>
  <c r="P62" i="48"/>
  <c r="T61" i="48"/>
  <c r="R61" i="48"/>
  <c r="P61" i="48"/>
  <c r="G56" i="48"/>
  <c r="F56" i="48"/>
  <c r="D55" i="48"/>
  <c r="H52" i="48"/>
  <c r="G52" i="48"/>
  <c r="B52" i="48"/>
  <c r="G51" i="48"/>
  <c r="F51" i="48"/>
  <c r="B51" i="48"/>
  <c r="H50" i="48"/>
  <c r="G50" i="48"/>
  <c r="B50" i="48"/>
  <c r="H54" i="39"/>
  <c r="T43" i="48" s="1"/>
  <c r="G54" i="39"/>
  <c r="R43" i="48" s="1"/>
  <c r="F54" i="39"/>
  <c r="P43" i="48" s="1"/>
  <c r="G39" i="48"/>
  <c r="F39" i="48"/>
  <c r="F40" i="48" s="1"/>
  <c r="H49" i="39"/>
  <c r="T41" i="48" s="1"/>
  <c r="G49" i="39"/>
  <c r="R41" i="48"/>
  <c r="F49" i="39"/>
  <c r="P41" i="48" s="1"/>
  <c r="B36" i="48"/>
  <c r="B83" i="48" s="1"/>
  <c r="H57" i="39"/>
  <c r="T38" i="48" s="1"/>
  <c r="G57" i="39"/>
  <c r="R38" i="48" s="1"/>
  <c r="F57" i="39"/>
  <c r="P38" i="48" s="1"/>
  <c r="B33" i="48"/>
  <c r="B80" i="48" s="1"/>
  <c r="H38" i="39"/>
  <c r="T34" i="48" s="1"/>
  <c r="G38" i="39"/>
  <c r="R34" i="48" s="1"/>
  <c r="F38" i="39"/>
  <c r="P34" i="48" s="1"/>
  <c r="B79" i="48"/>
  <c r="H33" i="39"/>
  <c r="T32" i="48" s="1"/>
  <c r="G33" i="39"/>
  <c r="R32" i="48" s="1"/>
  <c r="P32" i="48"/>
  <c r="H41" i="39"/>
  <c r="T29" i="48" s="1"/>
  <c r="G41" i="39"/>
  <c r="R29" i="48" s="1"/>
  <c r="F41" i="39"/>
  <c r="P29" i="48" s="1"/>
  <c r="B26" i="48"/>
  <c r="H22" i="39"/>
  <c r="T25" i="48" s="1"/>
  <c r="G22" i="39"/>
  <c r="R25" i="48" s="1"/>
  <c r="F22" i="39"/>
  <c r="P25" i="48" s="1"/>
  <c r="B25" i="48"/>
  <c r="B24" i="48"/>
  <c r="H12" i="39"/>
  <c r="T23" i="48" s="1"/>
  <c r="G12" i="39"/>
  <c r="R23" i="48" s="1"/>
  <c r="F12" i="39"/>
  <c r="P23" i="48" s="1"/>
  <c r="B23" i="48"/>
  <c r="B22" i="48"/>
  <c r="T20" i="48"/>
  <c r="R20" i="48"/>
  <c r="P20" i="48"/>
  <c r="D19" i="48"/>
  <c r="D26" i="48" s="1"/>
  <c r="D18" i="48"/>
  <c r="D25" i="48" s="1"/>
  <c r="D17" i="48"/>
  <c r="D24" i="48" s="1"/>
  <c r="D16" i="48"/>
  <c r="D23" i="48" s="1"/>
  <c r="L15" i="48"/>
  <c r="D15" i="48"/>
  <c r="D22" i="48" s="1"/>
  <c r="L12" i="48"/>
  <c r="L11" i="48"/>
  <c r="L10" i="48"/>
  <c r="L9" i="48"/>
  <c r="L7" i="48"/>
  <c r="L6" i="48"/>
  <c r="H6" i="48"/>
  <c r="G6" i="48"/>
  <c r="F6" i="48"/>
  <c r="B86" i="48"/>
  <c r="G40" i="48"/>
  <c r="N68" i="33"/>
  <c r="P68" i="33"/>
  <c r="AU8" i="47"/>
  <c r="AT8" i="47"/>
  <c r="AS8" i="47"/>
  <c r="AR8" i="47"/>
  <c r="AQ8" i="47"/>
  <c r="AP8" i="47"/>
  <c r="AO8" i="47"/>
  <c r="AN8" i="47"/>
  <c r="AM8" i="47"/>
  <c r="AL8" i="47"/>
  <c r="AK8" i="47"/>
  <c r="AJ8" i="47"/>
  <c r="AI8" i="47"/>
  <c r="AH8" i="47"/>
  <c r="AG8" i="47"/>
  <c r="AF8" i="47"/>
  <c r="AE8" i="47"/>
  <c r="AD8" i="47"/>
  <c r="AC8" i="47"/>
  <c r="AB8" i="47"/>
  <c r="AU7" i="47"/>
  <c r="AT7" i="47"/>
  <c r="AS7" i="47"/>
  <c r="AR7" i="47"/>
  <c r="AQ7" i="47"/>
  <c r="AP7" i="47"/>
  <c r="AO7" i="47"/>
  <c r="AN7" i="47"/>
  <c r="AM7" i="47"/>
  <c r="AL7" i="47"/>
  <c r="AK7" i="47"/>
  <c r="AJ7" i="47"/>
  <c r="AI7" i="47"/>
  <c r="AH7" i="47"/>
  <c r="AG7" i="47"/>
  <c r="AF7" i="47"/>
  <c r="AE7" i="47"/>
  <c r="AD7" i="47"/>
  <c r="AC7" i="47"/>
  <c r="AB7" i="47"/>
  <c r="F33" i="43"/>
  <c r="F34" i="43"/>
  <c r="F35" i="43"/>
  <c r="K7" i="43"/>
  <c r="K8" i="43"/>
  <c r="K9" i="43"/>
  <c r="K10" i="43"/>
  <c r="K11" i="43"/>
  <c r="K12" i="43"/>
  <c r="K13" i="43"/>
  <c r="K14" i="43"/>
  <c r="K15" i="43"/>
  <c r="K16" i="43"/>
  <c r="K17" i="43"/>
  <c r="K18" i="43"/>
  <c r="K19" i="43"/>
  <c r="K20" i="43"/>
  <c r="K21" i="43"/>
  <c r="K22" i="43"/>
  <c r="AB24" i="43"/>
  <c r="AC24" i="43"/>
  <c r="AD24" i="43"/>
  <c r="AE24" i="43"/>
  <c r="AF24" i="43"/>
  <c r="AH24" i="43"/>
  <c r="AB25" i="43"/>
  <c r="AB26" i="43"/>
  <c r="AC25" i="43"/>
  <c r="AD25" i="43"/>
  <c r="AD26" i="43"/>
  <c r="AE25" i="43"/>
  <c r="AE26" i="43"/>
  <c r="AF25" i="43"/>
  <c r="AF26" i="43"/>
  <c r="AH25" i="43"/>
  <c r="A7" i="43"/>
  <c r="BA7" i="43" s="1"/>
  <c r="A8" i="43"/>
  <c r="BA8" i="43" s="1"/>
  <c r="A9" i="43"/>
  <c r="BA9" i="43" s="1"/>
  <c r="W52" i="32"/>
  <c r="AO36" i="43"/>
  <c r="AP29" i="43"/>
  <c r="AQ36" i="43"/>
  <c r="AR29" i="43"/>
  <c r="AS36" i="43"/>
  <c r="AT29" i="43"/>
  <c r="AU36" i="43"/>
  <c r="AV29" i="43"/>
  <c r="AX29" i="43"/>
  <c r="AO37" i="43"/>
  <c r="AQ37" i="43"/>
  <c r="AN37" i="43" s="1"/>
  <c r="AS37" i="43"/>
  <c r="AU37" i="43"/>
  <c r="AW37" i="43"/>
  <c r="AO38" i="43"/>
  <c r="AQ38" i="43"/>
  <c r="AS38" i="43"/>
  <c r="AU38" i="43"/>
  <c r="AW38" i="43"/>
  <c r="AE50" i="32"/>
  <c r="AD50" i="32"/>
  <c r="AC50" i="32"/>
  <c r="AK50" i="32"/>
  <c r="AJ50" i="32"/>
  <c r="AI50" i="32"/>
  <c r="A19" i="43"/>
  <c r="A21" i="43"/>
  <c r="A11" i="43"/>
  <c r="BA11" i="43" s="1"/>
  <c r="A12" i="43"/>
  <c r="A13" i="43"/>
  <c r="BA13" i="43" s="1"/>
  <c r="A14" i="43"/>
  <c r="BA14" i="43" s="1"/>
  <c r="A15" i="43"/>
  <c r="BA15" i="43" s="1"/>
  <c r="A16" i="43"/>
  <c r="A17" i="43"/>
  <c r="BA17" i="43" s="1"/>
  <c r="A18" i="43"/>
  <c r="A20" i="43"/>
  <c r="A22" i="43"/>
  <c r="G86" i="39"/>
  <c r="G173" i="39" s="1"/>
  <c r="G85" i="39"/>
  <c r="G172" i="39" s="1"/>
  <c r="G84" i="39"/>
  <c r="G83" i="39"/>
  <c r="G170" i="39" s="1"/>
  <c r="G82" i="39"/>
  <c r="G81" i="39"/>
  <c r="G168" i="39" s="1"/>
  <c r="G80" i="39"/>
  <c r="G167" i="39" s="1"/>
  <c r="G79" i="39"/>
  <c r="H4" i="31"/>
  <c r="H22" i="31" s="1"/>
  <c r="H73" i="31" s="1"/>
  <c r="I4" i="31"/>
  <c r="I22" i="31" s="1"/>
  <c r="I48" i="31" s="1"/>
  <c r="J4" i="31"/>
  <c r="J22" i="31" s="1"/>
  <c r="G11" i="35"/>
  <c r="G12" i="35" s="1"/>
  <c r="G13" i="35" s="1"/>
  <c r="G14" i="35" s="1"/>
  <c r="G15" i="35" s="1"/>
  <c r="G16" i="35" s="1"/>
  <c r="G17" i="35" s="1"/>
  <c r="G18" i="35" s="1"/>
  <c r="G19" i="35"/>
  <c r="G20" i="35" s="1"/>
  <c r="G21" i="35" s="1"/>
  <c r="G22" i="35" s="1"/>
  <c r="G23" i="35" s="1"/>
  <c r="G24" i="35" s="1"/>
  <c r="G25" i="35" s="1"/>
  <c r="G26" i="35" s="1"/>
  <c r="G27" i="35" s="1"/>
  <c r="G28" i="35" s="1"/>
  <c r="G29" i="35" s="1"/>
  <c r="G30" i="35" s="1"/>
  <c r="G31" i="35" s="1"/>
  <c r="G32" i="35" s="1"/>
  <c r="G33" i="35" s="1"/>
  <c r="G34" i="35" s="1"/>
  <c r="G35" i="35" s="1"/>
  <c r="G36" i="35" s="1"/>
  <c r="G37" i="35" s="1"/>
  <c r="G38" i="35" s="1"/>
  <c r="G39" i="35" s="1"/>
  <c r="G40" i="35" s="1"/>
  <c r="G41" i="35" s="1"/>
  <c r="G42" i="35" s="1"/>
  <c r="G43" i="35" s="1"/>
  <c r="G44" i="35" s="1"/>
  <c r="G45" i="35" s="1"/>
  <c r="I11" i="35"/>
  <c r="I12" i="35" s="1"/>
  <c r="I13" i="35" s="1"/>
  <c r="I14" i="35" s="1"/>
  <c r="I15" i="35" s="1"/>
  <c r="I16" i="35" s="1"/>
  <c r="I17" i="35" s="1"/>
  <c r="I18" i="35" s="1"/>
  <c r="I19" i="35" s="1"/>
  <c r="I20" i="35" s="1"/>
  <c r="I21" i="35" s="1"/>
  <c r="I22" i="35" s="1"/>
  <c r="I23" i="35" s="1"/>
  <c r="I24" i="35" s="1"/>
  <c r="I25" i="35" s="1"/>
  <c r="I26" i="35" s="1"/>
  <c r="I27" i="35" s="1"/>
  <c r="I28" i="35" s="1"/>
  <c r="I29" i="35" s="1"/>
  <c r="I30" i="35" s="1"/>
  <c r="I31" i="35" s="1"/>
  <c r="I32" i="35" s="1"/>
  <c r="I33" i="35" s="1"/>
  <c r="I34" i="35" s="1"/>
  <c r="I35" i="35" s="1"/>
  <c r="I36" i="35" s="1"/>
  <c r="I37" i="35" s="1"/>
  <c r="I38" i="35" s="1"/>
  <c r="I39" i="35" s="1"/>
  <c r="I40" i="35" s="1"/>
  <c r="I41" i="35" s="1"/>
  <c r="I42" i="35" s="1"/>
  <c r="I43" i="35" s="1"/>
  <c r="I44" i="35" s="1"/>
  <c r="I45" i="35" s="1"/>
  <c r="E12" i="35"/>
  <c r="E13" i="35"/>
  <c r="E14" i="35" s="1"/>
  <c r="E15" i="35" s="1"/>
  <c r="E16" i="35" s="1"/>
  <c r="W11" i="35"/>
  <c r="W12" i="35" s="1"/>
  <c r="W13" i="35" s="1"/>
  <c r="W14" i="35" s="1"/>
  <c r="W16" i="35" s="1"/>
  <c r="Y11" i="35"/>
  <c r="Y12" i="35"/>
  <c r="W17" i="35"/>
  <c r="W18" i="35" s="1"/>
  <c r="W19" i="35" s="1"/>
  <c r="W20" i="35" s="1"/>
  <c r="W21" i="35" s="1"/>
  <c r="W22" i="35" s="1"/>
  <c r="W23" i="35" s="1"/>
  <c r="W24" i="35" s="1"/>
  <c r="W25" i="35" s="1"/>
  <c r="W26" i="35" s="1"/>
  <c r="W27" i="35" s="1"/>
  <c r="W28" i="35" s="1"/>
  <c r="W29" i="35" s="1"/>
  <c r="W30" i="35" s="1"/>
  <c r="W31" i="35" s="1"/>
  <c r="W32" i="35" s="1"/>
  <c r="W33" i="35" s="1"/>
  <c r="W34" i="35" s="1"/>
  <c r="W35" i="35" s="1"/>
  <c r="W36" i="35" s="1"/>
  <c r="W37" i="35" s="1"/>
  <c r="W38" i="35" s="1"/>
  <c r="W39" i="35" s="1"/>
  <c r="W40" i="35" s="1"/>
  <c r="W41" i="35" s="1"/>
  <c r="W42" i="35" s="1"/>
  <c r="W43" i="35" s="1"/>
  <c r="W44" i="35" s="1"/>
  <c r="W45" i="35" s="1"/>
  <c r="AL11" i="35"/>
  <c r="AL12" i="35"/>
  <c r="AL13" i="35"/>
  <c r="AL14" i="35" s="1"/>
  <c r="AL15" i="35" s="1"/>
  <c r="AL16" i="35" s="1"/>
  <c r="AL17" i="35" s="1"/>
  <c r="AL18" i="35" s="1"/>
  <c r="AL19" i="35" s="1"/>
  <c r="AL20" i="35" s="1"/>
  <c r="AL21" i="35" s="1"/>
  <c r="AL22" i="35" s="1"/>
  <c r="AL23" i="35" s="1"/>
  <c r="AL24" i="35" s="1"/>
  <c r="AL25" i="35" s="1"/>
  <c r="AL26" i="35" s="1"/>
  <c r="AL27" i="35" s="1"/>
  <c r="AL28" i="35" s="1"/>
  <c r="AL29" i="35" s="1"/>
  <c r="AL30" i="35" s="1"/>
  <c r="AL31" i="35" s="1"/>
  <c r="AL32" i="35" s="1"/>
  <c r="AL33" i="35" s="1"/>
  <c r="AL34" i="35" s="1"/>
  <c r="AL35" i="35" s="1"/>
  <c r="AL36" i="35" s="1"/>
  <c r="AL37" i="35" s="1"/>
  <c r="AL38" i="35" s="1"/>
  <c r="AL39" i="35" s="1"/>
  <c r="AL40" i="35" s="1"/>
  <c r="AL41" i="35" s="1"/>
  <c r="AL42" i="35" s="1"/>
  <c r="AL43" i="35" s="1"/>
  <c r="AL44" i="35" s="1"/>
  <c r="AL45" i="35" s="1"/>
  <c r="AN11" i="35"/>
  <c r="AN12" i="35"/>
  <c r="AN13" i="35"/>
  <c r="AN14" i="35" s="1"/>
  <c r="AN15" i="35" s="1"/>
  <c r="AN16" i="35" s="1"/>
  <c r="AN17" i="35" s="1"/>
  <c r="AN18" i="35" s="1"/>
  <c r="AN19" i="35" s="1"/>
  <c r="AN20" i="35" s="1"/>
  <c r="AN21" i="35" s="1"/>
  <c r="AN22" i="35" s="1"/>
  <c r="AN23" i="35" s="1"/>
  <c r="AN24" i="35" s="1"/>
  <c r="AN25" i="35" s="1"/>
  <c r="AN26" i="35" s="1"/>
  <c r="AN27" i="35" s="1"/>
  <c r="AN28" i="35" s="1"/>
  <c r="AN29" i="35" s="1"/>
  <c r="AN30" i="35" s="1"/>
  <c r="AN31" i="35" s="1"/>
  <c r="AN32" i="35" s="1"/>
  <c r="AN33" i="35" s="1"/>
  <c r="AN34" i="35" s="1"/>
  <c r="AN35" i="35" s="1"/>
  <c r="AN36" i="35" s="1"/>
  <c r="AN37" i="35" s="1"/>
  <c r="AN38" i="35" s="1"/>
  <c r="AN39" i="35" s="1"/>
  <c r="AN40" i="35" s="1"/>
  <c r="AN41" i="35" s="1"/>
  <c r="AN42" i="35" s="1"/>
  <c r="AN43" i="35" s="1"/>
  <c r="AN44" i="35" s="1"/>
  <c r="AN45" i="35" s="1"/>
  <c r="G399" i="41"/>
  <c r="G411" i="41" s="1"/>
  <c r="F411" i="41"/>
  <c r="G404" i="40"/>
  <c r="G417" i="40" s="1"/>
  <c r="H404" i="40"/>
  <c r="I404" i="40" s="1"/>
  <c r="F417" i="40"/>
  <c r="F338" i="38"/>
  <c r="G399" i="38"/>
  <c r="H399" i="38" s="1"/>
  <c r="I399" i="38" s="1"/>
  <c r="I411" i="38" s="1"/>
  <c r="J399" i="38"/>
  <c r="F116" i="38"/>
  <c r="G116" i="38" s="1"/>
  <c r="AW22" i="43"/>
  <c r="AP49" i="43"/>
  <c r="F7" i="38"/>
  <c r="N82" i="33"/>
  <c r="G124" i="38" s="1"/>
  <c r="H124" i="38" s="1"/>
  <c r="I124" i="38" s="1"/>
  <c r="J124" i="38" s="1"/>
  <c r="K124" i="38" s="1"/>
  <c r="L124" i="38" s="1"/>
  <c r="M124" i="38" s="1"/>
  <c r="N124" i="38" s="1"/>
  <c r="O124" i="38" s="1"/>
  <c r="P124" i="38" s="1"/>
  <c r="Q124" i="38" s="1"/>
  <c r="R124" i="38" s="1"/>
  <c r="S124" i="38" s="1"/>
  <c r="T124" i="38" s="1"/>
  <c r="U124" i="38" s="1"/>
  <c r="V124" i="38" s="1"/>
  <c r="W124" i="38" s="1"/>
  <c r="X124" i="38" s="1"/>
  <c r="Y124" i="38" s="1"/>
  <c r="Z124" i="38" s="1"/>
  <c r="N76" i="33"/>
  <c r="G15" i="38"/>
  <c r="H15" i="38" s="1"/>
  <c r="I15" i="38" s="1"/>
  <c r="J15" i="38" s="1"/>
  <c r="K15" i="38" s="1"/>
  <c r="L15" i="38" s="1"/>
  <c r="F140" i="38"/>
  <c r="F234" i="38"/>
  <c r="N81" i="33"/>
  <c r="G240" i="38"/>
  <c r="H240" i="38" s="1"/>
  <c r="I240" i="38" s="1"/>
  <c r="J240" i="38" s="1"/>
  <c r="K240" i="38" s="1"/>
  <c r="L240" i="38" s="1"/>
  <c r="M240" i="38" s="1"/>
  <c r="N240" i="38" s="1"/>
  <c r="O240" i="38" s="1"/>
  <c r="P240" i="38" s="1"/>
  <c r="Q240" i="38" s="1"/>
  <c r="R240" i="38" s="1"/>
  <c r="S240" i="38" s="1"/>
  <c r="T240" i="38" s="1"/>
  <c r="U240" i="38" s="1"/>
  <c r="V240" i="38" s="1"/>
  <c r="W240" i="38" s="1"/>
  <c r="X240" i="38" s="1"/>
  <c r="Y240" i="38" s="1"/>
  <c r="Z240" i="38" s="1"/>
  <c r="F284" i="38"/>
  <c r="G284" i="38" s="1"/>
  <c r="H284" i="38" s="1"/>
  <c r="I284" i="38" s="1"/>
  <c r="F411" i="38"/>
  <c r="H411" i="38"/>
  <c r="F74" i="38"/>
  <c r="G74" i="38" s="1"/>
  <c r="AT9" i="43"/>
  <c r="AT10" i="43"/>
  <c r="AT14" i="43"/>
  <c r="AT15" i="43"/>
  <c r="AT6" i="43"/>
  <c r="AT7" i="43"/>
  <c r="AT11" i="43"/>
  <c r="AT12" i="43"/>
  <c r="AT13" i="43"/>
  <c r="AT16" i="43"/>
  <c r="AT17" i="43"/>
  <c r="AT18" i="43"/>
  <c r="AT19" i="43"/>
  <c r="AT20" i="43"/>
  <c r="AT21" i="43"/>
  <c r="AT22" i="43"/>
  <c r="M4" i="43"/>
  <c r="AG7" i="43"/>
  <c r="N1" i="43"/>
  <c r="N2" i="43"/>
  <c r="AG11" i="43"/>
  <c r="K6" i="43"/>
  <c r="AB23" i="43"/>
  <c r="AC21" i="43"/>
  <c r="AC23" i="43"/>
  <c r="AD23" i="43"/>
  <c r="AE23" i="43"/>
  <c r="AF23" i="43"/>
  <c r="AG6" i="43"/>
  <c r="AG8" i="43"/>
  <c r="AG9" i="43"/>
  <c r="AG10" i="43"/>
  <c r="AG12" i="43"/>
  <c r="AG13" i="43"/>
  <c r="AW13" i="43" s="1"/>
  <c r="AG14" i="43"/>
  <c r="AG15" i="43"/>
  <c r="AW15" i="43" s="1"/>
  <c r="AG16" i="43"/>
  <c r="AG17" i="43"/>
  <c r="AG18" i="43"/>
  <c r="AG19" i="43"/>
  <c r="AW19" i="43" s="1"/>
  <c r="AG20" i="43"/>
  <c r="AG21" i="43"/>
  <c r="AW21" i="43" s="1"/>
  <c r="AH22" i="43"/>
  <c r="AH23" i="43"/>
  <c r="E55" i="46"/>
  <c r="E8" i="46" s="1"/>
  <c r="J34" i="31"/>
  <c r="A6" i="43"/>
  <c r="A10" i="43"/>
  <c r="BA10" i="43" s="1"/>
  <c r="I53" i="45"/>
  <c r="E22" i="46"/>
  <c r="E23" i="46" s="1"/>
  <c r="E24" i="46" s="1"/>
  <c r="E25" i="46" s="1"/>
  <c r="E26" i="46" s="1"/>
  <c r="E27" i="46" s="1"/>
  <c r="E28" i="46" s="1"/>
  <c r="E29" i="46" s="1"/>
  <c r="G22" i="46"/>
  <c r="G23" i="46" s="1"/>
  <c r="G24" i="46" s="1"/>
  <c r="D44" i="46"/>
  <c r="D46" i="46" s="1"/>
  <c r="E41" i="46"/>
  <c r="E42" i="46"/>
  <c r="E43" i="46"/>
  <c r="E45" i="46"/>
  <c r="F41" i="46"/>
  <c r="F42" i="46"/>
  <c r="F43" i="46"/>
  <c r="F45" i="46"/>
  <c r="G38" i="46"/>
  <c r="G41" i="46"/>
  <c r="G42" i="46"/>
  <c r="G43" i="46"/>
  <c r="G45" i="46"/>
  <c r="G12" i="45"/>
  <c r="H12" i="45"/>
  <c r="I12" i="45"/>
  <c r="G13" i="45"/>
  <c r="I13" i="45"/>
  <c r="G31" i="45"/>
  <c r="C32" i="45"/>
  <c r="I6" i="45"/>
  <c r="C22" i="46"/>
  <c r="C23" i="46" s="1"/>
  <c r="C24" i="46" s="1"/>
  <c r="C25" i="46" s="1"/>
  <c r="C26" i="46" s="1"/>
  <c r="C27" i="46" s="1"/>
  <c r="C28" i="46" s="1"/>
  <c r="C29" i="46" s="1"/>
  <c r="C30" i="46" s="1"/>
  <c r="H31" i="45"/>
  <c r="E54" i="45"/>
  <c r="J54" i="45" s="1"/>
  <c r="C55" i="45"/>
  <c r="I16" i="45"/>
  <c r="I19" i="45"/>
  <c r="I20" i="45"/>
  <c r="J20" i="45" s="1"/>
  <c r="I21" i="45"/>
  <c r="H16" i="45"/>
  <c r="H19" i="45"/>
  <c r="H20" i="45"/>
  <c r="H21" i="45"/>
  <c r="G16" i="45"/>
  <c r="J16" i="45" s="1"/>
  <c r="G19" i="45"/>
  <c r="J19" i="45" s="1"/>
  <c r="G20" i="45"/>
  <c r="G21" i="45"/>
  <c r="J21" i="45" s="1"/>
  <c r="E26" i="43"/>
  <c r="E25" i="43"/>
  <c r="E24" i="43"/>
  <c r="E23" i="43"/>
  <c r="G8" i="45"/>
  <c r="G14" i="45"/>
  <c r="H8" i="45"/>
  <c r="J8" i="45" s="1"/>
  <c r="D126" i="28" s="1"/>
  <c r="H14" i="45"/>
  <c r="H38" i="45"/>
  <c r="J38" i="45" s="1"/>
  <c r="H13" i="45"/>
  <c r="J13" i="45" s="1"/>
  <c r="I8" i="45"/>
  <c r="I14" i="45"/>
  <c r="J46" i="45"/>
  <c r="J62" i="45"/>
  <c r="J63" i="45" s="1"/>
  <c r="J61" i="45"/>
  <c r="J45" i="45"/>
  <c r="J44" i="45"/>
  <c r="J43" i="45"/>
  <c r="J41" i="45"/>
  <c r="J40" i="45"/>
  <c r="J39" i="45"/>
  <c r="J37" i="45"/>
  <c r="J35" i="45"/>
  <c r="J32" i="45"/>
  <c r="H24" i="33"/>
  <c r="H26" i="33"/>
  <c r="AJ12" i="35"/>
  <c r="AP11" i="35"/>
  <c r="AP12" i="35"/>
  <c r="AP13" i="35"/>
  <c r="AP14" i="35" s="1"/>
  <c r="AP15" i="35" s="1"/>
  <c r="D4" i="35"/>
  <c r="G24" i="33"/>
  <c r="G26" i="33" s="1"/>
  <c r="U12" i="35"/>
  <c r="AA11" i="35"/>
  <c r="AA12" i="35" s="1"/>
  <c r="AA13" i="35" s="1"/>
  <c r="AA14" i="35" s="1"/>
  <c r="AA15" i="35" s="1"/>
  <c r="AA16" i="35" s="1"/>
  <c r="AA17" i="35" s="1"/>
  <c r="AA18" i="35" s="1"/>
  <c r="AA19" i="35" s="1"/>
  <c r="AA20" i="35" s="1"/>
  <c r="AA21" i="35" s="1"/>
  <c r="AA22" i="35" s="1"/>
  <c r="AA23" i="35" s="1"/>
  <c r="AA24" i="35" s="1"/>
  <c r="AA25" i="35" s="1"/>
  <c r="AA26" i="35" s="1"/>
  <c r="AA27" i="35" s="1"/>
  <c r="AA28" i="35" s="1"/>
  <c r="AA29" i="35" s="1"/>
  <c r="AA30" i="35" s="1"/>
  <c r="AA31" i="35" s="1"/>
  <c r="AA32" i="35" s="1"/>
  <c r="AA33" i="35" s="1"/>
  <c r="AA34" i="35" s="1"/>
  <c r="AA35" i="35" s="1"/>
  <c r="AA36" i="35" s="1"/>
  <c r="AA37" i="35" s="1"/>
  <c r="AA38" i="35" s="1"/>
  <c r="AA39" i="35" s="1"/>
  <c r="AA40" i="35" s="1"/>
  <c r="AA41" i="35" s="1"/>
  <c r="AA42" i="35" s="1"/>
  <c r="AA43" i="35" s="1"/>
  <c r="AA44" i="35" s="1"/>
  <c r="AA45" i="35" s="1"/>
  <c r="F24" i="33"/>
  <c r="F26" i="33" s="1"/>
  <c r="K11" i="35"/>
  <c r="K12" i="35" s="1"/>
  <c r="K13" i="35" s="1"/>
  <c r="K14" i="35" s="1"/>
  <c r="K15" i="35" s="1"/>
  <c r="K16" i="35" s="1"/>
  <c r="K17" i="35" s="1"/>
  <c r="K18" i="35" s="1"/>
  <c r="K19" i="35" s="1"/>
  <c r="K20" i="35" s="1"/>
  <c r="K21" i="35" s="1"/>
  <c r="K22" i="35" s="1"/>
  <c r="K23" i="35" s="1"/>
  <c r="K24" i="35" s="1"/>
  <c r="K25" i="35" s="1"/>
  <c r="K26" i="35" s="1"/>
  <c r="K27" i="35" s="1"/>
  <c r="K28" i="35" s="1"/>
  <c r="K29" i="35" s="1"/>
  <c r="K30" i="35" s="1"/>
  <c r="K31" i="35" s="1"/>
  <c r="K32" i="35" s="1"/>
  <c r="K33" i="35" s="1"/>
  <c r="K34" i="35" s="1"/>
  <c r="K35" i="35" s="1"/>
  <c r="K36" i="35" s="1"/>
  <c r="K37" i="35" s="1"/>
  <c r="K38" i="35" s="1"/>
  <c r="K39" i="35" s="1"/>
  <c r="K40" i="35" s="1"/>
  <c r="K41" i="35" s="1"/>
  <c r="K42" i="35" s="1"/>
  <c r="K43" i="35" s="1"/>
  <c r="K44" i="35" s="1"/>
  <c r="K45" i="35" s="1"/>
  <c r="AR49" i="43"/>
  <c r="G178" i="33"/>
  <c r="H178" i="33" s="1"/>
  <c r="AP42" i="43"/>
  <c r="AU15" i="43"/>
  <c r="AR22" i="43"/>
  <c r="AR21" i="43"/>
  <c r="AR20" i="43"/>
  <c r="AR19" i="43"/>
  <c r="AR18" i="43"/>
  <c r="AR17" i="43"/>
  <c r="AR16" i="43"/>
  <c r="AR15" i="43"/>
  <c r="AR14" i="43"/>
  <c r="AR13" i="43"/>
  <c r="AR12" i="43"/>
  <c r="AR11" i="43"/>
  <c r="AR10" i="43"/>
  <c r="AR9" i="43"/>
  <c r="AR7" i="43"/>
  <c r="AR6" i="43"/>
  <c r="AW36" i="43"/>
  <c r="AN31" i="43"/>
  <c r="H62" i="33"/>
  <c r="G62" i="33"/>
  <c r="AN33" i="43"/>
  <c r="AN30" i="43"/>
  <c r="Q35" i="33"/>
  <c r="Q36" i="33" s="1"/>
  <c r="AA1" i="43"/>
  <c r="AA4" i="43" s="1"/>
  <c r="AQ4" i="43" s="1"/>
  <c r="Z4" i="43"/>
  <c r="AP4" i="43" s="1"/>
  <c r="AU22" i="43"/>
  <c r="AU13" i="43"/>
  <c r="AS12" i="43"/>
  <c r="AS10" i="43"/>
  <c r="AS8" i="43"/>
  <c r="AS7" i="43"/>
  <c r="AS6" i="43"/>
  <c r="AS9" i="43"/>
  <c r="AW6" i="43"/>
  <c r="AX10" i="43"/>
  <c r="AX9" i="43"/>
  <c r="AX8" i="43"/>
  <c r="AX7" i="43"/>
  <c r="AX6" i="43"/>
  <c r="AV10" i="43"/>
  <c r="AV9" i="43"/>
  <c r="AV8" i="43"/>
  <c r="AV7" i="43"/>
  <c r="AV6" i="43"/>
  <c r="AT8" i="43"/>
  <c r="AU21" i="43"/>
  <c r="AU20" i="43"/>
  <c r="AU19" i="43"/>
  <c r="AU18" i="43"/>
  <c r="AU17" i="43"/>
  <c r="AU16" i="43"/>
  <c r="AU14" i="43"/>
  <c r="AU12" i="43"/>
  <c r="AU11" i="43"/>
  <c r="AU25" i="43" s="1"/>
  <c r="G172" i="33" s="1"/>
  <c r="O27" i="33" s="1"/>
  <c r="O39" i="33" s="1"/>
  <c r="AU10" i="43"/>
  <c r="AU9" i="43"/>
  <c r="AU8" i="43"/>
  <c r="AU6" i="43"/>
  <c r="AU7" i="43"/>
  <c r="H26" i="43"/>
  <c r="G26" i="43"/>
  <c r="F26" i="43"/>
  <c r="H25" i="43"/>
  <c r="G25" i="43"/>
  <c r="F25" i="43"/>
  <c r="H24" i="43"/>
  <c r="G24" i="43"/>
  <c r="F24" i="43"/>
  <c r="H23" i="43"/>
  <c r="G23" i="43"/>
  <c r="F23" i="43"/>
  <c r="AB1" i="43"/>
  <c r="H194" i="33"/>
  <c r="G194" i="33"/>
  <c r="G195" i="33" s="1"/>
  <c r="H181" i="33"/>
  <c r="G181" i="33"/>
  <c r="E76" i="28"/>
  <c r="E7" i="28"/>
  <c r="F7" i="28" s="1"/>
  <c r="G7" i="28" s="1"/>
  <c r="H7" i="28" s="1"/>
  <c r="I7" i="28" s="1"/>
  <c r="J7" i="28" s="1"/>
  <c r="K7" i="28" s="1"/>
  <c r="L7" i="28" s="1"/>
  <c r="M7" i="28" s="1"/>
  <c r="N7" i="28" s="1"/>
  <c r="F371" i="41"/>
  <c r="G359" i="41"/>
  <c r="F343" i="40"/>
  <c r="G343" i="40" s="1"/>
  <c r="G362" i="40" s="1"/>
  <c r="G402" i="40" s="1"/>
  <c r="G364" i="40"/>
  <c r="G376" i="40" s="1"/>
  <c r="F376" i="40"/>
  <c r="H364" i="40"/>
  <c r="N194" i="33"/>
  <c r="O194" i="33" s="1"/>
  <c r="P194" i="33" s="1"/>
  <c r="N193" i="33"/>
  <c r="O193" i="33" s="1"/>
  <c r="P193" i="33" s="1"/>
  <c r="N192" i="33"/>
  <c r="P192" i="33" s="1"/>
  <c r="F371" i="38"/>
  <c r="G359" i="38"/>
  <c r="D333" i="41"/>
  <c r="D349" i="40"/>
  <c r="D338" i="40"/>
  <c r="D333" i="38"/>
  <c r="O96" i="33"/>
  <c r="P96" i="33" s="1"/>
  <c r="F294" i="41"/>
  <c r="F317" i="41" s="1"/>
  <c r="O97" i="33"/>
  <c r="P97" i="33" s="1"/>
  <c r="O124" i="33"/>
  <c r="P124" i="33"/>
  <c r="O123" i="33"/>
  <c r="P123" i="33" s="1"/>
  <c r="O122" i="33"/>
  <c r="P122" i="33" s="1"/>
  <c r="O121" i="33"/>
  <c r="P121" i="33" s="1"/>
  <c r="O95" i="33"/>
  <c r="P95" i="33" s="1"/>
  <c r="G36" i="33"/>
  <c r="G126" i="33"/>
  <c r="H161" i="33"/>
  <c r="I34" i="31"/>
  <c r="P86" i="33"/>
  <c r="O86" i="33"/>
  <c r="P85" i="33"/>
  <c r="O85" i="33"/>
  <c r="N85" i="33"/>
  <c r="N3" i="31"/>
  <c r="N4" i="31" s="1"/>
  <c r="N22" i="31" s="1"/>
  <c r="H90" i="33"/>
  <c r="G90" i="33"/>
  <c r="F90" i="33"/>
  <c r="H89" i="33"/>
  <c r="G89" i="33"/>
  <c r="F89" i="33"/>
  <c r="O3" i="31"/>
  <c r="O4" i="31" s="1"/>
  <c r="O22" i="31" s="1"/>
  <c r="F284" i="41"/>
  <c r="F255" i="41"/>
  <c r="G255" i="41" s="1"/>
  <c r="H255" i="41" s="1"/>
  <c r="I255" i="41" s="1"/>
  <c r="J255" i="41" s="1"/>
  <c r="K255" i="41" s="1"/>
  <c r="L255" i="41" s="1"/>
  <c r="M255" i="41" s="1"/>
  <c r="N255" i="41" s="1"/>
  <c r="O255" i="41" s="1"/>
  <c r="P255" i="41" s="1"/>
  <c r="Q255" i="41" s="1"/>
  <c r="R255" i="41" s="1"/>
  <c r="S255" i="41" s="1"/>
  <c r="T255" i="41" s="1"/>
  <c r="U255" i="41" s="1"/>
  <c r="V255" i="41" s="1"/>
  <c r="W255" i="41" s="1"/>
  <c r="X255" i="41" s="1"/>
  <c r="Y255" i="41" s="1"/>
  <c r="Z255" i="41" s="1"/>
  <c r="F236" i="40"/>
  <c r="G236" i="40" s="1"/>
  <c r="H236" i="40" s="1"/>
  <c r="I236" i="40" s="1"/>
  <c r="F234" i="41"/>
  <c r="G234" i="41" s="1"/>
  <c r="H234" i="41" s="1"/>
  <c r="I234" i="41" s="1"/>
  <c r="F210" i="41"/>
  <c r="G210" i="41" s="1"/>
  <c r="H210" i="41" s="1"/>
  <c r="I210" i="41" s="1"/>
  <c r="J210" i="41" s="1"/>
  <c r="K210" i="41" s="1"/>
  <c r="L210" i="41" s="1"/>
  <c r="M210" i="41" s="1"/>
  <c r="N210" i="41" s="1"/>
  <c r="O210" i="41" s="1"/>
  <c r="P210" i="41" s="1"/>
  <c r="Q210" i="41" s="1"/>
  <c r="R210" i="41" s="1"/>
  <c r="S210" i="41" s="1"/>
  <c r="T210" i="41" s="1"/>
  <c r="U210" i="41" s="1"/>
  <c r="V210" i="41" s="1"/>
  <c r="W210" i="41" s="1"/>
  <c r="X210" i="41" s="1"/>
  <c r="Y210" i="41" s="1"/>
  <c r="Z210" i="41" s="1"/>
  <c r="F166" i="41"/>
  <c r="G166" i="41" s="1"/>
  <c r="H166" i="41" s="1"/>
  <c r="F140" i="41"/>
  <c r="H202" i="33"/>
  <c r="H189" i="33"/>
  <c r="F116" i="41"/>
  <c r="G116" i="41" s="1"/>
  <c r="F95" i="41"/>
  <c r="G95" i="41" s="1"/>
  <c r="H95" i="41" s="1"/>
  <c r="I95" i="41" s="1"/>
  <c r="F74" i="41"/>
  <c r="F53" i="41"/>
  <c r="G53" i="41" s="1"/>
  <c r="F30" i="41"/>
  <c r="G30" i="41" s="1"/>
  <c r="H30" i="41" s="1"/>
  <c r="I30" i="41" s="1"/>
  <c r="J30" i="41" s="1"/>
  <c r="K30" i="41" s="1"/>
  <c r="L30" i="41" s="1"/>
  <c r="F7" i="41"/>
  <c r="D205" i="41"/>
  <c r="D199" i="41"/>
  <c r="D197" i="41"/>
  <c r="D195" i="41"/>
  <c r="D194" i="41"/>
  <c r="D193" i="41"/>
  <c r="D192" i="41"/>
  <c r="D191" i="41"/>
  <c r="D190" i="41"/>
  <c r="D189" i="41"/>
  <c r="D187" i="41"/>
  <c r="D186" i="41"/>
  <c r="F297" i="40"/>
  <c r="G297" i="40" s="1"/>
  <c r="F287" i="40"/>
  <c r="F292" i="40" s="1"/>
  <c r="F257" i="40"/>
  <c r="G257" i="40" s="1"/>
  <c r="H257" i="40" s="1"/>
  <c r="I257" i="40" s="1"/>
  <c r="J257" i="40" s="1"/>
  <c r="K257" i="40" s="1"/>
  <c r="L257" i="40" s="1"/>
  <c r="M257" i="40" s="1"/>
  <c r="N257" i="40" s="1"/>
  <c r="O257" i="40" s="1"/>
  <c r="P257" i="40" s="1"/>
  <c r="Q257" i="40" s="1"/>
  <c r="R257" i="40" s="1"/>
  <c r="S257" i="40" s="1"/>
  <c r="T257" i="40" s="1"/>
  <c r="U257" i="40" s="1"/>
  <c r="V257" i="40" s="1"/>
  <c r="W257" i="40" s="1"/>
  <c r="X257" i="40" s="1"/>
  <c r="Y257" i="40" s="1"/>
  <c r="Z257" i="40" s="1"/>
  <c r="F211" i="40"/>
  <c r="G211" i="40" s="1"/>
  <c r="H211" i="40" s="1"/>
  <c r="I211" i="40" s="1"/>
  <c r="J211" i="40" s="1"/>
  <c r="K211" i="40" s="1"/>
  <c r="L211" i="40" s="1"/>
  <c r="M211" i="40" s="1"/>
  <c r="N211" i="40" s="1"/>
  <c r="O211" i="40" s="1"/>
  <c r="P211" i="40" s="1"/>
  <c r="Q211" i="40" s="1"/>
  <c r="R211" i="40" s="1"/>
  <c r="S211" i="40" s="1"/>
  <c r="T211" i="40" s="1"/>
  <c r="U211" i="40" s="1"/>
  <c r="V211" i="40" s="1"/>
  <c r="W211" i="40" s="1"/>
  <c r="X211" i="40" s="1"/>
  <c r="Y211" i="40" s="1"/>
  <c r="Z211" i="40" s="1"/>
  <c r="F167" i="40"/>
  <c r="G167" i="40" s="1"/>
  <c r="H167" i="40" s="1"/>
  <c r="I167" i="40" s="1"/>
  <c r="J167" i="40" s="1"/>
  <c r="K167" i="40" s="1"/>
  <c r="L167" i="40" s="1"/>
  <c r="F140" i="40"/>
  <c r="F213" i="40" s="1"/>
  <c r="F221" i="40" s="1"/>
  <c r="F116" i="40"/>
  <c r="G116" i="40" s="1"/>
  <c r="H116" i="40" s="1"/>
  <c r="F95" i="40"/>
  <c r="G95" i="40" s="1"/>
  <c r="H95" i="40" s="1"/>
  <c r="I95" i="40" s="1"/>
  <c r="J95" i="40" s="1"/>
  <c r="K95" i="40" s="1"/>
  <c r="L95" i="40" s="1"/>
  <c r="M95" i="40" s="1"/>
  <c r="N95" i="40" s="1"/>
  <c r="O95" i="40" s="1"/>
  <c r="F74" i="40"/>
  <c r="G74" i="40" s="1"/>
  <c r="H74" i="40" s="1"/>
  <c r="I74" i="40" s="1"/>
  <c r="J74" i="40" s="1"/>
  <c r="K74" i="40" s="1"/>
  <c r="F53" i="40"/>
  <c r="G53" i="40" s="1"/>
  <c r="H53" i="40" s="1"/>
  <c r="I53" i="40" s="1"/>
  <c r="J53" i="40" s="1"/>
  <c r="F30" i="40"/>
  <c r="G30" i="40" s="1"/>
  <c r="H30" i="40" s="1"/>
  <c r="I30" i="40" s="1"/>
  <c r="J30" i="40" s="1"/>
  <c r="K30" i="40" s="1"/>
  <c r="F53" i="38"/>
  <c r="F30" i="38"/>
  <c r="G30" i="38" s="1"/>
  <c r="F7" i="40"/>
  <c r="F328" i="40" s="1"/>
  <c r="D206" i="40"/>
  <c r="D200" i="40"/>
  <c r="D198" i="40"/>
  <c r="D196" i="40"/>
  <c r="D195" i="40"/>
  <c r="D194" i="40"/>
  <c r="D193" i="40"/>
  <c r="D192" i="40"/>
  <c r="D191" i="40"/>
  <c r="D190" i="40"/>
  <c r="D188" i="40"/>
  <c r="D187" i="40"/>
  <c r="H198" i="33"/>
  <c r="G198" i="33"/>
  <c r="G199" i="33" s="1"/>
  <c r="H192" i="33"/>
  <c r="G192" i="33"/>
  <c r="F192" i="33"/>
  <c r="H185" i="33"/>
  <c r="H186" i="33" s="1"/>
  <c r="G185" i="33"/>
  <c r="G186" i="33" s="1"/>
  <c r="F185" i="33"/>
  <c r="H78" i="33"/>
  <c r="G78" i="33"/>
  <c r="G52" i="33" s="1"/>
  <c r="F78" i="33"/>
  <c r="F112" i="33"/>
  <c r="G112" i="33"/>
  <c r="G114" i="33" s="1"/>
  <c r="G115" i="33" s="1"/>
  <c r="P183" i="40" s="1"/>
  <c r="O171" i="33"/>
  <c r="P171" i="33" s="1"/>
  <c r="O170" i="33"/>
  <c r="P170" i="33" s="1"/>
  <c r="O169" i="33"/>
  <c r="P169" i="33" s="1"/>
  <c r="O168" i="33"/>
  <c r="P168" i="33" s="1"/>
  <c r="O167" i="33"/>
  <c r="P167" i="33" s="1"/>
  <c r="F294" i="38"/>
  <c r="F317" i="38" s="1"/>
  <c r="F255" i="38"/>
  <c r="G255" i="38" s="1"/>
  <c r="H255" i="38" s="1"/>
  <c r="I255" i="38" s="1"/>
  <c r="J255" i="38" s="1"/>
  <c r="K255" i="38" s="1"/>
  <c r="L255" i="38" s="1"/>
  <c r="M255" i="38" s="1"/>
  <c r="N255" i="38" s="1"/>
  <c r="O255" i="38" s="1"/>
  <c r="P255" i="38" s="1"/>
  <c r="Q255" i="38" s="1"/>
  <c r="R255" i="38" s="1"/>
  <c r="S255" i="38" s="1"/>
  <c r="T255" i="38" s="1"/>
  <c r="U255" i="38" s="1"/>
  <c r="V255" i="38" s="1"/>
  <c r="W255" i="38" s="1"/>
  <c r="X255" i="38" s="1"/>
  <c r="Y255" i="38" s="1"/>
  <c r="Z255" i="38" s="1"/>
  <c r="F210" i="38"/>
  <c r="G210" i="38" s="1"/>
  <c r="H210" i="38" s="1"/>
  <c r="I210" i="38" s="1"/>
  <c r="J210" i="38" s="1"/>
  <c r="K210" i="38" s="1"/>
  <c r="L210" i="38" s="1"/>
  <c r="M210" i="38" s="1"/>
  <c r="N210" i="38" s="1"/>
  <c r="O210" i="38" s="1"/>
  <c r="P210" i="38" s="1"/>
  <c r="Q210" i="38" s="1"/>
  <c r="R210" i="38" s="1"/>
  <c r="S210" i="38" s="1"/>
  <c r="T210" i="38" s="1"/>
  <c r="U210" i="38" s="1"/>
  <c r="V210" i="38" s="1"/>
  <c r="W210" i="38" s="1"/>
  <c r="X210" i="38" s="1"/>
  <c r="Y210" i="38" s="1"/>
  <c r="Z210" i="38" s="1"/>
  <c r="P82" i="33"/>
  <c r="G124" i="41" s="1"/>
  <c r="H124" i="41" s="1"/>
  <c r="I124" i="41" s="1"/>
  <c r="J124" i="41" s="1"/>
  <c r="K124" i="41" s="1"/>
  <c r="L124" i="41" s="1"/>
  <c r="M124" i="41" s="1"/>
  <c r="N124" i="41" s="1"/>
  <c r="O124" i="41" s="1"/>
  <c r="P124" i="41" s="1"/>
  <c r="Q124" i="41" s="1"/>
  <c r="R124" i="41" s="1"/>
  <c r="S124" i="41" s="1"/>
  <c r="T124" i="41" s="1"/>
  <c r="U124" i="41" s="1"/>
  <c r="V124" i="41" s="1"/>
  <c r="W124" i="41" s="1"/>
  <c r="X124" i="41" s="1"/>
  <c r="Y124" i="41" s="1"/>
  <c r="Z124" i="41" s="1"/>
  <c r="O82" i="33"/>
  <c r="G124" i="40" s="1"/>
  <c r="H124" i="40" s="1"/>
  <c r="I124" i="40" s="1"/>
  <c r="J124" i="40" s="1"/>
  <c r="K124" i="40" s="1"/>
  <c r="L124" i="40" s="1"/>
  <c r="M124" i="40" s="1"/>
  <c r="N124" i="40" s="1"/>
  <c r="O124" i="40" s="1"/>
  <c r="P124" i="40" s="1"/>
  <c r="Q124" i="40" s="1"/>
  <c r="R124" i="40" s="1"/>
  <c r="S124" i="40" s="1"/>
  <c r="T124" i="40" s="1"/>
  <c r="U124" i="40" s="1"/>
  <c r="V124" i="40" s="1"/>
  <c r="W124" i="40" s="1"/>
  <c r="X124" i="40" s="1"/>
  <c r="Y124" i="40" s="1"/>
  <c r="Z124" i="40" s="1"/>
  <c r="P81" i="33"/>
  <c r="G240" i="41" s="1"/>
  <c r="H240" i="41" s="1"/>
  <c r="I240" i="41" s="1"/>
  <c r="J240" i="41" s="1"/>
  <c r="K240" i="41" s="1"/>
  <c r="L240" i="41" s="1"/>
  <c r="M240" i="41" s="1"/>
  <c r="N240" i="41" s="1"/>
  <c r="O240" i="41" s="1"/>
  <c r="P240" i="41" s="1"/>
  <c r="Q240" i="41" s="1"/>
  <c r="R240" i="41" s="1"/>
  <c r="S240" i="41" s="1"/>
  <c r="T240" i="41" s="1"/>
  <c r="U240" i="41" s="1"/>
  <c r="V240" i="41" s="1"/>
  <c r="W240" i="41" s="1"/>
  <c r="X240" i="41" s="1"/>
  <c r="Y240" i="41" s="1"/>
  <c r="Z240" i="41" s="1"/>
  <c r="O81" i="33"/>
  <c r="G242" i="40" s="1"/>
  <c r="H242" i="40" s="1"/>
  <c r="I242" i="40" s="1"/>
  <c r="J242" i="40" s="1"/>
  <c r="K242" i="40" s="1"/>
  <c r="L242" i="40" s="1"/>
  <c r="M242" i="40" s="1"/>
  <c r="N242" i="40" s="1"/>
  <c r="O242" i="40" s="1"/>
  <c r="P242" i="40" s="1"/>
  <c r="Q242" i="40" s="1"/>
  <c r="R242" i="40" s="1"/>
  <c r="S242" i="40" s="1"/>
  <c r="T242" i="40" s="1"/>
  <c r="U242" i="40" s="1"/>
  <c r="V242" i="40" s="1"/>
  <c r="W242" i="40" s="1"/>
  <c r="X242" i="40" s="1"/>
  <c r="Y242" i="40" s="1"/>
  <c r="Z242" i="40" s="1"/>
  <c r="P80" i="33"/>
  <c r="G101" i="41" s="1"/>
  <c r="H101" i="41" s="1"/>
  <c r="I101" i="41" s="1"/>
  <c r="J101" i="41" s="1"/>
  <c r="K101" i="41" s="1"/>
  <c r="L101" i="41" s="1"/>
  <c r="M101" i="41" s="1"/>
  <c r="N101" i="41" s="1"/>
  <c r="O101" i="41" s="1"/>
  <c r="P101" i="41" s="1"/>
  <c r="Q101" i="41" s="1"/>
  <c r="R101" i="41" s="1"/>
  <c r="S101" i="41" s="1"/>
  <c r="T101" i="41" s="1"/>
  <c r="U101" i="41" s="1"/>
  <c r="V101" i="41" s="1"/>
  <c r="W101" i="41" s="1"/>
  <c r="X101" i="41" s="1"/>
  <c r="Y101" i="41" s="1"/>
  <c r="Z101" i="41" s="1"/>
  <c r="O80" i="33"/>
  <c r="G101" i="40" s="1"/>
  <c r="H101" i="40" s="1"/>
  <c r="I101" i="40" s="1"/>
  <c r="J101" i="40" s="1"/>
  <c r="K101" i="40" s="1"/>
  <c r="L101" i="40" s="1"/>
  <c r="M101" i="40" s="1"/>
  <c r="N101" i="40" s="1"/>
  <c r="O101" i="40" s="1"/>
  <c r="P101" i="40" s="1"/>
  <c r="Q101" i="40" s="1"/>
  <c r="R101" i="40" s="1"/>
  <c r="S101" i="40" s="1"/>
  <c r="T101" i="40" s="1"/>
  <c r="U101" i="40" s="1"/>
  <c r="V101" i="40" s="1"/>
  <c r="W101" i="40" s="1"/>
  <c r="X101" i="40" s="1"/>
  <c r="Y101" i="40" s="1"/>
  <c r="Z101" i="40" s="1"/>
  <c r="N80" i="33"/>
  <c r="G101" i="38"/>
  <c r="H101" i="38" s="1"/>
  <c r="I101" i="38" s="1"/>
  <c r="J101" i="38" s="1"/>
  <c r="K101" i="38" s="1"/>
  <c r="L101" i="38" s="1"/>
  <c r="M101" i="38" s="1"/>
  <c r="N101" i="38" s="1"/>
  <c r="O101" i="38" s="1"/>
  <c r="P101" i="38" s="1"/>
  <c r="Q101" i="38" s="1"/>
  <c r="R101" i="38" s="1"/>
  <c r="S101" i="38" s="1"/>
  <c r="T101" i="38" s="1"/>
  <c r="U101" i="38" s="1"/>
  <c r="V101" i="38" s="1"/>
  <c r="W101" i="38" s="1"/>
  <c r="X101" i="38" s="1"/>
  <c r="Y101" i="38" s="1"/>
  <c r="Z101" i="38" s="1"/>
  <c r="P79" i="33"/>
  <c r="G80" i="41" s="1"/>
  <c r="H80" i="41" s="1"/>
  <c r="I80" i="41" s="1"/>
  <c r="J80" i="41" s="1"/>
  <c r="K80" i="41" s="1"/>
  <c r="L80" i="41" s="1"/>
  <c r="M80" i="41" s="1"/>
  <c r="N80" i="41" s="1"/>
  <c r="O80" i="41" s="1"/>
  <c r="P80" i="41" s="1"/>
  <c r="Q80" i="41" s="1"/>
  <c r="R80" i="41" s="1"/>
  <c r="S80" i="41" s="1"/>
  <c r="T80" i="41" s="1"/>
  <c r="U80" i="41" s="1"/>
  <c r="V80" i="41" s="1"/>
  <c r="W80" i="41" s="1"/>
  <c r="X80" i="41" s="1"/>
  <c r="Y80" i="41" s="1"/>
  <c r="Z80" i="41" s="1"/>
  <c r="O79" i="33"/>
  <c r="G80" i="40"/>
  <c r="H80" i="40" s="1"/>
  <c r="I80" i="40" s="1"/>
  <c r="J80" i="40" s="1"/>
  <c r="K80" i="40" s="1"/>
  <c r="L80" i="40" s="1"/>
  <c r="M80" i="40" s="1"/>
  <c r="N80" i="40" s="1"/>
  <c r="O80" i="40" s="1"/>
  <c r="P80" i="40" s="1"/>
  <c r="Q80" i="40" s="1"/>
  <c r="R80" i="40" s="1"/>
  <c r="S80" i="40" s="1"/>
  <c r="T80" i="40" s="1"/>
  <c r="U80" i="40" s="1"/>
  <c r="V80" i="40" s="1"/>
  <c r="W80" i="40" s="1"/>
  <c r="X80" i="40" s="1"/>
  <c r="Y80" i="40" s="1"/>
  <c r="Z80" i="40" s="1"/>
  <c r="N79" i="33"/>
  <c r="G80" i="38" s="1"/>
  <c r="H80" i="38" s="1"/>
  <c r="I80" i="38" s="1"/>
  <c r="J80" i="38" s="1"/>
  <c r="K80" i="38" s="1"/>
  <c r="L80" i="38" s="1"/>
  <c r="M80" i="38" s="1"/>
  <c r="N80" i="38" s="1"/>
  <c r="O80" i="38" s="1"/>
  <c r="P80" i="38" s="1"/>
  <c r="Q80" i="38" s="1"/>
  <c r="R80" i="38" s="1"/>
  <c r="S80" i="38" s="1"/>
  <c r="T80" i="38" s="1"/>
  <c r="U80" i="38" s="1"/>
  <c r="V80" i="38" s="1"/>
  <c r="W80" i="38" s="1"/>
  <c r="X80" i="38" s="1"/>
  <c r="Y80" i="38" s="1"/>
  <c r="Z80" i="38" s="1"/>
  <c r="P78" i="33"/>
  <c r="G59" i="41" s="1"/>
  <c r="H59" i="41" s="1"/>
  <c r="I59" i="41" s="1"/>
  <c r="J59" i="41" s="1"/>
  <c r="K59" i="41" s="1"/>
  <c r="L59" i="41" s="1"/>
  <c r="M59" i="41" s="1"/>
  <c r="N59" i="41" s="1"/>
  <c r="O59" i="41" s="1"/>
  <c r="P59" i="41" s="1"/>
  <c r="Q59" i="41" s="1"/>
  <c r="R59" i="41" s="1"/>
  <c r="S59" i="41" s="1"/>
  <c r="T59" i="41" s="1"/>
  <c r="U59" i="41" s="1"/>
  <c r="V59" i="41" s="1"/>
  <c r="W59" i="41" s="1"/>
  <c r="X59" i="41" s="1"/>
  <c r="Y59" i="41" s="1"/>
  <c r="Z59" i="41" s="1"/>
  <c r="O78" i="33"/>
  <c r="G59" i="40" s="1"/>
  <c r="H59" i="40" s="1"/>
  <c r="I59" i="40" s="1"/>
  <c r="J59" i="40" s="1"/>
  <c r="K59" i="40" s="1"/>
  <c r="L59" i="40" s="1"/>
  <c r="M59" i="40" s="1"/>
  <c r="N59" i="40" s="1"/>
  <c r="O59" i="40" s="1"/>
  <c r="P59" i="40" s="1"/>
  <c r="Q59" i="40" s="1"/>
  <c r="R59" i="40" s="1"/>
  <c r="S59" i="40" s="1"/>
  <c r="T59" i="40" s="1"/>
  <c r="U59" i="40" s="1"/>
  <c r="V59" i="40" s="1"/>
  <c r="W59" i="40" s="1"/>
  <c r="X59" i="40" s="1"/>
  <c r="Y59" i="40" s="1"/>
  <c r="Z59" i="40" s="1"/>
  <c r="N78" i="33"/>
  <c r="G59" i="38" s="1"/>
  <c r="H59" i="38" s="1"/>
  <c r="I59" i="38" s="1"/>
  <c r="J59" i="38" s="1"/>
  <c r="K59" i="38" s="1"/>
  <c r="L59" i="38" s="1"/>
  <c r="M59" i="38" s="1"/>
  <c r="N59" i="38" s="1"/>
  <c r="O59" i="38" s="1"/>
  <c r="P59" i="38" s="1"/>
  <c r="Q59" i="38" s="1"/>
  <c r="R59" i="38" s="1"/>
  <c r="S59" i="38" s="1"/>
  <c r="T59" i="38" s="1"/>
  <c r="U59" i="38" s="1"/>
  <c r="V59" i="38" s="1"/>
  <c r="W59" i="38" s="1"/>
  <c r="X59" i="38" s="1"/>
  <c r="Y59" i="38" s="1"/>
  <c r="Z59" i="38" s="1"/>
  <c r="P77" i="33"/>
  <c r="G38" i="41"/>
  <c r="H38" i="41" s="1"/>
  <c r="I38" i="41" s="1"/>
  <c r="J38" i="41" s="1"/>
  <c r="K38" i="41" s="1"/>
  <c r="L38" i="41" s="1"/>
  <c r="M38" i="41" s="1"/>
  <c r="N38" i="41" s="1"/>
  <c r="O38" i="41" s="1"/>
  <c r="P38" i="41" s="1"/>
  <c r="Q38" i="41" s="1"/>
  <c r="R38" i="41" s="1"/>
  <c r="S38" i="41" s="1"/>
  <c r="T38" i="41" s="1"/>
  <c r="U38" i="41" s="1"/>
  <c r="V38" i="41" s="1"/>
  <c r="W38" i="41" s="1"/>
  <c r="X38" i="41" s="1"/>
  <c r="Y38" i="41" s="1"/>
  <c r="Z38" i="41" s="1"/>
  <c r="O77" i="33"/>
  <c r="G38" i="40" s="1"/>
  <c r="H38" i="40" s="1"/>
  <c r="I38" i="40" s="1"/>
  <c r="J38" i="40" s="1"/>
  <c r="K38" i="40" s="1"/>
  <c r="L38" i="40" s="1"/>
  <c r="M38" i="40" s="1"/>
  <c r="N38" i="40" s="1"/>
  <c r="O38" i="40" s="1"/>
  <c r="P38" i="40" s="1"/>
  <c r="Q38" i="40" s="1"/>
  <c r="R38" i="40" s="1"/>
  <c r="S38" i="40" s="1"/>
  <c r="T38" i="40" s="1"/>
  <c r="U38" i="40" s="1"/>
  <c r="V38" i="40" s="1"/>
  <c r="W38" i="40" s="1"/>
  <c r="X38" i="40" s="1"/>
  <c r="Y38" i="40" s="1"/>
  <c r="Z38" i="40" s="1"/>
  <c r="N77" i="33"/>
  <c r="G38" i="38"/>
  <c r="H38" i="38" s="1"/>
  <c r="I38" i="38" s="1"/>
  <c r="J38" i="38" s="1"/>
  <c r="K38" i="38" s="1"/>
  <c r="L38" i="38" s="1"/>
  <c r="M38" i="38" s="1"/>
  <c r="N38" i="38" s="1"/>
  <c r="O38" i="38" s="1"/>
  <c r="P38" i="38" s="1"/>
  <c r="Q38" i="38" s="1"/>
  <c r="R38" i="38" s="1"/>
  <c r="S38" i="38" s="1"/>
  <c r="T38" i="38" s="1"/>
  <c r="U38" i="38" s="1"/>
  <c r="V38" i="38" s="1"/>
  <c r="W38" i="38" s="1"/>
  <c r="X38" i="38" s="1"/>
  <c r="Y38" i="38" s="1"/>
  <c r="Z38" i="38" s="1"/>
  <c r="P76" i="33"/>
  <c r="G15" i="41" s="1"/>
  <c r="H15" i="41" s="1"/>
  <c r="I15" i="41" s="1"/>
  <c r="J15" i="41" s="1"/>
  <c r="K15" i="41" s="1"/>
  <c r="L15" i="41" s="1"/>
  <c r="M15" i="41" s="1"/>
  <c r="N15" i="41" s="1"/>
  <c r="O15" i="41" s="1"/>
  <c r="P15" i="41" s="1"/>
  <c r="Q15" i="41" s="1"/>
  <c r="R15" i="41" s="1"/>
  <c r="S15" i="41" s="1"/>
  <c r="T15" i="41" s="1"/>
  <c r="U15" i="41" s="1"/>
  <c r="V15" i="41" s="1"/>
  <c r="W15" i="41" s="1"/>
  <c r="X15" i="41" s="1"/>
  <c r="Y15" i="41" s="1"/>
  <c r="Z15" i="41" s="1"/>
  <c r="O76" i="33"/>
  <c r="G15" i="40" s="1"/>
  <c r="H15" i="40" s="1"/>
  <c r="I15" i="40" s="1"/>
  <c r="J15" i="40" s="1"/>
  <c r="K15" i="40" s="1"/>
  <c r="L15" i="40" s="1"/>
  <c r="M15" i="40" s="1"/>
  <c r="N15" i="40" s="1"/>
  <c r="O15" i="40" s="1"/>
  <c r="P15" i="40" s="1"/>
  <c r="Q15" i="40" s="1"/>
  <c r="R15" i="40" s="1"/>
  <c r="S15" i="40" s="1"/>
  <c r="T15" i="40" s="1"/>
  <c r="U15" i="40" s="1"/>
  <c r="V15" i="40" s="1"/>
  <c r="W15" i="40" s="1"/>
  <c r="X15" i="40" s="1"/>
  <c r="Y15" i="40" s="1"/>
  <c r="Z15" i="40" s="1"/>
  <c r="M15" i="38"/>
  <c r="N15" i="38" s="1"/>
  <c r="O15" i="38" s="1"/>
  <c r="P15" i="38" s="1"/>
  <c r="Q15" i="38" s="1"/>
  <c r="R15" i="38" s="1"/>
  <c r="S15" i="38" s="1"/>
  <c r="T15" i="38" s="1"/>
  <c r="U15" i="38" s="1"/>
  <c r="V15" i="38" s="1"/>
  <c r="W15" i="38" s="1"/>
  <c r="X15" i="38" s="1"/>
  <c r="Y15" i="38" s="1"/>
  <c r="Z15" i="38" s="1"/>
  <c r="D199" i="38"/>
  <c r="D205" i="38"/>
  <c r="D197" i="38"/>
  <c r="D195" i="38"/>
  <c r="D194" i="38"/>
  <c r="D193" i="38"/>
  <c r="D192" i="38"/>
  <c r="D191" i="38"/>
  <c r="D190" i="38"/>
  <c r="D189" i="38"/>
  <c r="D187" i="38"/>
  <c r="D186" i="38"/>
  <c r="F166" i="38"/>
  <c r="G166" i="38" s="1"/>
  <c r="H166" i="38" s="1"/>
  <c r="P67" i="33"/>
  <c r="G172" i="41" s="1"/>
  <c r="H172" i="41" s="1"/>
  <c r="I172" i="41" s="1"/>
  <c r="J172" i="41" s="1"/>
  <c r="K172" i="41" s="1"/>
  <c r="L172" i="41" s="1"/>
  <c r="M172" i="41" s="1"/>
  <c r="N172" i="41" s="1"/>
  <c r="O172" i="41" s="1"/>
  <c r="P172" i="41" s="1"/>
  <c r="Q172" i="41" s="1"/>
  <c r="R172" i="41" s="1"/>
  <c r="S172" i="41" s="1"/>
  <c r="T172" i="41" s="1"/>
  <c r="U172" i="41" s="1"/>
  <c r="V172" i="41" s="1"/>
  <c r="W172" i="41" s="1"/>
  <c r="X172" i="41" s="1"/>
  <c r="Y172" i="41" s="1"/>
  <c r="Z172" i="41" s="1"/>
  <c r="O67" i="33"/>
  <c r="G173" i="40" s="1"/>
  <c r="H173" i="40" s="1"/>
  <c r="I173" i="40" s="1"/>
  <c r="J173" i="40" s="1"/>
  <c r="K173" i="40" s="1"/>
  <c r="L173" i="40" s="1"/>
  <c r="M173" i="40" s="1"/>
  <c r="N173" i="40" s="1"/>
  <c r="O173" i="40" s="1"/>
  <c r="P173" i="40" s="1"/>
  <c r="Q173" i="40" s="1"/>
  <c r="R173" i="40" s="1"/>
  <c r="S173" i="40" s="1"/>
  <c r="T173" i="40" s="1"/>
  <c r="U173" i="40" s="1"/>
  <c r="V173" i="40" s="1"/>
  <c r="W173" i="40" s="1"/>
  <c r="X173" i="40" s="1"/>
  <c r="Y173" i="40" s="1"/>
  <c r="Z173" i="40" s="1"/>
  <c r="N67" i="33"/>
  <c r="G172" i="38" s="1"/>
  <c r="H172" i="38" s="1"/>
  <c r="I172" i="38" s="1"/>
  <c r="J172" i="38" s="1"/>
  <c r="K172" i="38" s="1"/>
  <c r="L172" i="38" s="1"/>
  <c r="M172" i="38" s="1"/>
  <c r="N172" i="38" s="1"/>
  <c r="O172" i="38" s="1"/>
  <c r="P172" i="38" s="1"/>
  <c r="Q172" i="38" s="1"/>
  <c r="R172" i="38" s="1"/>
  <c r="S172" i="38" s="1"/>
  <c r="T172" i="38" s="1"/>
  <c r="U172" i="38" s="1"/>
  <c r="V172" i="38" s="1"/>
  <c r="W172" i="38" s="1"/>
  <c r="X172" i="38" s="1"/>
  <c r="Y172" i="38" s="1"/>
  <c r="Z172" i="38" s="1"/>
  <c r="H119" i="33"/>
  <c r="G119" i="33"/>
  <c r="F119" i="33"/>
  <c r="H117" i="33"/>
  <c r="G117" i="33"/>
  <c r="F117" i="33"/>
  <c r="P115" i="33"/>
  <c r="O115" i="33"/>
  <c r="N115" i="33"/>
  <c r="P113" i="33"/>
  <c r="O113" i="33"/>
  <c r="N113" i="33"/>
  <c r="P111" i="33"/>
  <c r="O111" i="33"/>
  <c r="N111" i="33"/>
  <c r="P110" i="33"/>
  <c r="O110" i="33"/>
  <c r="N110" i="33"/>
  <c r="P109" i="33"/>
  <c r="O109" i="33"/>
  <c r="N109" i="33"/>
  <c r="P108" i="33"/>
  <c r="O108" i="33"/>
  <c r="N108" i="33"/>
  <c r="P107" i="33"/>
  <c r="O107" i="33"/>
  <c r="N107" i="33"/>
  <c r="P106" i="33"/>
  <c r="O106" i="33"/>
  <c r="N106" i="33"/>
  <c r="P105" i="33"/>
  <c r="O105" i="33"/>
  <c r="N105" i="33"/>
  <c r="P104" i="33"/>
  <c r="O104" i="33"/>
  <c r="N104" i="33"/>
  <c r="H25" i="39"/>
  <c r="G25" i="39"/>
  <c r="F25" i="39"/>
  <c r="H24" i="39"/>
  <c r="G24" i="39"/>
  <c r="F24" i="39"/>
  <c r="G189" i="33"/>
  <c r="F189" i="33"/>
  <c r="G202" i="33"/>
  <c r="F202" i="33"/>
  <c r="F195" i="33"/>
  <c r="F95" i="38"/>
  <c r="G95" i="38" s="1"/>
  <c r="H95" i="38" s="1"/>
  <c r="I95" i="38" s="1"/>
  <c r="J95" i="38" s="1"/>
  <c r="K95" i="38" s="1"/>
  <c r="L95" i="38" s="1"/>
  <c r="M95" i="38" s="1"/>
  <c r="AP16" i="35"/>
  <c r="AP17" i="35" s="1"/>
  <c r="AP18" i="35" s="1"/>
  <c r="AP19" i="35" s="1"/>
  <c r="AP20" i="35" s="1"/>
  <c r="AP21" i="35" s="1"/>
  <c r="AP22" i="35" s="1"/>
  <c r="AP23" i="35" s="1"/>
  <c r="AP24" i="35" s="1"/>
  <c r="AP25" i="35" s="1"/>
  <c r="AP26" i="35" s="1"/>
  <c r="AP27" i="35" s="1"/>
  <c r="AP28" i="35" s="1"/>
  <c r="AP29" i="35" s="1"/>
  <c r="AP30" i="35" s="1"/>
  <c r="AP31" i="35" s="1"/>
  <c r="AP32" i="35" s="1"/>
  <c r="AP33" i="35" s="1"/>
  <c r="AP34" i="35" s="1"/>
  <c r="AP35" i="35" s="1"/>
  <c r="AP36" i="35" s="1"/>
  <c r="AP37" i="35" s="1"/>
  <c r="AP38" i="35" s="1"/>
  <c r="AP39" i="35" s="1"/>
  <c r="AP40" i="35" s="1"/>
  <c r="AP41" i="35" s="1"/>
  <c r="AP42" i="35" s="1"/>
  <c r="AP43" i="35" s="1"/>
  <c r="AP44" i="35" s="1"/>
  <c r="AP45" i="35" s="1"/>
  <c r="AT48" i="35"/>
  <c r="P92" i="33"/>
  <c r="O92" i="33"/>
  <c r="N92" i="33"/>
  <c r="P73" i="33"/>
  <c r="O73" i="33"/>
  <c r="N73" i="33"/>
  <c r="P72" i="33"/>
  <c r="O72" i="33"/>
  <c r="N72" i="33"/>
  <c r="P59" i="33"/>
  <c r="O59" i="33"/>
  <c r="N59" i="33"/>
  <c r="P134" i="33"/>
  <c r="O134" i="33"/>
  <c r="N134" i="33"/>
  <c r="G218" i="33"/>
  <c r="O28" i="33" s="1"/>
  <c r="O40" i="33" s="1"/>
  <c r="F218" i="33"/>
  <c r="N28" i="33" s="1"/>
  <c r="H216" i="33"/>
  <c r="G216" i="33"/>
  <c r="F216" i="33"/>
  <c r="G212" i="33"/>
  <c r="G217" i="33" s="1"/>
  <c r="G219" i="33" s="1"/>
  <c r="F212" i="33"/>
  <c r="F217" i="33" s="1"/>
  <c r="F219" i="33" s="1"/>
  <c r="H208" i="33"/>
  <c r="G208" i="33"/>
  <c r="F208" i="33"/>
  <c r="O50" i="33"/>
  <c r="N50" i="33"/>
  <c r="H199" i="33"/>
  <c r="F199" i="33"/>
  <c r="F186" i="33"/>
  <c r="G193" i="33"/>
  <c r="P20" i="33"/>
  <c r="O20" i="33"/>
  <c r="N20" i="33"/>
  <c r="P135" i="33"/>
  <c r="O135" i="33"/>
  <c r="N135" i="33"/>
  <c r="P74" i="33"/>
  <c r="G123" i="41"/>
  <c r="H123" i="41" s="1"/>
  <c r="I123" i="41" s="1"/>
  <c r="J123" i="41" s="1"/>
  <c r="K123" i="41" s="1"/>
  <c r="L123" i="41" s="1"/>
  <c r="M123" i="41" s="1"/>
  <c r="N123" i="41" s="1"/>
  <c r="O123" i="41" s="1"/>
  <c r="P123" i="41" s="1"/>
  <c r="Q123" i="41" s="1"/>
  <c r="R123" i="41" s="1"/>
  <c r="S123" i="41" s="1"/>
  <c r="T123" i="41" s="1"/>
  <c r="U123" i="41" s="1"/>
  <c r="V123" i="41" s="1"/>
  <c r="W123" i="41" s="1"/>
  <c r="X123" i="41" s="1"/>
  <c r="Y123" i="41" s="1"/>
  <c r="Z123" i="41" s="1"/>
  <c r="O74" i="33"/>
  <c r="G123" i="40" s="1"/>
  <c r="H123" i="40" s="1"/>
  <c r="I123" i="40" s="1"/>
  <c r="J123" i="40" s="1"/>
  <c r="K123" i="40" s="1"/>
  <c r="L123" i="40" s="1"/>
  <c r="M123" i="40" s="1"/>
  <c r="N123" i="40" s="1"/>
  <c r="O123" i="40" s="1"/>
  <c r="P123" i="40" s="1"/>
  <c r="Q123" i="40" s="1"/>
  <c r="R123" i="40" s="1"/>
  <c r="S123" i="40" s="1"/>
  <c r="T123" i="40" s="1"/>
  <c r="U123" i="40" s="1"/>
  <c r="V123" i="40" s="1"/>
  <c r="W123" i="40" s="1"/>
  <c r="X123" i="40" s="1"/>
  <c r="Y123" i="40" s="1"/>
  <c r="Z123" i="40" s="1"/>
  <c r="N74" i="33"/>
  <c r="G123" i="38" s="1"/>
  <c r="H123" i="38" s="1"/>
  <c r="I123" i="38" s="1"/>
  <c r="J123" i="38" s="1"/>
  <c r="K123" i="38" s="1"/>
  <c r="L123" i="38" s="1"/>
  <c r="M123" i="38" s="1"/>
  <c r="N123" i="38" s="1"/>
  <c r="O123" i="38" s="1"/>
  <c r="P123" i="38" s="1"/>
  <c r="Q123" i="38" s="1"/>
  <c r="R123" i="38" s="1"/>
  <c r="S123" i="38" s="1"/>
  <c r="T123" i="38" s="1"/>
  <c r="U123" i="38" s="1"/>
  <c r="V123" i="38" s="1"/>
  <c r="W123" i="38" s="1"/>
  <c r="X123" i="38" s="1"/>
  <c r="Y123" i="38" s="1"/>
  <c r="Z123" i="38" s="1"/>
  <c r="P60" i="33"/>
  <c r="O60" i="33"/>
  <c r="N60" i="33"/>
  <c r="H175" i="33"/>
  <c r="G175" i="33"/>
  <c r="F175" i="33"/>
  <c r="H112" i="33"/>
  <c r="H114" i="33" s="1"/>
  <c r="H115" i="33" s="1"/>
  <c r="F114" i="33"/>
  <c r="F115" i="33" s="1"/>
  <c r="H106" i="33"/>
  <c r="G106" i="33"/>
  <c r="F106" i="33"/>
  <c r="H103" i="33"/>
  <c r="G103" i="33"/>
  <c r="F103" i="33"/>
  <c r="AE48" i="35"/>
  <c r="O48" i="35"/>
  <c r="J2" i="32"/>
  <c r="J28" i="32" s="1"/>
  <c r="I2" i="32"/>
  <c r="I6" i="32" s="1"/>
  <c r="H2" i="32"/>
  <c r="H28" i="32" s="1"/>
  <c r="P138" i="33"/>
  <c r="O138" i="33"/>
  <c r="N138" i="33"/>
  <c r="P126" i="33"/>
  <c r="O126" i="33"/>
  <c r="N126" i="33"/>
  <c r="P52" i="33"/>
  <c r="O52" i="33"/>
  <c r="N52" i="33"/>
  <c r="H158" i="33"/>
  <c r="G158" i="33"/>
  <c r="F158" i="33"/>
  <c r="H140" i="33"/>
  <c r="G140" i="33"/>
  <c r="F140" i="33"/>
  <c r="H123" i="33"/>
  <c r="G123" i="33"/>
  <c r="F123" i="33"/>
  <c r="H60" i="33"/>
  <c r="G60" i="33"/>
  <c r="F60" i="33"/>
  <c r="H33" i="33"/>
  <c r="G33" i="33"/>
  <c r="F33" i="33"/>
  <c r="D6" i="35"/>
  <c r="D5" i="35"/>
  <c r="N145" i="33"/>
  <c r="H170" i="33"/>
  <c r="G170" i="33"/>
  <c r="F170" i="33"/>
  <c r="H166" i="33"/>
  <c r="G154" i="33"/>
  <c r="O26" i="33" s="1"/>
  <c r="H152" i="33"/>
  <c r="G152" i="33"/>
  <c r="G148" i="33"/>
  <c r="H144" i="33"/>
  <c r="G144" i="33"/>
  <c r="H135" i="33"/>
  <c r="G135" i="33"/>
  <c r="P185" i="33"/>
  <c r="J21" i="32" s="1"/>
  <c r="O185" i="33"/>
  <c r="I21" i="32" s="1"/>
  <c r="N185" i="33"/>
  <c r="H21" i="32" s="1"/>
  <c r="X56" i="32" s="1"/>
  <c r="H131" i="33"/>
  <c r="G131" i="33"/>
  <c r="F131" i="33"/>
  <c r="H96" i="33"/>
  <c r="H95" i="33" s="1"/>
  <c r="H94" i="48" s="1"/>
  <c r="G96" i="33"/>
  <c r="G95" i="33" s="1"/>
  <c r="G94" i="48" s="1"/>
  <c r="F96" i="33"/>
  <c r="H94" i="33"/>
  <c r="G94" i="33"/>
  <c r="F94" i="33"/>
  <c r="P136" i="33"/>
  <c r="O136" i="33"/>
  <c r="N136" i="33"/>
  <c r="P133" i="33"/>
  <c r="O133" i="33"/>
  <c r="N133" i="33"/>
  <c r="P132" i="33"/>
  <c r="O132" i="33"/>
  <c r="N132" i="33"/>
  <c r="P131" i="33"/>
  <c r="O131" i="33"/>
  <c r="N131" i="33"/>
  <c r="P130" i="33"/>
  <c r="O130" i="33"/>
  <c r="N130" i="33"/>
  <c r="P129" i="33"/>
  <c r="O129" i="33"/>
  <c r="N129" i="33"/>
  <c r="P128" i="33"/>
  <c r="O128" i="33"/>
  <c r="N128" i="33"/>
  <c r="H74" i="33"/>
  <c r="G74" i="33"/>
  <c r="F74" i="33"/>
  <c r="H70" i="33"/>
  <c r="G70" i="33"/>
  <c r="F70" i="33"/>
  <c r="H71" i="33" s="1"/>
  <c r="P102" i="33"/>
  <c r="O102" i="33"/>
  <c r="N102" i="33"/>
  <c r="H66" i="33"/>
  <c r="G66" i="33"/>
  <c r="F66" i="33"/>
  <c r="P101" i="33"/>
  <c r="O101" i="33"/>
  <c r="N101" i="33"/>
  <c r="F62" i="33"/>
  <c r="G63" i="33" s="1"/>
  <c r="P91" i="33"/>
  <c r="O91" i="33"/>
  <c r="N91" i="33"/>
  <c r="P90" i="33"/>
  <c r="O90" i="33"/>
  <c r="N90" i="33"/>
  <c r="P71" i="33"/>
  <c r="O71" i="33"/>
  <c r="N71" i="33"/>
  <c r="P70" i="33"/>
  <c r="O70" i="33"/>
  <c r="N70" i="33"/>
  <c r="P69" i="33"/>
  <c r="O69" i="33"/>
  <c r="N69" i="33"/>
  <c r="O68" i="33"/>
  <c r="P66" i="33"/>
  <c r="O66" i="33"/>
  <c r="N66" i="33"/>
  <c r="P65" i="33"/>
  <c r="O65" i="33"/>
  <c r="N65" i="33"/>
  <c r="P64" i="33"/>
  <c r="G37" i="41" s="1"/>
  <c r="H37" i="41" s="1"/>
  <c r="I37" i="41" s="1"/>
  <c r="J37" i="41" s="1"/>
  <c r="K37" i="41" s="1"/>
  <c r="L37" i="41" s="1"/>
  <c r="M37" i="41" s="1"/>
  <c r="N37" i="41" s="1"/>
  <c r="O37" i="41" s="1"/>
  <c r="P37" i="41" s="1"/>
  <c r="Q37" i="41" s="1"/>
  <c r="R37" i="41" s="1"/>
  <c r="S37" i="41" s="1"/>
  <c r="T37" i="41" s="1"/>
  <c r="U37" i="41" s="1"/>
  <c r="V37" i="41" s="1"/>
  <c r="W37" i="41" s="1"/>
  <c r="X37" i="41" s="1"/>
  <c r="Y37" i="41" s="1"/>
  <c r="Z37" i="41" s="1"/>
  <c r="O64" i="33"/>
  <c r="G37" i="40" s="1"/>
  <c r="H37" i="40" s="1"/>
  <c r="I37" i="40" s="1"/>
  <c r="J37" i="40" s="1"/>
  <c r="K37" i="40" s="1"/>
  <c r="L37" i="40" s="1"/>
  <c r="M37" i="40" s="1"/>
  <c r="N37" i="40" s="1"/>
  <c r="O37" i="40" s="1"/>
  <c r="P37" i="40" s="1"/>
  <c r="Q37" i="40" s="1"/>
  <c r="R37" i="40" s="1"/>
  <c r="S37" i="40" s="1"/>
  <c r="T37" i="40" s="1"/>
  <c r="U37" i="40" s="1"/>
  <c r="V37" i="40" s="1"/>
  <c r="W37" i="40" s="1"/>
  <c r="X37" i="40" s="1"/>
  <c r="Y37" i="40" s="1"/>
  <c r="Z37" i="40" s="1"/>
  <c r="N64" i="33"/>
  <c r="G37" i="38" s="1"/>
  <c r="H37" i="38" s="1"/>
  <c r="I37" i="38" s="1"/>
  <c r="J37" i="38" s="1"/>
  <c r="K37" i="38" s="1"/>
  <c r="L37" i="38" s="1"/>
  <c r="M37" i="38" s="1"/>
  <c r="N37" i="38" s="1"/>
  <c r="O37" i="38" s="1"/>
  <c r="P37" i="38" s="1"/>
  <c r="Q37" i="38" s="1"/>
  <c r="R37" i="38" s="1"/>
  <c r="S37" i="38" s="1"/>
  <c r="T37" i="38" s="1"/>
  <c r="U37" i="38" s="1"/>
  <c r="V37" i="38" s="1"/>
  <c r="W37" i="38" s="1"/>
  <c r="X37" i="38" s="1"/>
  <c r="Y37" i="38" s="1"/>
  <c r="Z37" i="38" s="1"/>
  <c r="P63" i="33"/>
  <c r="G14" i="41" s="1"/>
  <c r="H14" i="41" s="1"/>
  <c r="I14" i="41" s="1"/>
  <c r="J14" i="41" s="1"/>
  <c r="K14" i="41" s="1"/>
  <c r="L14" i="41" s="1"/>
  <c r="M14" i="41" s="1"/>
  <c r="N14" i="41" s="1"/>
  <c r="O14" i="41" s="1"/>
  <c r="P14" i="41" s="1"/>
  <c r="Q14" i="41" s="1"/>
  <c r="R14" i="41" s="1"/>
  <c r="S14" i="41" s="1"/>
  <c r="T14" i="41" s="1"/>
  <c r="U14" i="41" s="1"/>
  <c r="V14" i="41" s="1"/>
  <c r="W14" i="41" s="1"/>
  <c r="X14" i="41" s="1"/>
  <c r="Y14" i="41" s="1"/>
  <c r="Z14" i="41" s="1"/>
  <c r="O63" i="33"/>
  <c r="G14" i="40" s="1"/>
  <c r="H14" i="40" s="1"/>
  <c r="I14" i="40" s="1"/>
  <c r="J14" i="40" s="1"/>
  <c r="K14" i="40" s="1"/>
  <c r="L14" i="40" s="1"/>
  <c r="M14" i="40" s="1"/>
  <c r="N14" i="40" s="1"/>
  <c r="O14" i="40" s="1"/>
  <c r="P14" i="40" s="1"/>
  <c r="Q14" i="40" s="1"/>
  <c r="R14" i="40" s="1"/>
  <c r="S14" i="40" s="1"/>
  <c r="T14" i="40" s="1"/>
  <c r="U14" i="40" s="1"/>
  <c r="V14" i="40" s="1"/>
  <c r="W14" i="40" s="1"/>
  <c r="X14" i="40" s="1"/>
  <c r="Y14" i="40" s="1"/>
  <c r="Z14" i="40" s="1"/>
  <c r="N63" i="33"/>
  <c r="G14" i="38" s="1"/>
  <c r="H14" i="38" s="1"/>
  <c r="I14" i="38" s="1"/>
  <c r="J14" i="38" s="1"/>
  <c r="K14" i="38" s="1"/>
  <c r="L14" i="38" s="1"/>
  <c r="M14" i="38" s="1"/>
  <c r="N14" i="38" s="1"/>
  <c r="O14" i="38" s="1"/>
  <c r="P14" i="38" s="1"/>
  <c r="Q14" i="38" s="1"/>
  <c r="R14" i="38" s="1"/>
  <c r="S14" i="38" s="1"/>
  <c r="T14" i="38" s="1"/>
  <c r="U14" i="38" s="1"/>
  <c r="V14" i="38" s="1"/>
  <c r="W14" i="38" s="1"/>
  <c r="X14" i="38" s="1"/>
  <c r="Y14" i="38" s="1"/>
  <c r="Z14" i="38" s="1"/>
  <c r="P58" i="33"/>
  <c r="O58" i="33"/>
  <c r="N58" i="33"/>
  <c r="P57" i="33"/>
  <c r="O57" i="33"/>
  <c r="N57" i="33"/>
  <c r="P56" i="33"/>
  <c r="O56" i="33"/>
  <c r="N56" i="33"/>
  <c r="P55" i="33"/>
  <c r="O55" i="33"/>
  <c r="N55" i="33"/>
  <c r="P54" i="33"/>
  <c r="O54" i="33"/>
  <c r="N54" i="33"/>
  <c r="H29" i="33"/>
  <c r="G29" i="33"/>
  <c r="F29" i="33"/>
  <c r="F69" i="48"/>
  <c r="H104" i="33"/>
  <c r="F63" i="33"/>
  <c r="F62" i="48" s="1"/>
  <c r="AJ13" i="35"/>
  <c r="AJ14" i="35" s="1"/>
  <c r="AJ15" i="35" s="1"/>
  <c r="AJ16" i="35" s="1"/>
  <c r="AJ17" i="35" s="1"/>
  <c r="AJ18" i="35" s="1"/>
  <c r="AJ19" i="35" s="1"/>
  <c r="AJ20" i="35" s="1"/>
  <c r="AJ21" i="35" s="1"/>
  <c r="AJ22" i="35" s="1"/>
  <c r="AJ23" i="35" s="1"/>
  <c r="AJ24" i="35" s="1"/>
  <c r="AJ25" i="35" s="1"/>
  <c r="AJ26" i="35" s="1"/>
  <c r="AJ27" i="35" s="1"/>
  <c r="AJ28" i="35" s="1"/>
  <c r="AJ29" i="35" s="1"/>
  <c r="AJ30" i="35" s="1"/>
  <c r="AJ31" i="35" s="1"/>
  <c r="AJ32" i="35" s="1"/>
  <c r="AJ33" i="35" s="1"/>
  <c r="AJ34" i="35" s="1"/>
  <c r="AJ35" i="35" s="1"/>
  <c r="AJ36" i="35" s="1"/>
  <c r="AJ37" i="35" s="1"/>
  <c r="AJ38" i="35" s="1"/>
  <c r="AJ39" i="35" s="1"/>
  <c r="AJ40" i="35" s="1"/>
  <c r="AJ41" i="35" s="1"/>
  <c r="AJ42" i="35" s="1"/>
  <c r="AJ43" i="35" s="1"/>
  <c r="AJ44" i="35" s="1"/>
  <c r="AJ45" i="35" s="1"/>
  <c r="U13" i="35"/>
  <c r="U14" i="35" s="1"/>
  <c r="U16" i="35"/>
  <c r="U17" i="35" s="1"/>
  <c r="U18" i="35" s="1"/>
  <c r="U19" i="35" s="1"/>
  <c r="U20" i="35" s="1"/>
  <c r="U21" i="35" s="1"/>
  <c r="U22" i="35" s="1"/>
  <c r="U23" i="35" s="1"/>
  <c r="U24" i="35" s="1"/>
  <c r="U25" i="35" s="1"/>
  <c r="U26" i="35" s="1"/>
  <c r="U27" i="35" s="1"/>
  <c r="U28" i="35" s="1"/>
  <c r="U29" i="35" s="1"/>
  <c r="U30" i="35" s="1"/>
  <c r="U31" i="35" s="1"/>
  <c r="U32" i="35" s="1"/>
  <c r="U33" i="35" s="1"/>
  <c r="U34" i="35" s="1"/>
  <c r="U35" i="35" s="1"/>
  <c r="U36" i="35" s="1"/>
  <c r="U37" i="35" s="1"/>
  <c r="U38" i="35" s="1"/>
  <c r="U39" i="35" s="1"/>
  <c r="U40" i="35" s="1"/>
  <c r="U41" i="35" s="1"/>
  <c r="U42" i="35" s="1"/>
  <c r="U43" i="35" s="1"/>
  <c r="U44" i="35" s="1"/>
  <c r="U45" i="35" s="1"/>
  <c r="G28" i="33"/>
  <c r="G12" i="32"/>
  <c r="G11" i="32"/>
  <c r="K25" i="43"/>
  <c r="H34" i="31"/>
  <c r="G76" i="31"/>
  <c r="F76" i="28"/>
  <c r="G76" i="28" s="1"/>
  <c r="H76" i="28" s="1"/>
  <c r="I76" i="28" s="1"/>
  <c r="J76" i="28" s="1"/>
  <c r="K76" i="28" s="1"/>
  <c r="L76" i="28" s="1"/>
  <c r="M76" i="28" s="1"/>
  <c r="N76" i="28" s="1"/>
  <c r="F6" i="28"/>
  <c r="G6" i="28" s="1"/>
  <c r="H6" i="28" s="1"/>
  <c r="I6" i="28" s="1"/>
  <c r="J6" i="28" s="1"/>
  <c r="K6" i="28" s="1"/>
  <c r="L6" i="28" s="1"/>
  <c r="M6" i="28" s="1"/>
  <c r="N6" i="28" s="1"/>
  <c r="D344" i="38"/>
  <c r="K26" i="43"/>
  <c r="AT23" i="43"/>
  <c r="AX11" i="43"/>
  <c r="AX12" i="43"/>
  <c r="AX13" i="43"/>
  <c r="AX14" i="43"/>
  <c r="AX15" i="43"/>
  <c r="AX24" i="43" s="1"/>
  <c r="AX16" i="43"/>
  <c r="AX17" i="43"/>
  <c r="AX18" i="43"/>
  <c r="AX19" i="43"/>
  <c r="AX20" i="43"/>
  <c r="AX21" i="43"/>
  <c r="AS11" i="43"/>
  <c r="AS13" i="43"/>
  <c r="AS14" i="43"/>
  <c r="AS15" i="43"/>
  <c r="AS16" i="43"/>
  <c r="AS17" i="43"/>
  <c r="AS18" i="43"/>
  <c r="AS19" i="43"/>
  <c r="AS26" i="43" s="1"/>
  <c r="AP45" i="43" s="1"/>
  <c r="AS20" i="43"/>
  <c r="AS22" i="43"/>
  <c r="AV11" i="43"/>
  <c r="AV12" i="43"/>
  <c r="AV25" i="43" s="1"/>
  <c r="AV13" i="43"/>
  <c r="AV14" i="43"/>
  <c r="AV15" i="43"/>
  <c r="AV16" i="43"/>
  <c r="AV17" i="43"/>
  <c r="AV18" i="43"/>
  <c r="AV19" i="43"/>
  <c r="AV20" i="43"/>
  <c r="AV21" i="43"/>
  <c r="AV26" i="43" s="1"/>
  <c r="H218" i="33" s="1"/>
  <c r="AV22" i="43"/>
  <c r="D344" i="41"/>
  <c r="W53" i="32"/>
  <c r="N4" i="43"/>
  <c r="AX22" i="43"/>
  <c r="AU26" i="43"/>
  <c r="AU24" i="43"/>
  <c r="F172" i="33" s="1"/>
  <c r="O1" i="43"/>
  <c r="AN38" i="43"/>
  <c r="AT26" i="43"/>
  <c r="H51" i="48"/>
  <c r="E51" i="48" s="1"/>
  <c r="F71" i="33"/>
  <c r="F64" i="48" s="1"/>
  <c r="H13" i="31"/>
  <c r="H99" i="39" s="1"/>
  <c r="H74" i="38"/>
  <c r="H52" i="33"/>
  <c r="G371" i="38"/>
  <c r="H359" i="38"/>
  <c r="H371" i="38" s="1"/>
  <c r="AR25" i="43"/>
  <c r="G127" i="33" s="1"/>
  <c r="D56" i="48"/>
  <c r="F193" i="33"/>
  <c r="F205" i="33" s="1"/>
  <c r="N30" i="33" s="1"/>
  <c r="N42" i="33" s="1"/>
  <c r="H19" i="31" s="1"/>
  <c r="G36" i="48"/>
  <c r="G37" i="48" s="1"/>
  <c r="G162" i="33"/>
  <c r="H6" i="45"/>
  <c r="J6" i="45" s="1"/>
  <c r="F127" i="28" s="1"/>
  <c r="J31" i="45"/>
  <c r="AA20" i="43"/>
  <c r="AQ20" i="43" s="1"/>
  <c r="AW20" i="43"/>
  <c r="AW24" i="43" s="1"/>
  <c r="AA12" i="43"/>
  <c r="AW12" i="43"/>
  <c r="J411" i="38"/>
  <c r="K399" i="38"/>
  <c r="K411" i="38" s="1"/>
  <c r="F327" i="40"/>
  <c r="F7" i="48"/>
  <c r="C9" i="35"/>
  <c r="B11" i="35" s="1"/>
  <c r="J9" i="32"/>
  <c r="J404" i="40"/>
  <c r="J417" i="40" s="1"/>
  <c r="I417" i="40"/>
  <c r="G8" i="48"/>
  <c r="X9" i="35"/>
  <c r="G25" i="46"/>
  <c r="G26" i="46" s="1"/>
  <c r="G27" i="46" s="1"/>
  <c r="G28" i="46" s="1"/>
  <c r="G29" i="46" s="1"/>
  <c r="G30" i="46" s="1"/>
  <c r="E32" i="46"/>
  <c r="Z10" i="43"/>
  <c r="AW10" i="43"/>
  <c r="AA21" i="43"/>
  <c r="AQ21" i="43" s="1"/>
  <c r="AC26" i="43"/>
  <c r="AS21" i="43"/>
  <c r="Y13" i="35"/>
  <c r="I9" i="32"/>
  <c r="R59" i="48" s="1"/>
  <c r="AC1" i="43"/>
  <c r="AB4" i="43"/>
  <c r="AR4" i="43" s="1"/>
  <c r="G7" i="48"/>
  <c r="S9" i="35"/>
  <c r="R11" i="35" s="1"/>
  <c r="Z18" i="43"/>
  <c r="AW18" i="43"/>
  <c r="AA18" i="43"/>
  <c r="AQ18" i="43" s="1"/>
  <c r="AA9" i="43"/>
  <c r="AQ9" i="43" s="1"/>
  <c r="AQ24" i="43" s="1"/>
  <c r="AW9" i="43"/>
  <c r="Z7" i="43"/>
  <c r="AA17" i="43"/>
  <c r="AW17" i="43"/>
  <c r="AG24" i="43"/>
  <c r="AA8" i="43"/>
  <c r="AW8" i="43"/>
  <c r="AW7" i="43"/>
  <c r="AA7" i="43"/>
  <c r="AQ7" i="43" s="1"/>
  <c r="AO7" i="43" s="1"/>
  <c r="Z20" i="43"/>
  <c r="F37" i="43"/>
  <c r="Z19" i="43"/>
  <c r="AP19" i="43" s="1"/>
  <c r="P3" i="31"/>
  <c r="F152" i="33"/>
  <c r="AT24" i="43"/>
  <c r="I55" i="45"/>
  <c r="I56" i="45" s="1"/>
  <c r="I64" i="45" s="1"/>
  <c r="H53" i="45"/>
  <c r="E55" i="45"/>
  <c r="G53" i="45"/>
  <c r="AA19" i="43"/>
  <c r="AQ19" i="43"/>
  <c r="AM19" i="43" s="1"/>
  <c r="AR26" i="43"/>
  <c r="H127" i="33"/>
  <c r="H136" i="33" s="1"/>
  <c r="AG26" i="43"/>
  <c r="Z6" i="43"/>
  <c r="AA6" i="43"/>
  <c r="H417" i="40"/>
  <c r="H7" i="48"/>
  <c r="AH9" i="35"/>
  <c r="AG11" i="35" s="1"/>
  <c r="AG12" i="35" s="1"/>
  <c r="AG13" i="35" s="1"/>
  <c r="AH26" i="43"/>
  <c r="Z22" i="43"/>
  <c r="AR24" i="43"/>
  <c r="AG23" i="43"/>
  <c r="AA14" i="43"/>
  <c r="AW14" i="43"/>
  <c r="AG25" i="43"/>
  <c r="Z11" i="43"/>
  <c r="Z25" i="43" s="1"/>
  <c r="AW11" i="43"/>
  <c r="AA11" i="43"/>
  <c r="Z15" i="43"/>
  <c r="AP15" i="43" s="1"/>
  <c r="G171" i="39"/>
  <c r="G113" i="39"/>
  <c r="G142" i="39"/>
  <c r="AA10" i="43"/>
  <c r="AQ10" i="43" s="1"/>
  <c r="Z21" i="43"/>
  <c r="AA15" i="43"/>
  <c r="AQ15" i="43"/>
  <c r="Z9" i="43"/>
  <c r="AP9" i="43" s="1"/>
  <c r="Z8" i="43"/>
  <c r="Z13" i="43"/>
  <c r="Z12" i="43"/>
  <c r="AP12" i="43" s="1"/>
  <c r="Z17" i="43"/>
  <c r="AI17" i="43" s="1"/>
  <c r="AA22" i="43"/>
  <c r="Z16" i="43"/>
  <c r="G166" i="39"/>
  <c r="G137" i="39"/>
  <c r="G108" i="39"/>
  <c r="G53" i="48"/>
  <c r="G139" i="39"/>
  <c r="AB4" i="31"/>
  <c r="AB22" i="31" s="1"/>
  <c r="AC3" i="31"/>
  <c r="AC4" i="31" s="1"/>
  <c r="AC22" i="31" s="1"/>
  <c r="AC26" i="31" s="1"/>
  <c r="H27" i="31"/>
  <c r="AA4" i="31"/>
  <c r="AA22" i="31" s="1"/>
  <c r="P4" i="31"/>
  <c r="P22" i="31" s="1"/>
  <c r="P73" i="31" s="1"/>
  <c r="Q3" i="31"/>
  <c r="Q4" i="31" s="1"/>
  <c r="Q22" i="31" s="1"/>
  <c r="AD3" i="31"/>
  <c r="AD4" i="31" s="1"/>
  <c r="AD22" i="31" s="1"/>
  <c r="AQ11" i="43"/>
  <c r="AW26" i="43"/>
  <c r="AP7" i="43"/>
  <c r="AI7" i="43"/>
  <c r="Y14" i="35"/>
  <c r="AP13" i="43"/>
  <c r="AI12" i="43"/>
  <c r="AP8" i="43"/>
  <c r="AP22" i="43"/>
  <c r="AI22" i="43"/>
  <c r="AQ6" i="43"/>
  <c r="AP10" i="43"/>
  <c r="AI10" i="43"/>
  <c r="AP18" i="43"/>
  <c r="AO18" i="43" s="1"/>
  <c r="AP16" i="43"/>
  <c r="AI11" i="43"/>
  <c r="H55" i="45"/>
  <c r="AQ8" i="43"/>
  <c r="AO8" i="43" s="1"/>
  <c r="AD1" i="43"/>
  <c r="AD4" i="43" s="1"/>
  <c r="AT4" i="43" s="1"/>
  <c r="AC4" i="43"/>
  <c r="AS4" i="43" s="1"/>
  <c r="H148" i="33"/>
  <c r="H153" i="33" s="1"/>
  <c r="H154" i="33"/>
  <c r="P26" i="33" s="1"/>
  <c r="P38" i="33" s="1"/>
  <c r="AI19" i="43"/>
  <c r="H32" i="48"/>
  <c r="H34" i="48" s="1"/>
  <c r="H137" i="33"/>
  <c r="AP20" i="43"/>
  <c r="AM20" i="43" s="1"/>
  <c r="K404" i="40"/>
  <c r="G137" i="33"/>
  <c r="G32" i="48"/>
  <c r="G34" i="48" s="1"/>
  <c r="AP21" i="43"/>
  <c r="AI21" i="43"/>
  <c r="AQ14" i="43"/>
  <c r="T59" i="48"/>
  <c r="O24" i="33"/>
  <c r="O36" i="33" s="1"/>
  <c r="I13" i="31" s="1"/>
  <c r="AM7" i="43"/>
  <c r="AM8" i="43"/>
  <c r="AE3" i="31"/>
  <c r="AF3" i="31" s="1"/>
  <c r="AO19" i="43"/>
  <c r="Y15" i="35"/>
  <c r="Y16" i="35" s="1"/>
  <c r="AO20" i="43"/>
  <c r="R3" i="31"/>
  <c r="S3" i="31" s="1"/>
  <c r="T3" i="31" s="1"/>
  <c r="AE4" i="31"/>
  <c r="AE22" i="31" s="1"/>
  <c r="AE26" i="31" s="1"/>
  <c r="Y17" i="35"/>
  <c r="Y18" i="35"/>
  <c r="Y19" i="35" s="1"/>
  <c r="Y20" i="35" s="1"/>
  <c r="Y21" i="35" s="1"/>
  <c r="Y22" i="35" s="1"/>
  <c r="Y23" i="35" s="1"/>
  <c r="Y24" i="35" s="1"/>
  <c r="Y25" i="35" s="1"/>
  <c r="Y26" i="35" s="1"/>
  <c r="Y27" i="35" s="1"/>
  <c r="Y28" i="35" s="1"/>
  <c r="Y29" i="35" s="1"/>
  <c r="Y30" i="35" s="1"/>
  <c r="Y31" i="35" s="1"/>
  <c r="Y32" i="35" s="1"/>
  <c r="Y33" i="35" s="1"/>
  <c r="Y34" i="35" s="1"/>
  <c r="Y35" i="35" s="1"/>
  <c r="Y36" i="35" s="1"/>
  <c r="Y37" i="35" s="1"/>
  <c r="Y38" i="35" s="1"/>
  <c r="Y39" i="35" s="1"/>
  <c r="Y40" i="35" s="1"/>
  <c r="Y41" i="35" s="1"/>
  <c r="Y42" i="35" s="1"/>
  <c r="Y43" i="35" s="1"/>
  <c r="Y44" i="35" s="1"/>
  <c r="Y45" i="35" s="1"/>
  <c r="H18" i="47" l="1"/>
  <c r="G18" i="47"/>
  <c r="I18" i="47"/>
  <c r="F290" i="41"/>
  <c r="F334" i="41" s="1"/>
  <c r="F310" i="40"/>
  <c r="F412" i="40"/>
  <c r="F426" i="40" s="1"/>
  <c r="F441" i="40" s="1"/>
  <c r="G7" i="40"/>
  <c r="F272" i="40"/>
  <c r="J28" i="31"/>
  <c r="I28" i="31"/>
  <c r="H28" i="31"/>
  <c r="F125" i="28"/>
  <c r="M10" i="43"/>
  <c r="J10" i="45"/>
  <c r="F124" i="28" s="1"/>
  <c r="E44" i="46"/>
  <c r="J12" i="45"/>
  <c r="T72" i="48"/>
  <c r="G159" i="39"/>
  <c r="G104" i="33"/>
  <c r="G107" i="33"/>
  <c r="E115" i="33"/>
  <c r="F75" i="33"/>
  <c r="F65" i="48" s="1"/>
  <c r="G153" i="33"/>
  <c r="G155" i="33" s="1"/>
  <c r="H63" i="33"/>
  <c r="E64" i="48"/>
  <c r="G171" i="33"/>
  <c r="G173" i="33" s="1"/>
  <c r="P72" i="48"/>
  <c r="E63" i="48"/>
  <c r="H83" i="33"/>
  <c r="P23" i="33" s="1"/>
  <c r="E62" i="48"/>
  <c r="F257" i="41"/>
  <c r="F265" i="41" s="1"/>
  <c r="H138" i="33"/>
  <c r="F52" i="33"/>
  <c r="F73" i="48" s="1"/>
  <c r="H36" i="33"/>
  <c r="Z33" i="31"/>
  <c r="M22" i="43"/>
  <c r="AU33" i="31"/>
  <c r="M13" i="43"/>
  <c r="AU26" i="31"/>
  <c r="F328" i="41"/>
  <c r="F338" i="41"/>
  <c r="G338" i="41" s="1"/>
  <c r="F323" i="41"/>
  <c r="G294" i="41"/>
  <c r="H294" i="41" s="1"/>
  <c r="H317" i="41" s="1"/>
  <c r="F8" i="48"/>
  <c r="H9" i="35"/>
  <c r="F11" i="35" s="1"/>
  <c r="H11" i="35" s="1"/>
  <c r="F28" i="33"/>
  <c r="F167" i="38" s="1"/>
  <c r="F168" i="38" s="1"/>
  <c r="F290" i="40"/>
  <c r="F336" i="40" s="1"/>
  <c r="AM9" i="35"/>
  <c r="G74" i="41"/>
  <c r="F212" i="41"/>
  <c r="F214" i="41" s="1"/>
  <c r="H8" i="48"/>
  <c r="H28" i="33"/>
  <c r="F75" i="41" s="1"/>
  <c r="F76" i="41" s="1"/>
  <c r="G321" i="40"/>
  <c r="H297" i="40"/>
  <c r="I297" i="40" s="1"/>
  <c r="I321" i="40" s="1"/>
  <c r="G327" i="40"/>
  <c r="G333" i="40"/>
  <c r="F333" i="40"/>
  <c r="F321" i="40"/>
  <c r="F156" i="38"/>
  <c r="F2" i="38"/>
  <c r="F171" i="38" s="1"/>
  <c r="F173" i="38" s="1"/>
  <c r="AV30" i="43"/>
  <c r="F18" i="48" s="1"/>
  <c r="AX30" i="43"/>
  <c r="F19" i="48" s="1"/>
  <c r="AP30" i="43"/>
  <c r="F15" i="48" s="1"/>
  <c r="AF4" i="31"/>
  <c r="AF22" i="31" s="1"/>
  <c r="AF78" i="31" s="1"/>
  <c r="AG3" i="31"/>
  <c r="AG4" i="31" s="1"/>
  <c r="AG22" i="31" s="1"/>
  <c r="AG33" i="31" s="1"/>
  <c r="P28" i="33"/>
  <c r="E218" i="33"/>
  <c r="U3" i="31"/>
  <c r="U4" i="31" s="1"/>
  <c r="U22" i="31" s="1"/>
  <c r="T4" i="31"/>
  <c r="T22" i="31" s="1"/>
  <c r="T48" i="31" s="1"/>
  <c r="AM9" i="43"/>
  <c r="AO9" i="43"/>
  <c r="AO15" i="43"/>
  <c r="AM15" i="43"/>
  <c r="H67" i="33"/>
  <c r="G67" i="33"/>
  <c r="AI9" i="43"/>
  <c r="AI15" i="43"/>
  <c r="S4" i="31"/>
  <c r="S22" i="31" s="1"/>
  <c r="S66" i="31" s="1"/>
  <c r="H155" i="33"/>
  <c r="F53" i="45"/>
  <c r="F55" i="45"/>
  <c r="AE1" i="43"/>
  <c r="AM21" i="43"/>
  <c r="K417" i="40"/>
  <c r="L404" i="40"/>
  <c r="M19" i="43"/>
  <c r="M12" i="43"/>
  <c r="I359" i="38"/>
  <c r="G55" i="45"/>
  <c r="G56" i="45" s="1"/>
  <c r="G64" i="45" s="1"/>
  <c r="G287" i="40"/>
  <c r="H287" i="40" s="1"/>
  <c r="I287" i="40" s="1"/>
  <c r="I289" i="40" s="1"/>
  <c r="I335" i="40" s="1"/>
  <c r="F293" i="40"/>
  <c r="F339" i="40" s="1"/>
  <c r="AX3" i="31"/>
  <c r="AW4" i="31"/>
  <c r="AW22" i="31" s="1"/>
  <c r="AP6" i="43"/>
  <c r="AI6" i="43"/>
  <c r="AP11" i="43"/>
  <c r="R4" i="31"/>
  <c r="R22" i="31" s="1"/>
  <c r="R48" i="31" s="1"/>
  <c r="AM18" i="43"/>
  <c r="AP17" i="43"/>
  <c r="AI18" i="43"/>
  <c r="L399" i="38"/>
  <c r="J52" i="45"/>
  <c r="AI20" i="43"/>
  <c r="AV24" i="43"/>
  <c r="AX26" i="43"/>
  <c r="Z56" i="32"/>
  <c r="T23" i="32"/>
  <c r="I24" i="45"/>
  <c r="G411" i="38"/>
  <c r="AN36" i="43"/>
  <c r="AV23" i="43"/>
  <c r="H107" i="33"/>
  <c r="H24" i="45"/>
  <c r="G44" i="46"/>
  <c r="G46" i="46" s="1"/>
  <c r="BA22" i="43" s="1"/>
  <c r="E46" i="46"/>
  <c r="BA20" i="43" s="1"/>
  <c r="AR30" i="43"/>
  <c r="F16" i="48" s="1"/>
  <c r="Z14" i="43"/>
  <c r="Z23" i="43" s="1"/>
  <c r="F38" i="43" s="1"/>
  <c r="AV4" i="31"/>
  <c r="AV22" i="31" s="1"/>
  <c r="AV33" i="31" s="1"/>
  <c r="G205" i="33"/>
  <c r="O30" i="33" s="1"/>
  <c r="AT25" i="43"/>
  <c r="M18" i="43"/>
  <c r="G136" i="33"/>
  <c r="G138" i="33" s="1"/>
  <c r="AS24" i="43"/>
  <c r="AP43" i="43" s="1"/>
  <c r="F100" i="33" s="1"/>
  <c r="N48" i="33" s="1"/>
  <c r="AS25" i="43"/>
  <c r="AP44" i="43" s="1"/>
  <c r="J14" i="45"/>
  <c r="D124" i="28" s="1"/>
  <c r="D131" i="28" s="1"/>
  <c r="H15" i="45"/>
  <c r="I27" i="31" s="1"/>
  <c r="F44" i="46"/>
  <c r="F46" i="46" s="1"/>
  <c r="N14" i="43"/>
  <c r="AP52" i="43"/>
  <c r="H55" i="48" s="1"/>
  <c r="AU48" i="31"/>
  <c r="AU66" i="31"/>
  <c r="AU73" i="31"/>
  <c r="Z48" i="31"/>
  <c r="Z66" i="31"/>
  <c r="N20" i="43"/>
  <c r="Z78" i="31"/>
  <c r="Z73" i="31"/>
  <c r="I74" i="38"/>
  <c r="J74" i="38" s="1"/>
  <c r="G101" i="39"/>
  <c r="G21" i="32"/>
  <c r="K128" i="28" s="1"/>
  <c r="F45" i="48"/>
  <c r="E45" i="48" s="1"/>
  <c r="F357" i="41"/>
  <c r="F397" i="41" s="1"/>
  <c r="R23" i="32"/>
  <c r="G294" i="38"/>
  <c r="F142" i="40"/>
  <c r="F150" i="40" s="1"/>
  <c r="F323" i="38"/>
  <c r="I26" i="31"/>
  <c r="Y56" i="32"/>
  <c r="W56" i="32" s="1"/>
  <c r="I78" i="31"/>
  <c r="F328" i="38"/>
  <c r="AT30" i="43"/>
  <c r="F17" i="48" s="1"/>
  <c r="G140" i="40"/>
  <c r="H30" i="38"/>
  <c r="I30" i="38" s="1"/>
  <c r="J30" i="38" s="1"/>
  <c r="K30" i="38" s="1"/>
  <c r="I66" i="31"/>
  <c r="I73" i="31"/>
  <c r="N95" i="38"/>
  <c r="F290" i="38"/>
  <c r="F334" i="38" s="1"/>
  <c r="R72" i="48"/>
  <c r="F289" i="38"/>
  <c r="S23" i="32"/>
  <c r="R93" i="48" s="1"/>
  <c r="L6" i="31"/>
  <c r="F287" i="41"/>
  <c r="F331" i="41" s="1"/>
  <c r="I33" i="31"/>
  <c r="F289" i="41"/>
  <c r="G284" i="41"/>
  <c r="H284" i="41" s="1"/>
  <c r="I284" i="41" s="1"/>
  <c r="F362" i="40"/>
  <c r="F402" i="40" s="1"/>
  <c r="G31" i="41"/>
  <c r="H33" i="31"/>
  <c r="G115" i="39"/>
  <c r="L5" i="31"/>
  <c r="G144" i="39"/>
  <c r="H78" i="31"/>
  <c r="I166" i="41"/>
  <c r="J166" i="41" s="1"/>
  <c r="K166" i="41" s="1"/>
  <c r="H167" i="41"/>
  <c r="H116" i="38"/>
  <c r="J234" i="41"/>
  <c r="K234" i="41" s="1"/>
  <c r="L234" i="41" s="1"/>
  <c r="M234" i="41" s="1"/>
  <c r="N234" i="41" s="1"/>
  <c r="O234" i="41" s="1"/>
  <c r="I235" i="41"/>
  <c r="N6" i="43"/>
  <c r="F259" i="40"/>
  <c r="S21" i="32"/>
  <c r="F142" i="38"/>
  <c r="F150" i="38" s="1"/>
  <c r="F2" i="40"/>
  <c r="G2" i="40" s="1"/>
  <c r="G130" i="39"/>
  <c r="N10" i="43"/>
  <c r="F212" i="38"/>
  <c r="F214" i="38" s="1"/>
  <c r="F216" i="38" s="1"/>
  <c r="F217" i="38" s="1"/>
  <c r="F257" i="38"/>
  <c r="F265" i="38" s="1"/>
  <c r="G138" i="39"/>
  <c r="I16" i="32"/>
  <c r="G140" i="38"/>
  <c r="G156" i="38" s="1"/>
  <c r="N15" i="43"/>
  <c r="G109" i="39"/>
  <c r="N22" i="43"/>
  <c r="F157" i="40"/>
  <c r="S28" i="32"/>
  <c r="I28" i="32"/>
  <c r="G235" i="41"/>
  <c r="I333" i="40"/>
  <c r="I38" i="32"/>
  <c r="G72" i="39"/>
  <c r="G110" i="39"/>
  <c r="H343" i="40"/>
  <c r="S16" i="32"/>
  <c r="H81" i="48"/>
  <c r="L7" i="31"/>
  <c r="F215" i="40"/>
  <c r="H53" i="48"/>
  <c r="D46" i="48"/>
  <c r="H338" i="41"/>
  <c r="H357" i="41" s="1"/>
  <c r="H397" i="41" s="1"/>
  <c r="G357" i="41"/>
  <c r="G397" i="41" s="1"/>
  <c r="H7" i="40"/>
  <c r="H328" i="40" s="1"/>
  <c r="G6" i="40"/>
  <c r="G7" i="38"/>
  <c r="H31" i="40"/>
  <c r="F6" i="40"/>
  <c r="G213" i="40"/>
  <c r="G221" i="40" s="1"/>
  <c r="O95" i="38"/>
  <c r="AK11" i="35"/>
  <c r="AM11" i="35" s="1"/>
  <c r="F156" i="41"/>
  <c r="F259" i="41"/>
  <c r="G256" i="41" s="1"/>
  <c r="AP46" i="43"/>
  <c r="H74" i="41"/>
  <c r="G112" i="39"/>
  <c r="T21" i="32"/>
  <c r="G96" i="41"/>
  <c r="G19" i="32"/>
  <c r="F6" i="38"/>
  <c r="F142" i="41"/>
  <c r="F150" i="41" s="1"/>
  <c r="G140" i="41"/>
  <c r="H235" i="41"/>
  <c r="H38" i="32"/>
  <c r="R21" i="32"/>
  <c r="F2" i="41"/>
  <c r="G7" i="41"/>
  <c r="G6" i="41" s="1"/>
  <c r="F3" i="41"/>
  <c r="F6" i="41"/>
  <c r="I116" i="40"/>
  <c r="J116" i="40" s="1"/>
  <c r="K116" i="40" s="1"/>
  <c r="H117" i="40"/>
  <c r="F8" i="41"/>
  <c r="F9" i="41" s="1"/>
  <c r="J284" i="38"/>
  <c r="L30" i="40"/>
  <c r="K31" i="40"/>
  <c r="I166" i="38"/>
  <c r="J166" i="38" s="1"/>
  <c r="H167" i="38"/>
  <c r="P49" i="33"/>
  <c r="H179" i="33"/>
  <c r="H204" i="33" s="1"/>
  <c r="H182" i="33"/>
  <c r="J33" i="31"/>
  <c r="J48" i="31"/>
  <c r="J73" i="31"/>
  <c r="J26" i="31"/>
  <c r="J78" i="31"/>
  <c r="J66" i="31"/>
  <c r="H53" i="41"/>
  <c r="G54" i="41"/>
  <c r="G234" i="38"/>
  <c r="H66" i="31"/>
  <c r="H26" i="31"/>
  <c r="H48" i="31"/>
  <c r="R12" i="35"/>
  <c r="R13" i="35" s="1"/>
  <c r="V11" i="35"/>
  <c r="X11" i="35" s="1"/>
  <c r="G53" i="38"/>
  <c r="H116" i="41"/>
  <c r="I116" i="41" s="1"/>
  <c r="J116" i="41" s="1"/>
  <c r="G117" i="41"/>
  <c r="J236" i="40"/>
  <c r="I237" i="40"/>
  <c r="AG14" i="35"/>
  <c r="AK12" i="35"/>
  <c r="AM12" i="35" s="1"/>
  <c r="AH12" i="35"/>
  <c r="AH13" i="35" s="1"/>
  <c r="H99" i="33"/>
  <c r="P25" i="33" s="1"/>
  <c r="P37" i="33" s="1"/>
  <c r="H47" i="48"/>
  <c r="H48" i="48" s="1"/>
  <c r="H98" i="33"/>
  <c r="H100" i="33"/>
  <c r="P48" i="33" s="1"/>
  <c r="H108" i="33"/>
  <c r="B12" i="35"/>
  <c r="G317" i="41"/>
  <c r="L74" i="40"/>
  <c r="M74" i="40" s="1"/>
  <c r="N74" i="40" s="1"/>
  <c r="O74" i="40" s="1"/>
  <c r="K75" i="40"/>
  <c r="K53" i="40"/>
  <c r="L53" i="40" s="1"/>
  <c r="L54" i="40" s="1"/>
  <c r="J54" i="40"/>
  <c r="G140" i="39"/>
  <c r="G111" i="39"/>
  <c r="G169" i="39"/>
  <c r="AR50" i="43"/>
  <c r="AR52" i="43"/>
  <c r="H193" i="33" s="1"/>
  <c r="H205" i="33" s="1"/>
  <c r="R28" i="32"/>
  <c r="H16" i="32"/>
  <c r="H6" i="32"/>
  <c r="R16" i="32"/>
  <c r="AP50" i="43"/>
  <c r="I54" i="40"/>
  <c r="AJ26" i="31"/>
  <c r="AJ48" i="31"/>
  <c r="AJ66" i="31"/>
  <c r="AJ73" i="31"/>
  <c r="AJ33" i="31"/>
  <c r="AE48" i="31"/>
  <c r="AE66" i="31"/>
  <c r="AE73" i="31"/>
  <c r="M26" i="31"/>
  <c r="M48" i="31"/>
  <c r="M78" i="31"/>
  <c r="M33" i="31"/>
  <c r="M66" i="31"/>
  <c r="AC33" i="31"/>
  <c r="M17" i="43"/>
  <c r="N7" i="43"/>
  <c r="N21" i="43"/>
  <c r="M7" i="43"/>
  <c r="N11" i="43"/>
  <c r="AC73" i="31"/>
  <c r="H37" i="31"/>
  <c r="AA37" i="31" s="1"/>
  <c r="AA44" i="31" s="1"/>
  <c r="M9" i="43"/>
  <c r="N18" i="43"/>
  <c r="AC66" i="31"/>
  <c r="M6" i="43"/>
  <c r="M16" i="43"/>
  <c r="N9" i="43"/>
  <c r="AC78" i="31"/>
  <c r="M20" i="43"/>
  <c r="N19" i="43"/>
  <c r="M15" i="43"/>
  <c r="N8" i="43"/>
  <c r="AC48" i="31"/>
  <c r="M21" i="43"/>
  <c r="M11" i="43"/>
  <c r="M8" i="43"/>
  <c r="O73" i="31"/>
  <c r="O33" i="31"/>
  <c r="Q66" i="31"/>
  <c r="Q33" i="31"/>
  <c r="Q78" i="31"/>
  <c r="Q48" i="31"/>
  <c r="AD26" i="31"/>
  <c r="AD48" i="31"/>
  <c r="O78" i="31"/>
  <c r="O66" i="31"/>
  <c r="O48" i="31"/>
  <c r="AB78" i="31"/>
  <c r="AB48" i="31"/>
  <c r="AB73" i="31"/>
  <c r="N73" i="31"/>
  <c r="N33" i="31"/>
  <c r="N48" i="31"/>
  <c r="N26" i="31"/>
  <c r="N66" i="31"/>
  <c r="N78" i="31"/>
  <c r="Y78" i="31"/>
  <c r="Y66" i="31"/>
  <c r="Y48" i="31"/>
  <c r="Y73" i="31"/>
  <c r="Y33" i="31"/>
  <c r="Y26" i="31"/>
  <c r="I37" i="31"/>
  <c r="AL37" i="31" s="1"/>
  <c r="AL44" i="31" s="1"/>
  <c r="H128" i="39"/>
  <c r="AA48" i="31"/>
  <c r="AA33" i="31"/>
  <c r="AA26" i="31"/>
  <c r="AA78" i="31"/>
  <c r="AA73" i="31"/>
  <c r="AA66" i="31"/>
  <c r="AD66" i="31"/>
  <c r="AE78" i="31"/>
  <c r="Q26" i="31"/>
  <c r="AA13" i="31"/>
  <c r="AE33" i="31"/>
  <c r="Q73" i="31"/>
  <c r="P66" i="31"/>
  <c r="P33" i="31"/>
  <c r="P26" i="31"/>
  <c r="P78" i="31"/>
  <c r="P48" i="31"/>
  <c r="AD33" i="31"/>
  <c r="AO10" i="43"/>
  <c r="AM10" i="43"/>
  <c r="N27" i="33"/>
  <c r="N39" i="33" s="1"/>
  <c r="M30" i="41"/>
  <c r="L31" i="41"/>
  <c r="P1" i="43"/>
  <c r="O2" i="43"/>
  <c r="O4" i="43"/>
  <c r="AD78" i="31"/>
  <c r="AD73" i="31"/>
  <c r="AP25" i="43"/>
  <c r="AQ26" i="43"/>
  <c r="AO21" i="43"/>
  <c r="P24" i="33"/>
  <c r="P36" i="33" s="1"/>
  <c r="J13" i="31" s="1"/>
  <c r="AW13" i="31" s="1"/>
  <c r="AL13" i="31"/>
  <c r="O26" i="31"/>
  <c r="Z26" i="43"/>
  <c r="AI8" i="43"/>
  <c r="F144" i="33"/>
  <c r="F153" i="33" s="1"/>
  <c r="F52" i="48"/>
  <c r="H9" i="32"/>
  <c r="G34" i="31"/>
  <c r="F162" i="33"/>
  <c r="F171" i="33" s="1"/>
  <c r="F36" i="48"/>
  <c r="G46" i="48"/>
  <c r="G100" i="33"/>
  <c r="O48" i="33" s="1"/>
  <c r="G99" i="33"/>
  <c r="G108" i="33"/>
  <c r="G98" i="33"/>
  <c r="AB33" i="31"/>
  <c r="AB66" i="31"/>
  <c r="AQ22" i="43"/>
  <c r="AA26" i="43"/>
  <c r="J12" i="31" s="1"/>
  <c r="H162" i="33"/>
  <c r="H171" i="33" s="1"/>
  <c r="H172" i="33"/>
  <c r="P27" i="33" s="1"/>
  <c r="P39" i="33" s="1"/>
  <c r="J95" i="41"/>
  <c r="I96" i="41"/>
  <c r="H39" i="48"/>
  <c r="H212" i="33"/>
  <c r="H217" i="33" s="1"/>
  <c r="AQ12" i="43"/>
  <c r="N12" i="43"/>
  <c r="AA24" i="43"/>
  <c r="AB26" i="31"/>
  <c r="H36" i="48"/>
  <c r="H37" i="48" s="1"/>
  <c r="AQ17" i="43"/>
  <c r="N17" i="43"/>
  <c r="AS23" i="43"/>
  <c r="G32" i="46"/>
  <c r="F2" i="42"/>
  <c r="H30" i="33"/>
  <c r="G30" i="33"/>
  <c r="G442" i="40" s="1"/>
  <c r="F30" i="33"/>
  <c r="AX23" i="43"/>
  <c r="AX25" i="43"/>
  <c r="AR51" i="43" s="1"/>
  <c r="F96" i="40"/>
  <c r="F97" i="40" s="1"/>
  <c r="H75" i="40"/>
  <c r="F168" i="40"/>
  <c r="F169" i="40" s="1"/>
  <c r="I75" i="40"/>
  <c r="F75" i="40"/>
  <c r="F76" i="40" s="1"/>
  <c r="G168" i="40"/>
  <c r="G96" i="40"/>
  <c r="F3" i="40"/>
  <c r="G3" i="40" s="1"/>
  <c r="G54" i="40"/>
  <c r="G9" i="48"/>
  <c r="H96" i="40"/>
  <c r="L96" i="40"/>
  <c r="J168" i="40"/>
  <c r="K96" i="40"/>
  <c r="J75" i="40"/>
  <c r="H54" i="40"/>
  <c r="G237" i="40"/>
  <c r="F31" i="40"/>
  <c r="F32" i="40" s="1"/>
  <c r="F237" i="40"/>
  <c r="F238" i="40" s="1"/>
  <c r="H237" i="40"/>
  <c r="K168" i="40"/>
  <c r="J96" i="40"/>
  <c r="I168" i="40"/>
  <c r="G117" i="40"/>
  <c r="F54" i="40"/>
  <c r="F55" i="40" s="1"/>
  <c r="M96" i="40"/>
  <c r="I96" i="40"/>
  <c r="G75" i="40"/>
  <c r="H168" i="40"/>
  <c r="F8" i="40"/>
  <c r="F9" i="40" s="1"/>
  <c r="G8" i="40"/>
  <c r="N96" i="40"/>
  <c r="H96" i="41"/>
  <c r="F67" i="33"/>
  <c r="P95" i="40"/>
  <c r="O96" i="40"/>
  <c r="G71" i="33"/>
  <c r="F107" i="33"/>
  <c r="F104" i="33"/>
  <c r="F95" i="33"/>
  <c r="E53" i="45"/>
  <c r="T28" i="32"/>
  <c r="T16" i="32"/>
  <c r="J38" i="32"/>
  <c r="J6" i="32"/>
  <c r="J16" i="32"/>
  <c r="H56" i="45"/>
  <c r="H64" i="45" s="1"/>
  <c r="H9" i="48"/>
  <c r="L235" i="41"/>
  <c r="F96" i="41"/>
  <c r="F97" i="41" s="1"/>
  <c r="G167" i="41"/>
  <c r="M167" i="40"/>
  <c r="L168" i="40"/>
  <c r="H31" i="41"/>
  <c r="F54" i="41"/>
  <c r="F55" i="41" s="1"/>
  <c r="G31" i="40"/>
  <c r="F117" i="40"/>
  <c r="F120" i="40" s="1"/>
  <c r="F357" i="38"/>
  <c r="G338" i="38"/>
  <c r="AU23" i="43"/>
  <c r="H359" i="41"/>
  <c r="G371" i="41"/>
  <c r="H7" i="45"/>
  <c r="I7" i="45"/>
  <c r="G7" i="45"/>
  <c r="BA12" i="43"/>
  <c r="K24" i="43"/>
  <c r="AL3" i="31"/>
  <c r="AK4" i="31"/>
  <c r="AK22" i="31" s="1"/>
  <c r="I364" i="40"/>
  <c r="H376" i="40"/>
  <c r="AR23" i="43"/>
  <c r="E17" i="35"/>
  <c r="BA24" i="43"/>
  <c r="Q37" i="33"/>
  <c r="AA16" i="43"/>
  <c r="AW16" i="43"/>
  <c r="BA18" i="43"/>
  <c r="BA21" i="43"/>
  <c r="BA19" i="43"/>
  <c r="BA16" i="43"/>
  <c r="AA13" i="43"/>
  <c r="K23" i="43"/>
  <c r="G24" i="45"/>
  <c r="BA6" i="43"/>
  <c r="I15" i="45"/>
  <c r="J27" i="31" s="1"/>
  <c r="H399" i="41"/>
  <c r="F31" i="38" l="1"/>
  <c r="F442" i="40"/>
  <c r="M28" i="33"/>
  <c r="P40" i="33"/>
  <c r="H310" i="40"/>
  <c r="H412" i="40"/>
  <c r="H426" i="40" s="1"/>
  <c r="H441" i="40" s="1"/>
  <c r="H321" i="40"/>
  <c r="I327" i="40"/>
  <c r="G272" i="40"/>
  <c r="G157" i="40"/>
  <c r="G227" i="40"/>
  <c r="I7" i="40"/>
  <c r="H272" i="40"/>
  <c r="G28" i="31"/>
  <c r="J55" i="45"/>
  <c r="F56" i="45"/>
  <c r="F64" i="45" s="1"/>
  <c r="H22" i="45" s="1"/>
  <c r="I29" i="31" s="1"/>
  <c r="G13" i="31"/>
  <c r="J37" i="31"/>
  <c r="AW37" i="31" s="1"/>
  <c r="AW44" i="31" s="1"/>
  <c r="H157" i="39"/>
  <c r="M36" i="33"/>
  <c r="BA25" i="43"/>
  <c r="T11" i="35" s="1"/>
  <c r="J24" i="45"/>
  <c r="E65" i="48"/>
  <c r="H173" i="33"/>
  <c r="E66" i="48"/>
  <c r="F79" i="33"/>
  <c r="F66" i="48" s="1"/>
  <c r="F44" i="33"/>
  <c r="F71" i="48" s="1"/>
  <c r="E71" i="48"/>
  <c r="H44" i="33"/>
  <c r="F84" i="33"/>
  <c r="N47" i="33" s="1"/>
  <c r="T73" i="31"/>
  <c r="N96" i="38"/>
  <c r="S48" i="31"/>
  <c r="F3" i="38"/>
  <c r="R26" i="31"/>
  <c r="R33" i="31"/>
  <c r="F117" i="38"/>
  <c r="F120" i="38" s="1"/>
  <c r="L96" i="38"/>
  <c r="F220" i="41"/>
  <c r="H328" i="41"/>
  <c r="H333" i="40"/>
  <c r="H327" i="40"/>
  <c r="J297" i="40"/>
  <c r="K297" i="40" s="1"/>
  <c r="K327" i="40" s="1"/>
  <c r="F117" i="41"/>
  <c r="F120" i="41" s="1"/>
  <c r="G120" i="41" s="1"/>
  <c r="F235" i="41"/>
  <c r="F236" i="41" s="1"/>
  <c r="F247" i="41" s="1"/>
  <c r="F261" i="41"/>
  <c r="F262" i="41" s="1"/>
  <c r="K235" i="41"/>
  <c r="G328" i="41"/>
  <c r="H323" i="41"/>
  <c r="I294" i="41"/>
  <c r="I317" i="41" s="1"/>
  <c r="G323" i="41"/>
  <c r="F235" i="38"/>
  <c r="F236" i="38" s="1"/>
  <c r="F247" i="38" s="1"/>
  <c r="G117" i="38"/>
  <c r="F96" i="38"/>
  <c r="F97" i="38" s="1"/>
  <c r="G96" i="38"/>
  <c r="G75" i="38"/>
  <c r="J96" i="38"/>
  <c r="AF66" i="31"/>
  <c r="F54" i="38"/>
  <c r="F55" i="38" s="1"/>
  <c r="F66" i="38" s="1"/>
  <c r="F175" i="38"/>
  <c r="F176" i="38" s="1"/>
  <c r="F177" i="38" s="1"/>
  <c r="F186" i="38" s="1"/>
  <c r="J287" i="40"/>
  <c r="J293" i="40" s="1"/>
  <c r="J339" i="40" s="1"/>
  <c r="F8" i="38"/>
  <c r="F9" i="38" s="1"/>
  <c r="F32" i="38"/>
  <c r="F75" i="38"/>
  <c r="F76" i="38" s="1"/>
  <c r="F9" i="48"/>
  <c r="H75" i="38"/>
  <c r="G167" i="38"/>
  <c r="G168" i="38" s="1"/>
  <c r="H168" i="38" s="1"/>
  <c r="I96" i="38"/>
  <c r="S26" i="31"/>
  <c r="H31" i="38"/>
  <c r="I288" i="40"/>
  <c r="I334" i="40" s="1"/>
  <c r="H96" i="38"/>
  <c r="G31" i="38"/>
  <c r="K96" i="38"/>
  <c r="M96" i="38"/>
  <c r="AG73" i="31"/>
  <c r="AG78" i="31"/>
  <c r="T78" i="31"/>
  <c r="F31" i="41"/>
  <c r="F32" i="41" s="1"/>
  <c r="G32" i="41" s="1"/>
  <c r="H32" i="41" s="1"/>
  <c r="T26" i="31"/>
  <c r="F87" i="41"/>
  <c r="G8" i="41"/>
  <c r="G9" i="41" s="1"/>
  <c r="F167" i="41"/>
  <c r="F168" i="41" s="1"/>
  <c r="G75" i="41"/>
  <c r="G76" i="41" s="1"/>
  <c r="H7" i="41"/>
  <c r="I7" i="41" s="1"/>
  <c r="G3" i="41"/>
  <c r="R78" i="31"/>
  <c r="H6" i="40"/>
  <c r="H140" i="40"/>
  <c r="H142" i="40" s="1"/>
  <c r="H150" i="40" s="1"/>
  <c r="R73" i="31"/>
  <c r="R66" i="31"/>
  <c r="AG66" i="31"/>
  <c r="T33" i="31"/>
  <c r="AG48" i="31"/>
  <c r="AG26" i="31"/>
  <c r="AV26" i="31"/>
  <c r="T66" i="31"/>
  <c r="S33" i="31"/>
  <c r="S78" i="31"/>
  <c r="AF73" i="31"/>
  <c r="S73" i="31"/>
  <c r="AF33" i="31"/>
  <c r="AV73" i="31"/>
  <c r="AF26" i="31"/>
  <c r="AF48" i="31"/>
  <c r="AV78" i="31"/>
  <c r="F390" i="40"/>
  <c r="AD56" i="32"/>
  <c r="AY30" i="43"/>
  <c r="F20" i="48"/>
  <c r="F99" i="33"/>
  <c r="N25" i="33" s="1"/>
  <c r="N37" i="33" s="1"/>
  <c r="T93" i="48"/>
  <c r="AE56" i="32"/>
  <c r="AW78" i="31"/>
  <c r="AW66" i="31"/>
  <c r="AW48" i="31"/>
  <c r="AW26" i="31"/>
  <c r="AW33" i="31"/>
  <c r="AW73" i="31"/>
  <c r="F154" i="33"/>
  <c r="J75" i="38" s="1"/>
  <c r="F50" i="48"/>
  <c r="E50" i="48" s="1"/>
  <c r="F83" i="33"/>
  <c r="K31" i="38" s="1"/>
  <c r="F48" i="48"/>
  <c r="Q23" i="32"/>
  <c r="M128" i="28" s="1"/>
  <c r="AV66" i="31"/>
  <c r="AV48" i="31"/>
  <c r="AO11" i="43"/>
  <c r="AM11" i="43"/>
  <c r="AY3" i="31"/>
  <c r="AX4" i="31"/>
  <c r="AX22" i="31" s="1"/>
  <c r="AE4" i="43"/>
  <c r="AU4" i="43" s="1"/>
  <c r="AF1" i="43"/>
  <c r="AP14" i="43"/>
  <c r="AI14" i="43"/>
  <c r="M14" i="43"/>
  <c r="M23" i="43" s="1"/>
  <c r="Z24" i="43"/>
  <c r="H11" i="31" s="1"/>
  <c r="H35" i="31" s="1"/>
  <c r="M404" i="40"/>
  <c r="L417" i="40"/>
  <c r="I75" i="38"/>
  <c r="L411" i="38"/>
  <c r="M399" i="38"/>
  <c r="AO6" i="43"/>
  <c r="AM6" i="43"/>
  <c r="AP26" i="43"/>
  <c r="I371" i="38"/>
  <c r="J359" i="38"/>
  <c r="M235" i="41"/>
  <c r="J235" i="41"/>
  <c r="S12" i="35"/>
  <c r="F108" i="38"/>
  <c r="H2" i="40"/>
  <c r="H176" i="40" s="1"/>
  <c r="V12" i="35"/>
  <c r="X12" i="35" s="1"/>
  <c r="J284" i="41"/>
  <c r="J290" i="41" s="1"/>
  <c r="J334" i="41" s="1"/>
  <c r="F176" i="40"/>
  <c r="F172" i="40"/>
  <c r="F174" i="40" s="1"/>
  <c r="H8" i="40"/>
  <c r="K321" i="40"/>
  <c r="G257" i="38"/>
  <c r="G265" i="38" s="1"/>
  <c r="H3" i="40"/>
  <c r="I3" i="40" s="1"/>
  <c r="G323" i="38"/>
  <c r="G328" i="38"/>
  <c r="G317" i="38"/>
  <c r="H294" i="38"/>
  <c r="G2" i="41"/>
  <c r="G58" i="41" s="1"/>
  <c r="G259" i="40"/>
  <c r="G267" i="40" s="1"/>
  <c r="AC56" i="32"/>
  <c r="P93" i="48"/>
  <c r="H140" i="38"/>
  <c r="H212" i="38" s="1"/>
  <c r="H220" i="38" s="1"/>
  <c r="G142" i="40"/>
  <c r="G150" i="40" s="1"/>
  <c r="G212" i="38"/>
  <c r="G220" i="38" s="1"/>
  <c r="N235" i="41"/>
  <c r="G142" i="38"/>
  <c r="G150" i="38" s="1"/>
  <c r="H56" i="48"/>
  <c r="E56" i="48" s="1"/>
  <c r="H195" i="33"/>
  <c r="F259" i="38"/>
  <c r="F261" i="38" s="1"/>
  <c r="F262" i="38" s="1"/>
  <c r="I167" i="38"/>
  <c r="I167" i="41"/>
  <c r="J167" i="41"/>
  <c r="P50" i="33"/>
  <c r="M50" i="33" s="1"/>
  <c r="K54" i="40"/>
  <c r="E47" i="48"/>
  <c r="J321" i="40"/>
  <c r="K333" i="40"/>
  <c r="K74" i="38"/>
  <c r="P234" i="41"/>
  <c r="O235" i="41"/>
  <c r="N75" i="40"/>
  <c r="J327" i="40"/>
  <c r="L297" i="40"/>
  <c r="M297" i="40" s="1"/>
  <c r="M327" i="40" s="1"/>
  <c r="G211" i="38"/>
  <c r="J333" i="40"/>
  <c r="H117" i="38"/>
  <c r="I116" i="38"/>
  <c r="J116" i="38" s="1"/>
  <c r="K116" i="38" s="1"/>
  <c r="M75" i="40"/>
  <c r="M48" i="33"/>
  <c r="L75" i="40"/>
  <c r="F261" i="40"/>
  <c r="F267" i="40"/>
  <c r="F220" i="38"/>
  <c r="L166" i="41"/>
  <c r="K167" i="41"/>
  <c r="I338" i="41"/>
  <c r="J338" i="41" s="1"/>
  <c r="I343" i="40"/>
  <c r="H362" i="40"/>
  <c r="H402" i="40" s="1"/>
  <c r="H442" i="40" s="1"/>
  <c r="H411" i="40" s="1"/>
  <c r="H425" i="40" s="1"/>
  <c r="H117" i="41"/>
  <c r="Q21" i="32"/>
  <c r="G212" i="40"/>
  <c r="G215" i="40" s="1"/>
  <c r="F217" i="40"/>
  <c r="F218" i="40" s="1"/>
  <c r="L30" i="38"/>
  <c r="G100" i="40"/>
  <c r="G176" i="40"/>
  <c r="G79" i="40"/>
  <c r="G241" i="40"/>
  <c r="G172" i="40"/>
  <c r="G174" i="40" s="1"/>
  <c r="G58" i="40"/>
  <c r="I328" i="41"/>
  <c r="G3" i="38"/>
  <c r="G101" i="33"/>
  <c r="G142" i="41"/>
  <c r="G150" i="41" s="1"/>
  <c r="G212" i="41"/>
  <c r="G220" i="41" s="1"/>
  <c r="G257" i="41"/>
  <c r="G265" i="41" s="1"/>
  <c r="G156" i="41"/>
  <c r="H140" i="41"/>
  <c r="H272" i="41" s="1"/>
  <c r="M53" i="40"/>
  <c r="M54" i="40" s="1"/>
  <c r="H101" i="33"/>
  <c r="G2" i="38"/>
  <c r="G6" i="38"/>
  <c r="G8" i="38"/>
  <c r="H7" i="38"/>
  <c r="H75" i="41"/>
  <c r="I74" i="41"/>
  <c r="P95" i="38"/>
  <c r="O96" i="38"/>
  <c r="K116" i="41"/>
  <c r="J117" i="41"/>
  <c r="I53" i="41"/>
  <c r="H54" i="41"/>
  <c r="I117" i="41"/>
  <c r="P29" i="33"/>
  <c r="F182" i="33"/>
  <c r="F203" i="33" s="1"/>
  <c r="F55" i="48"/>
  <c r="F57" i="48" s="1"/>
  <c r="F179" i="33"/>
  <c r="F204" i="33" s="1"/>
  <c r="N49" i="33"/>
  <c r="AH14" i="35"/>
  <c r="AG15" i="35"/>
  <c r="H53" i="38"/>
  <c r="G54" i="38"/>
  <c r="AR53" i="43"/>
  <c r="J7" i="40"/>
  <c r="I6" i="40"/>
  <c r="G235" i="38"/>
  <c r="H234" i="38"/>
  <c r="K166" i="38"/>
  <c r="J167" i="38"/>
  <c r="J289" i="38"/>
  <c r="J290" i="38"/>
  <c r="J334" i="38" s="1"/>
  <c r="J288" i="38"/>
  <c r="J332" i="38" s="1"/>
  <c r="K284" i="38"/>
  <c r="J285" i="38"/>
  <c r="J329" i="38" s="1"/>
  <c r="J287" i="38"/>
  <c r="J331" i="38" s="1"/>
  <c r="J286" i="38"/>
  <c r="J330" i="38" s="1"/>
  <c r="H203" i="33"/>
  <c r="H206" i="33" s="1"/>
  <c r="P30" i="33"/>
  <c r="M30" i="33" s="1"/>
  <c r="E205" i="33"/>
  <c r="C12" i="35"/>
  <c r="B13" i="35"/>
  <c r="F12" i="35"/>
  <c r="H12" i="35" s="1"/>
  <c r="M30" i="40"/>
  <c r="L31" i="40"/>
  <c r="K236" i="40"/>
  <c r="J237" i="40"/>
  <c r="I323" i="41"/>
  <c r="L116" i="40"/>
  <c r="K117" i="40"/>
  <c r="F175" i="41"/>
  <c r="F171" i="41"/>
  <c r="F173" i="41" s="1"/>
  <c r="N26" i="43"/>
  <c r="M25" i="43"/>
  <c r="M26" i="43"/>
  <c r="N24" i="43"/>
  <c r="H70" i="39"/>
  <c r="O13" i="31"/>
  <c r="G37" i="31"/>
  <c r="O37" i="31" s="1"/>
  <c r="O44" i="31" s="1"/>
  <c r="F63" i="48"/>
  <c r="F82" i="33"/>
  <c r="G238" i="40"/>
  <c r="F249" i="40"/>
  <c r="AM22" i="43"/>
  <c r="AO22" i="43"/>
  <c r="F155" i="33"/>
  <c r="E153" i="33"/>
  <c r="AX37" i="43"/>
  <c r="AP37" i="43"/>
  <c r="AV37" i="43"/>
  <c r="G25" i="48" s="1"/>
  <c r="AT37" i="43"/>
  <c r="G24" i="48" s="1"/>
  <c r="AR37" i="43"/>
  <c r="G23" i="48" s="1"/>
  <c r="U66" i="31"/>
  <c r="U73" i="31"/>
  <c r="U48" i="31"/>
  <c r="U33" i="31"/>
  <c r="U26" i="31"/>
  <c r="U78" i="31"/>
  <c r="AL4" i="31"/>
  <c r="AL22" i="31" s="1"/>
  <c r="AM3" i="31"/>
  <c r="F177" i="40"/>
  <c r="F178" i="40" s="1"/>
  <c r="F66" i="40"/>
  <c r="G55" i="40"/>
  <c r="G32" i="40"/>
  <c r="G76" i="40"/>
  <c r="F87" i="40"/>
  <c r="K95" i="41"/>
  <c r="J96" i="41"/>
  <c r="G48" i="48"/>
  <c r="E46" i="48"/>
  <c r="E48" i="48" s="1"/>
  <c r="M31" i="41"/>
  <c r="N30" i="41"/>
  <c r="G425" i="41"/>
  <c r="H338" i="38"/>
  <c r="G357" i="38"/>
  <c r="J7" i="45"/>
  <c r="H30" i="31"/>
  <c r="J15" i="45"/>
  <c r="G55" i="41"/>
  <c r="F66" i="41"/>
  <c r="G168" i="41"/>
  <c r="F37" i="48"/>
  <c r="E36" i="48"/>
  <c r="E37" i="48" s="1"/>
  <c r="E100" i="33"/>
  <c r="E18" i="35"/>
  <c r="I399" i="41"/>
  <c r="H411" i="41"/>
  <c r="G27" i="31"/>
  <c r="BA26" i="43"/>
  <c r="BA23" i="43"/>
  <c r="AW25" i="43"/>
  <c r="AP51" i="43" s="1"/>
  <c r="AW23" i="43"/>
  <c r="J364" i="40"/>
  <c r="I376" i="40"/>
  <c r="J30" i="31"/>
  <c r="G97" i="41"/>
  <c r="F108" i="41"/>
  <c r="G169" i="40"/>
  <c r="G158" i="38"/>
  <c r="F158" i="38"/>
  <c r="F225" i="38"/>
  <c r="F270" i="38"/>
  <c r="F227" i="38"/>
  <c r="G225" i="38"/>
  <c r="F272" i="38"/>
  <c r="F10" i="48"/>
  <c r="G155" i="38"/>
  <c r="G272" i="38"/>
  <c r="G227" i="38"/>
  <c r="G270" i="38"/>
  <c r="F155" i="38"/>
  <c r="E171" i="33"/>
  <c r="F173" i="33"/>
  <c r="F84" i="48" s="1"/>
  <c r="AI26" i="43"/>
  <c r="N16" i="43"/>
  <c r="AI16" i="43"/>
  <c r="AQ16" i="43"/>
  <c r="AK33" i="31"/>
  <c r="AK66" i="31"/>
  <c r="AK26" i="31"/>
  <c r="AK73" i="31"/>
  <c r="AK78" i="31"/>
  <c r="AK48" i="31"/>
  <c r="H25" i="45"/>
  <c r="I30" i="31"/>
  <c r="G9" i="40"/>
  <c r="F227" i="40"/>
  <c r="G10" i="48"/>
  <c r="F273" i="40"/>
  <c r="F159" i="40"/>
  <c r="F156" i="40"/>
  <c r="F275" i="40"/>
  <c r="F229" i="40"/>
  <c r="G396" i="40"/>
  <c r="G438" i="40" s="1"/>
  <c r="G379" i="40"/>
  <c r="G421" i="40"/>
  <c r="G275" i="40"/>
  <c r="F396" i="40"/>
  <c r="G229" i="40"/>
  <c r="G390" i="40"/>
  <c r="F399" i="40"/>
  <c r="G380" i="40"/>
  <c r="F380" i="40"/>
  <c r="G156" i="40"/>
  <c r="G159" i="40"/>
  <c r="G399" i="40"/>
  <c r="G371" i="40" s="1"/>
  <c r="G384" i="40" s="1"/>
  <c r="G273" i="40"/>
  <c r="G411" i="40"/>
  <c r="G425" i="40" s="1"/>
  <c r="G420" i="40"/>
  <c r="G432" i="40"/>
  <c r="H432" i="40"/>
  <c r="H159" i="40"/>
  <c r="F379" i="40"/>
  <c r="F216" i="41"/>
  <c r="F217" i="41" s="1"/>
  <c r="G211" i="41"/>
  <c r="P74" i="40"/>
  <c r="O75" i="40"/>
  <c r="AO26" i="43"/>
  <c r="O17" i="43"/>
  <c r="O22" i="43"/>
  <c r="O12" i="43"/>
  <c r="O13" i="43"/>
  <c r="O16" i="43"/>
  <c r="O10" i="43"/>
  <c r="O7" i="43"/>
  <c r="O8" i="43"/>
  <c r="O6" i="43"/>
  <c r="O18" i="43"/>
  <c r="O21" i="43"/>
  <c r="O14" i="43"/>
  <c r="O9" i="43"/>
  <c r="O11" i="43"/>
  <c r="O19" i="43"/>
  <c r="O20" i="43"/>
  <c r="O15" i="43"/>
  <c r="R14" i="35"/>
  <c r="S13" i="35"/>
  <c r="E172" i="33"/>
  <c r="F108" i="40"/>
  <c r="G97" i="40"/>
  <c r="G270" i="41"/>
  <c r="F155" i="41"/>
  <c r="G225" i="41"/>
  <c r="F270" i="41"/>
  <c r="F158" i="41"/>
  <c r="G155" i="41"/>
  <c r="G272" i="41"/>
  <c r="F272" i="41"/>
  <c r="F227" i="41"/>
  <c r="G227" i="41"/>
  <c r="G158" i="41"/>
  <c r="H10" i="48"/>
  <c r="F391" i="41"/>
  <c r="F394" i="41"/>
  <c r="F385" i="41"/>
  <c r="H385" i="41"/>
  <c r="F225" i="41"/>
  <c r="G391" i="41"/>
  <c r="G431" i="41" s="1"/>
  <c r="F434" i="41"/>
  <c r="G394" i="41"/>
  <c r="G366" i="41" s="1"/>
  <c r="G379" i="41" s="1"/>
  <c r="G434" i="41"/>
  <c r="G406" i="41" s="1"/>
  <c r="G419" i="41" s="1"/>
  <c r="F425" i="41"/>
  <c r="H391" i="41"/>
  <c r="H431" i="41" s="1"/>
  <c r="H394" i="41"/>
  <c r="H366" i="41" s="1"/>
  <c r="H379" i="41" s="1"/>
  <c r="G385" i="41"/>
  <c r="H425" i="41"/>
  <c r="AO17" i="43"/>
  <c r="AM17" i="43"/>
  <c r="AM12" i="43"/>
  <c r="AO12" i="43"/>
  <c r="P59" i="48"/>
  <c r="G9" i="32"/>
  <c r="F287" i="38"/>
  <c r="AR33" i="43"/>
  <c r="H16" i="48" s="1"/>
  <c r="AT33" i="43"/>
  <c r="H17" i="48" s="1"/>
  <c r="AP33" i="43"/>
  <c r="AV33" i="43"/>
  <c r="H18" i="48" s="1"/>
  <c r="AX33" i="43"/>
  <c r="P2" i="43"/>
  <c r="P4" i="43"/>
  <c r="Q1" i="43"/>
  <c r="J14" i="31"/>
  <c r="Q38" i="33"/>
  <c r="E56" i="45"/>
  <c r="J53" i="45"/>
  <c r="F397" i="38"/>
  <c r="F374" i="38"/>
  <c r="F375" i="38"/>
  <c r="F391" i="38"/>
  <c r="F394" i="38"/>
  <c r="F385" i="38"/>
  <c r="F94" i="48"/>
  <c r="F98" i="33"/>
  <c r="P96" i="40"/>
  <c r="Q95" i="40"/>
  <c r="F47" i="42"/>
  <c r="G3" i="47"/>
  <c r="F1" i="42"/>
  <c r="G2" i="42"/>
  <c r="E217" i="33"/>
  <c r="E219" i="33" s="1"/>
  <c r="F87" i="48" s="1"/>
  <c r="H219" i="33"/>
  <c r="F420" i="40"/>
  <c r="F421" i="40"/>
  <c r="F432" i="40"/>
  <c r="AQ23" i="43"/>
  <c r="H434" i="41"/>
  <c r="H406" i="41" s="1"/>
  <c r="H419" i="41" s="1"/>
  <c r="AQ13" i="43"/>
  <c r="AI13" i="43"/>
  <c r="AA23" i="43"/>
  <c r="AI23" i="43" s="1"/>
  <c r="AA25" i="43"/>
  <c r="N13" i="43"/>
  <c r="H371" i="41"/>
  <c r="I359" i="41"/>
  <c r="G120" i="40"/>
  <c r="M168" i="40"/>
  <c r="N167" i="40"/>
  <c r="F108" i="33"/>
  <c r="H40" i="48"/>
  <c r="E39" i="48"/>
  <c r="E40" i="48" s="1"/>
  <c r="H156" i="39"/>
  <c r="AV12" i="31"/>
  <c r="J36" i="31"/>
  <c r="AV36" i="31" s="1"/>
  <c r="AV44" i="31" s="1"/>
  <c r="O25" i="33"/>
  <c r="E99" i="33"/>
  <c r="E52" i="48"/>
  <c r="E53" i="48" s="1"/>
  <c r="F53" i="48"/>
  <c r="M27" i="33"/>
  <c r="F129" i="28" l="1"/>
  <c r="J25" i="45"/>
  <c r="D62" i="46" s="1"/>
  <c r="I31" i="38"/>
  <c r="N23" i="33"/>
  <c r="N35" i="33" s="1"/>
  <c r="H12" i="31" s="1"/>
  <c r="H227" i="40"/>
  <c r="H156" i="40"/>
  <c r="H158" i="40" s="1"/>
  <c r="I272" i="40"/>
  <c r="I328" i="40"/>
  <c r="H275" i="40"/>
  <c r="H229" i="40"/>
  <c r="J272" i="40"/>
  <c r="J328" i="40"/>
  <c r="I140" i="40"/>
  <c r="J140" i="40" s="1"/>
  <c r="H273" i="40"/>
  <c r="H259" i="40"/>
  <c r="H267" i="40" s="1"/>
  <c r="H100" i="40"/>
  <c r="I31" i="31"/>
  <c r="I8" i="32" s="1"/>
  <c r="H23" i="45"/>
  <c r="G87" i="41"/>
  <c r="M25" i="33"/>
  <c r="O37" i="33"/>
  <c r="I14" i="31" s="1"/>
  <c r="J31" i="38"/>
  <c r="I24" i="31"/>
  <c r="I29" i="32" s="1"/>
  <c r="AB56" i="32"/>
  <c r="H75" i="33"/>
  <c r="G75" i="33"/>
  <c r="H79" i="33"/>
  <c r="G79" i="33"/>
  <c r="E72" i="48"/>
  <c r="F48" i="33"/>
  <c r="F72" i="48" s="1"/>
  <c r="G44" i="33"/>
  <c r="G120" i="38"/>
  <c r="H120" i="38" s="1"/>
  <c r="G9" i="38"/>
  <c r="G55" i="38"/>
  <c r="H390" i="40"/>
  <c r="H8" i="41"/>
  <c r="H225" i="41"/>
  <c r="H226" i="41" s="1"/>
  <c r="H396" i="40"/>
  <c r="H438" i="40" s="1"/>
  <c r="G236" i="38"/>
  <c r="G247" i="38" s="1"/>
  <c r="J292" i="40"/>
  <c r="G32" i="38"/>
  <c r="H399" i="40"/>
  <c r="H371" i="40" s="1"/>
  <c r="H384" i="40" s="1"/>
  <c r="H155" i="41"/>
  <c r="H157" i="41" s="1"/>
  <c r="H97" i="39"/>
  <c r="J273" i="40"/>
  <c r="I2" i="40"/>
  <c r="I100" i="40" s="1"/>
  <c r="H120" i="41"/>
  <c r="J291" i="40"/>
  <c r="J337" i="40" s="1"/>
  <c r="G236" i="41"/>
  <c r="G247" i="41" s="1"/>
  <c r="H172" i="40"/>
  <c r="H174" i="40" s="1"/>
  <c r="H177" i="40" s="1"/>
  <c r="H241" i="40"/>
  <c r="M24" i="43"/>
  <c r="H79" i="40"/>
  <c r="H58" i="40"/>
  <c r="J294" i="41"/>
  <c r="H270" i="41"/>
  <c r="Y11" i="31"/>
  <c r="H227" i="41"/>
  <c r="H158" i="41"/>
  <c r="L333" i="40"/>
  <c r="H3" i="41"/>
  <c r="I3" i="41" s="1"/>
  <c r="H6" i="41"/>
  <c r="J289" i="40"/>
  <c r="J335" i="40" s="1"/>
  <c r="J288" i="40"/>
  <c r="J334" i="40" s="1"/>
  <c r="F87" i="38"/>
  <c r="G76" i="38"/>
  <c r="K287" i="40"/>
  <c r="J290" i="40"/>
  <c r="J336" i="40" s="1"/>
  <c r="G97" i="38"/>
  <c r="H76" i="41"/>
  <c r="J227" i="40"/>
  <c r="I156" i="40"/>
  <c r="I158" i="40" s="1"/>
  <c r="I273" i="40"/>
  <c r="H157" i="40"/>
  <c r="J156" i="40"/>
  <c r="J158" i="40" s="1"/>
  <c r="J275" i="40"/>
  <c r="H213" i="40"/>
  <c r="H221" i="40" s="1"/>
  <c r="L321" i="40"/>
  <c r="N297" i="40"/>
  <c r="N321" i="40" s="1"/>
  <c r="AY4" i="31"/>
  <c r="AY22" i="31" s="1"/>
  <c r="AZ3" i="31"/>
  <c r="N26" i="33"/>
  <c r="E154" i="33"/>
  <c r="E155" i="33" s="1"/>
  <c r="L327" i="40"/>
  <c r="K359" i="38"/>
  <c r="J371" i="38"/>
  <c r="AF4" i="43"/>
  <c r="AV4" i="43" s="1"/>
  <c r="AG1" i="43"/>
  <c r="AI24" i="43"/>
  <c r="M411" i="38"/>
  <c r="N399" i="38"/>
  <c r="N404" i="40"/>
  <c r="M417" i="40"/>
  <c r="AO14" i="43"/>
  <c r="AO24" i="43" s="1"/>
  <c r="AM14" i="43"/>
  <c r="AP23" i="43"/>
  <c r="AP24" i="43"/>
  <c r="AX38" i="43"/>
  <c r="AP38" i="43"/>
  <c r="H22" i="48" s="1"/>
  <c r="AR38" i="43"/>
  <c r="H23" i="48" s="1"/>
  <c r="AV38" i="43"/>
  <c r="H25" i="48" s="1"/>
  <c r="AT38" i="43"/>
  <c r="H24" i="48" s="1"/>
  <c r="AX26" i="31"/>
  <c r="AX66" i="31"/>
  <c r="AX73" i="31"/>
  <c r="AX33" i="31"/>
  <c r="AX78" i="31"/>
  <c r="AX48" i="31"/>
  <c r="G239" i="41"/>
  <c r="G175" i="41"/>
  <c r="G100" i="41"/>
  <c r="G79" i="41"/>
  <c r="H2" i="41"/>
  <c r="G171" i="41"/>
  <c r="G173" i="41" s="1"/>
  <c r="G176" i="41" s="1"/>
  <c r="G177" i="41" s="1"/>
  <c r="G186" i="41" s="1"/>
  <c r="H272" i="38"/>
  <c r="H225" i="38"/>
  <c r="H226" i="38" s="1"/>
  <c r="H158" i="38"/>
  <c r="J287" i="41"/>
  <c r="J331" i="41" s="1"/>
  <c r="K284" i="41"/>
  <c r="H227" i="38"/>
  <c r="N53" i="40"/>
  <c r="N54" i="40" s="1"/>
  <c r="H156" i="38"/>
  <c r="J289" i="41"/>
  <c r="H270" i="38"/>
  <c r="H271" i="38" s="1"/>
  <c r="H142" i="38"/>
  <c r="H150" i="38" s="1"/>
  <c r="J285" i="41"/>
  <c r="J329" i="41" s="1"/>
  <c r="H155" i="38"/>
  <c r="H157" i="38" s="1"/>
  <c r="I140" i="38"/>
  <c r="J140" i="38" s="1"/>
  <c r="J270" i="38" s="1"/>
  <c r="J271" i="38" s="1"/>
  <c r="J288" i="41"/>
  <c r="J332" i="41" s="1"/>
  <c r="J286" i="41"/>
  <c r="J330" i="41" s="1"/>
  <c r="H57" i="48"/>
  <c r="H257" i="38"/>
  <c r="H265" i="38" s="1"/>
  <c r="I229" i="40"/>
  <c r="I159" i="40"/>
  <c r="I158" i="38"/>
  <c r="H317" i="38"/>
  <c r="H323" i="38"/>
  <c r="H328" i="38"/>
  <c r="I294" i="38"/>
  <c r="I275" i="40"/>
  <c r="I227" i="40"/>
  <c r="J3" i="40"/>
  <c r="I357" i="41"/>
  <c r="I397" i="41" s="1"/>
  <c r="I425" i="41" s="1"/>
  <c r="G256" i="38"/>
  <c r="G259" i="38" s="1"/>
  <c r="H256" i="38" s="1"/>
  <c r="G214" i="38"/>
  <c r="H211" i="38" s="1"/>
  <c r="H214" i="38" s="1"/>
  <c r="M321" i="40"/>
  <c r="M333" i="40"/>
  <c r="G177" i="40"/>
  <c r="G178" i="40" s="1"/>
  <c r="M166" i="41"/>
  <c r="L167" i="41"/>
  <c r="K117" i="38"/>
  <c r="L116" i="38"/>
  <c r="Q234" i="41"/>
  <c r="P235" i="41"/>
  <c r="K75" i="38"/>
  <c r="L74" i="38"/>
  <c r="K291" i="40"/>
  <c r="K337" i="40" s="1"/>
  <c r="K290" i="40"/>
  <c r="K336" i="40" s="1"/>
  <c r="K293" i="40"/>
  <c r="K339" i="40" s="1"/>
  <c r="L287" i="40"/>
  <c r="K289" i="40"/>
  <c r="K335" i="40" s="1"/>
  <c r="K288" i="40"/>
  <c r="K292" i="40"/>
  <c r="G258" i="40"/>
  <c r="G261" i="40" s="1"/>
  <c r="H258" i="40" s="1"/>
  <c r="F263" i="40"/>
  <c r="F264" i="40" s="1"/>
  <c r="J158" i="38"/>
  <c r="I155" i="38"/>
  <c r="I157" i="38" s="1"/>
  <c r="J272" i="38"/>
  <c r="I362" i="40"/>
  <c r="J343" i="40"/>
  <c r="N23" i="43"/>
  <c r="G214" i="41"/>
  <c r="G216" i="41" s="1"/>
  <c r="G217" i="41" s="1"/>
  <c r="M30" i="38"/>
  <c r="L31" i="38"/>
  <c r="G259" i="41"/>
  <c r="F176" i="41"/>
  <c r="F177" i="41" s="1"/>
  <c r="F186" i="41" s="1"/>
  <c r="G58" i="38"/>
  <c r="G100" i="38"/>
  <c r="G239" i="38"/>
  <c r="G175" i="38"/>
  <c r="G171" i="38"/>
  <c r="G173" i="38" s="1"/>
  <c r="G79" i="38"/>
  <c r="Q95" i="38"/>
  <c r="P96" i="38"/>
  <c r="H212" i="40"/>
  <c r="G217" i="40"/>
  <c r="G218" i="40" s="1"/>
  <c r="I75" i="41"/>
  <c r="J74" i="41"/>
  <c r="K140" i="40"/>
  <c r="H87" i="41"/>
  <c r="H8" i="38"/>
  <c r="H9" i="38" s="1"/>
  <c r="H2" i="38"/>
  <c r="H6" i="38"/>
  <c r="H3" i="38"/>
  <c r="I7" i="38"/>
  <c r="H257" i="41"/>
  <c r="H265" i="41" s="1"/>
  <c r="H212" i="41"/>
  <c r="H220" i="41" s="1"/>
  <c r="H142" i="41"/>
  <c r="H150" i="41" s="1"/>
  <c r="H156" i="41"/>
  <c r="I140" i="41"/>
  <c r="N30" i="40"/>
  <c r="M31" i="40"/>
  <c r="K285" i="38"/>
  <c r="K288" i="38"/>
  <c r="K332" i="38" s="1"/>
  <c r="K287" i="38"/>
  <c r="K331" i="38" s="1"/>
  <c r="K290" i="38"/>
  <c r="K334" i="38" s="1"/>
  <c r="L284" i="38"/>
  <c r="K286" i="38"/>
  <c r="K330" i="38" s="1"/>
  <c r="K289" i="38"/>
  <c r="I168" i="38"/>
  <c r="H235" i="38"/>
  <c r="I234" i="38"/>
  <c r="J53" i="41"/>
  <c r="I54" i="41"/>
  <c r="B14" i="35"/>
  <c r="B15" i="35" s="1"/>
  <c r="C13" i="35"/>
  <c r="G66" i="38"/>
  <c r="M116" i="40"/>
  <c r="L117" i="40"/>
  <c r="L166" i="38"/>
  <c r="K167" i="38"/>
  <c r="I241" i="40"/>
  <c r="I53" i="38"/>
  <c r="H54" i="38"/>
  <c r="H55" i="38" s="1"/>
  <c r="I117" i="38"/>
  <c r="N29" i="33"/>
  <c r="N41" i="33" s="1"/>
  <c r="J117" i="38"/>
  <c r="L236" i="40"/>
  <c r="K237" i="40"/>
  <c r="K338" i="41"/>
  <c r="J357" i="41"/>
  <c r="AH15" i="35"/>
  <c r="AG16" i="35"/>
  <c r="J317" i="41"/>
  <c r="J328" i="41"/>
  <c r="K294" i="41"/>
  <c r="J323" i="41"/>
  <c r="K7" i="40"/>
  <c r="J6" i="40"/>
  <c r="F206" i="33"/>
  <c r="L116" i="41"/>
  <c r="K117" i="41"/>
  <c r="J359" i="41"/>
  <c r="I371" i="41"/>
  <c r="G6" i="47"/>
  <c r="G4" i="47"/>
  <c r="H3" i="47"/>
  <c r="G5" i="47"/>
  <c r="F366" i="38"/>
  <c r="F379" i="38" s="1"/>
  <c r="I15" i="31"/>
  <c r="Q39" i="33"/>
  <c r="J15" i="31"/>
  <c r="F157" i="41"/>
  <c r="F159" i="41" s="1"/>
  <c r="O24" i="43"/>
  <c r="G158" i="40"/>
  <c r="G160" i="40" s="1"/>
  <c r="E173" i="33"/>
  <c r="G157" i="38"/>
  <c r="G159" i="38" s="1"/>
  <c r="K96" i="41"/>
  <c r="L95" i="41"/>
  <c r="G66" i="40"/>
  <c r="H55" i="40"/>
  <c r="H238" i="40"/>
  <c r="G249" i="40"/>
  <c r="I7" i="32"/>
  <c r="H271" i="41"/>
  <c r="H273" i="41" s="1"/>
  <c r="G271" i="41"/>
  <c r="G273" i="41" s="1"/>
  <c r="G324" i="41"/>
  <c r="Y35" i="31"/>
  <c r="Y44" i="31" s="1"/>
  <c r="F158" i="40"/>
  <c r="F160" i="40" s="1"/>
  <c r="J24" i="31"/>
  <c r="AI11" i="35"/>
  <c r="E19" i="35"/>
  <c r="H175" i="41"/>
  <c r="H239" i="41"/>
  <c r="H171" i="41"/>
  <c r="H173" i="41" s="1"/>
  <c r="H58" i="41"/>
  <c r="H79" i="41"/>
  <c r="F86" i="33"/>
  <c r="E67" i="48" s="1"/>
  <c r="F85" i="33"/>
  <c r="F67" i="48" s="1"/>
  <c r="AB11" i="35"/>
  <c r="AB12" i="35" s="1"/>
  <c r="AB13" i="35" s="1"/>
  <c r="AB14" i="35" s="1"/>
  <c r="AB15" i="35" s="1"/>
  <c r="T12" i="35"/>
  <c r="T13" i="35" s="1"/>
  <c r="T14" i="35" s="1"/>
  <c r="T15" i="35" s="1"/>
  <c r="F431" i="38"/>
  <c r="E108" i="33"/>
  <c r="AI25" i="43"/>
  <c r="R95" i="40"/>
  <c r="Q96" i="40"/>
  <c r="J38" i="31"/>
  <c r="AX38" i="31" s="1"/>
  <c r="AX44" i="31" s="1"/>
  <c r="AX14" i="31"/>
  <c r="H158" i="39"/>
  <c r="O25" i="43"/>
  <c r="Q74" i="40"/>
  <c r="P75" i="40"/>
  <c r="J274" i="40"/>
  <c r="G228" i="40"/>
  <c r="G230" i="40" s="1"/>
  <c r="I120" i="41"/>
  <c r="H169" i="40"/>
  <c r="F187" i="40"/>
  <c r="H36" i="31"/>
  <c r="Z12" i="31"/>
  <c r="H98" i="39"/>
  <c r="H129" i="39"/>
  <c r="AM14" i="31"/>
  <c r="I38" i="31"/>
  <c r="AM38" i="31" s="1"/>
  <c r="AM44" i="31" s="1"/>
  <c r="H15" i="48"/>
  <c r="O167" i="40"/>
  <c r="N168" i="40"/>
  <c r="H14" i="31"/>
  <c r="M37" i="33"/>
  <c r="H97" i="40"/>
  <c r="G108" i="40"/>
  <c r="N25" i="43"/>
  <c r="F371" i="40"/>
  <c r="F384" i="40" s="1"/>
  <c r="F329" i="40"/>
  <c r="F274" i="40"/>
  <c r="F276" i="40" s="1"/>
  <c r="AM16" i="43"/>
  <c r="AO16" i="43"/>
  <c r="G226" i="38"/>
  <c r="G228" i="38" s="1"/>
  <c r="G30" i="31"/>
  <c r="AN3" i="31"/>
  <c r="AM4" i="31"/>
  <c r="AM22" i="31" s="1"/>
  <c r="I6" i="41"/>
  <c r="J7" i="41"/>
  <c r="I2" i="41"/>
  <c r="G22" i="48"/>
  <c r="F101" i="33"/>
  <c r="E98" i="33"/>
  <c r="E101" i="33" s="1"/>
  <c r="F425" i="38"/>
  <c r="F434" i="38"/>
  <c r="F414" i="38"/>
  <c r="F415" i="38"/>
  <c r="Q4" i="43"/>
  <c r="Q2" i="43"/>
  <c r="R1" i="43"/>
  <c r="F406" i="41"/>
  <c r="F419" i="41" s="1"/>
  <c r="G157" i="41"/>
  <c r="G159" i="41" s="1"/>
  <c r="F157" i="38"/>
  <c r="F159" i="38" s="1"/>
  <c r="H168" i="41"/>
  <c r="F126" i="28"/>
  <c r="H76" i="40"/>
  <c r="G87" i="40"/>
  <c r="AL66" i="31"/>
  <c r="AL26" i="31"/>
  <c r="AL33" i="31"/>
  <c r="AL78" i="31"/>
  <c r="AL48" i="31"/>
  <c r="AL73" i="31"/>
  <c r="G26" i="48"/>
  <c r="AY37" i="43"/>
  <c r="AO13" i="43"/>
  <c r="AO25" i="43" s="1"/>
  <c r="AM13" i="43"/>
  <c r="F431" i="41"/>
  <c r="G274" i="40"/>
  <c r="G276" i="40" s="1"/>
  <c r="G329" i="40"/>
  <c r="F228" i="40"/>
  <c r="F230" i="40" s="1"/>
  <c r="G271" i="38"/>
  <c r="G273" i="38" s="1"/>
  <c r="G324" i="38"/>
  <c r="F324" i="38"/>
  <c r="F271" i="38"/>
  <c r="F273" i="38" s="1"/>
  <c r="G108" i="41"/>
  <c r="H97" i="41"/>
  <c r="K364" i="40"/>
  <c r="J376" i="40"/>
  <c r="G385" i="38"/>
  <c r="G375" i="38"/>
  <c r="G374" i="38"/>
  <c r="G394" i="38"/>
  <c r="G366" i="38" s="1"/>
  <c r="G379" i="38" s="1"/>
  <c r="G391" i="38"/>
  <c r="G431" i="38" s="1"/>
  <c r="G397" i="38"/>
  <c r="H120" i="40"/>
  <c r="H9" i="41"/>
  <c r="G1" i="42"/>
  <c r="H2" i="42"/>
  <c r="G47" i="42"/>
  <c r="P20" i="43"/>
  <c r="P13" i="43"/>
  <c r="P17" i="43"/>
  <c r="P10" i="43"/>
  <c r="P19" i="43"/>
  <c r="P18" i="43"/>
  <c r="P14" i="43"/>
  <c r="P11" i="43"/>
  <c r="P21" i="43"/>
  <c r="P22" i="43"/>
  <c r="P8" i="43"/>
  <c r="P6" i="43"/>
  <c r="P9" i="43"/>
  <c r="P12" i="43"/>
  <c r="P15" i="43"/>
  <c r="P7" i="43"/>
  <c r="P16" i="43"/>
  <c r="F271" i="41"/>
  <c r="F273" i="41" s="1"/>
  <c r="F324" i="41"/>
  <c r="S14" i="35"/>
  <c r="R15" i="35"/>
  <c r="F226" i="38"/>
  <c r="F228" i="38" s="1"/>
  <c r="H357" i="38"/>
  <c r="I338" i="38"/>
  <c r="AO23" i="43"/>
  <c r="H32" i="40"/>
  <c r="F331" i="38"/>
  <c r="F411" i="40"/>
  <c r="F425" i="40" s="1"/>
  <c r="E64" i="45"/>
  <c r="J56" i="45"/>
  <c r="J64" i="45" s="1"/>
  <c r="AY33" i="43"/>
  <c r="H19" i="48"/>
  <c r="AQ25" i="43"/>
  <c r="F226" i="41"/>
  <c r="F228" i="41" s="1"/>
  <c r="F366" i="41"/>
  <c r="F379" i="41" s="1"/>
  <c r="G226" i="41"/>
  <c r="G228" i="41" s="1"/>
  <c r="O26" i="43"/>
  <c r="O23" i="43"/>
  <c r="H228" i="40"/>
  <c r="H230" i="40" s="1"/>
  <c r="F438" i="40"/>
  <c r="H9" i="40"/>
  <c r="AP53" i="43"/>
  <c r="I411" i="41"/>
  <c r="J399" i="41"/>
  <c r="H55" i="41"/>
  <c r="G66" i="41"/>
  <c r="O30" i="41"/>
  <c r="N31" i="41"/>
  <c r="I30" i="32" l="1"/>
  <c r="E67" i="46"/>
  <c r="E68" i="46" s="1"/>
  <c r="D67" i="46"/>
  <c r="D68" i="46" s="1"/>
  <c r="F68" i="46" s="1"/>
  <c r="G328" i="40" s="1"/>
  <c r="H274" i="40"/>
  <c r="H276" i="40" s="1"/>
  <c r="H26" i="28"/>
  <c r="H261" i="40"/>
  <c r="F440" i="40"/>
  <c r="H329" i="40"/>
  <c r="J2" i="40"/>
  <c r="I58" i="40"/>
  <c r="I176" i="40"/>
  <c r="J310" i="40"/>
  <c r="J412" i="40"/>
  <c r="J426" i="40" s="1"/>
  <c r="J441" i="40" s="1"/>
  <c r="I310" i="40"/>
  <c r="I412" i="40"/>
  <c r="I426" i="40" s="1"/>
  <c r="I441" i="40" s="1"/>
  <c r="I172" i="40"/>
  <c r="I174" i="40" s="1"/>
  <c r="K272" i="40"/>
  <c r="K328" i="40"/>
  <c r="J159" i="40"/>
  <c r="J229" i="40"/>
  <c r="J276" i="40"/>
  <c r="I274" i="40"/>
  <c r="I276" i="40" s="1"/>
  <c r="I329" i="40"/>
  <c r="H160" i="40"/>
  <c r="H440" i="40" s="1"/>
  <c r="H410" i="40" s="1"/>
  <c r="H424" i="40" s="1"/>
  <c r="I79" i="40"/>
  <c r="I22" i="45"/>
  <c r="J29" i="31" s="1"/>
  <c r="G22" i="45"/>
  <c r="J22" i="45" s="1"/>
  <c r="M26" i="33"/>
  <c r="N38" i="33"/>
  <c r="H32" i="38"/>
  <c r="I32" i="38" s="1"/>
  <c r="J32" i="38" s="1"/>
  <c r="K32" i="38" s="1"/>
  <c r="L32" i="38" s="1"/>
  <c r="J329" i="40"/>
  <c r="J228" i="40"/>
  <c r="J230" i="40" s="1"/>
  <c r="H324" i="41"/>
  <c r="H228" i="41"/>
  <c r="I120" i="38"/>
  <c r="H48" i="33"/>
  <c r="G48" i="33"/>
  <c r="H236" i="38"/>
  <c r="H236" i="41"/>
  <c r="H247" i="41" s="1"/>
  <c r="I76" i="41"/>
  <c r="N327" i="40"/>
  <c r="H100" i="41"/>
  <c r="I100" i="41" s="1"/>
  <c r="G87" i="38"/>
  <c r="H76" i="38"/>
  <c r="G108" i="38"/>
  <c r="H97" i="38"/>
  <c r="H215" i="40"/>
  <c r="I212" i="40" s="1"/>
  <c r="I228" i="40"/>
  <c r="I230" i="40" s="1"/>
  <c r="K140" i="38"/>
  <c r="J155" i="38"/>
  <c r="J157" i="38" s="1"/>
  <c r="J227" i="38"/>
  <c r="I270" i="38"/>
  <c r="I227" i="38"/>
  <c r="H324" i="38"/>
  <c r="O404" i="40"/>
  <c r="N417" i="40"/>
  <c r="AH1" i="43"/>
  <c r="AG4" i="43"/>
  <c r="AW4" i="43" s="1"/>
  <c r="AY48" i="31"/>
  <c r="AY26" i="31"/>
  <c r="AY73" i="31"/>
  <c r="AY33" i="31"/>
  <c r="AY66" i="31"/>
  <c r="AY78" i="31"/>
  <c r="AY38" i="43"/>
  <c r="N411" i="38"/>
  <c r="O399" i="38"/>
  <c r="N333" i="40"/>
  <c r="O297" i="40"/>
  <c r="I225" i="38"/>
  <c r="I226" i="38" s="1"/>
  <c r="J225" i="38"/>
  <c r="J226" i="38" s="1"/>
  <c r="H273" i="38"/>
  <c r="H228" i="38"/>
  <c r="AT36" i="43"/>
  <c r="AP36" i="43"/>
  <c r="AR36" i="43"/>
  <c r="AX36" i="43"/>
  <c r="AV36" i="43"/>
  <c r="K371" i="38"/>
  <c r="L359" i="38"/>
  <c r="BA3" i="31"/>
  <c r="AZ4" i="31"/>
  <c r="AZ22" i="31" s="1"/>
  <c r="H259" i="38"/>
  <c r="G216" i="38"/>
  <c r="G217" i="38" s="1"/>
  <c r="H159" i="38"/>
  <c r="O53" i="40"/>
  <c r="P53" i="40" s="1"/>
  <c r="K288" i="41"/>
  <c r="K332" i="41" s="1"/>
  <c r="K290" i="41"/>
  <c r="K334" i="41" s="1"/>
  <c r="K286" i="41"/>
  <c r="K330" i="41" s="1"/>
  <c r="L284" i="41"/>
  <c r="K287" i="41"/>
  <c r="K331" i="41" s="1"/>
  <c r="K285" i="41"/>
  <c r="K289" i="41"/>
  <c r="I394" i="41"/>
  <c r="I366" i="41" s="1"/>
  <c r="I379" i="41" s="1"/>
  <c r="I272" i="38"/>
  <c r="G261" i="38"/>
  <c r="G262" i="38" s="1"/>
  <c r="J120" i="38"/>
  <c r="K120" i="38" s="1"/>
  <c r="I385" i="41"/>
  <c r="I391" i="41"/>
  <c r="I431" i="41" s="1"/>
  <c r="J294" i="38"/>
  <c r="I328" i="38"/>
  <c r="I317" i="38"/>
  <c r="I323" i="38"/>
  <c r="G263" i="40"/>
  <c r="G264" i="40" s="1"/>
  <c r="I434" i="41"/>
  <c r="I406" i="41" s="1"/>
  <c r="I419" i="41" s="1"/>
  <c r="G330" i="40"/>
  <c r="R234" i="41"/>
  <c r="Q235" i="41"/>
  <c r="H211" i="41"/>
  <c r="H214" i="41" s="1"/>
  <c r="H216" i="41" s="1"/>
  <c r="H217" i="41" s="1"/>
  <c r="M116" i="38"/>
  <c r="L117" i="38"/>
  <c r="M287" i="40"/>
  <c r="L293" i="40"/>
  <c r="L339" i="40" s="1"/>
  <c r="L294" i="40"/>
  <c r="L340" i="40" s="1"/>
  <c r="L292" i="40"/>
  <c r="L290" i="40"/>
  <c r="L336" i="40" s="1"/>
  <c r="L291" i="40"/>
  <c r="L337" i="40" s="1"/>
  <c r="L289" i="40"/>
  <c r="L335" i="40" s="1"/>
  <c r="L288" i="40"/>
  <c r="K334" i="40"/>
  <c r="M74" i="38"/>
  <c r="L75" i="38"/>
  <c r="N166" i="41"/>
  <c r="M167" i="41"/>
  <c r="H159" i="41"/>
  <c r="K343" i="40"/>
  <c r="J362" i="40"/>
  <c r="I402" i="40"/>
  <c r="I442" i="40" s="1"/>
  <c r="I399" i="40"/>
  <c r="I371" i="40" s="1"/>
  <c r="I384" i="40" s="1"/>
  <c r="I390" i="40"/>
  <c r="I396" i="40"/>
  <c r="I438" i="40" s="1"/>
  <c r="C14" i="35"/>
  <c r="C15" i="35" s="1"/>
  <c r="M31" i="38"/>
  <c r="N30" i="38"/>
  <c r="J140" i="41"/>
  <c r="I158" i="41"/>
  <c r="I270" i="41"/>
  <c r="I272" i="41"/>
  <c r="I227" i="41"/>
  <c r="I225" i="41"/>
  <c r="I226" i="41" s="1"/>
  <c r="I155" i="41"/>
  <c r="I157" i="41" s="1"/>
  <c r="H79" i="38"/>
  <c r="H175" i="38"/>
  <c r="H239" i="38"/>
  <c r="H100" i="38"/>
  <c r="H58" i="38"/>
  <c r="H171" i="38"/>
  <c r="H173" i="38" s="1"/>
  <c r="G176" i="38"/>
  <c r="G177" i="38" s="1"/>
  <c r="G186" i="38" s="1"/>
  <c r="K212" i="38"/>
  <c r="K220" i="38" s="1"/>
  <c r="K156" i="38"/>
  <c r="L140" i="38"/>
  <c r="K142" i="38"/>
  <c r="K150" i="38" s="1"/>
  <c r="K257" i="38"/>
  <c r="K265" i="38" s="1"/>
  <c r="K155" i="38"/>
  <c r="K225" i="38"/>
  <c r="K158" i="38"/>
  <c r="K270" i="38"/>
  <c r="K272" i="38"/>
  <c r="K227" i="38"/>
  <c r="K74" i="41"/>
  <c r="J75" i="41"/>
  <c r="J76" i="41" s="1"/>
  <c r="Q96" i="38"/>
  <c r="R95" i="38"/>
  <c r="H84" i="33"/>
  <c r="P47" i="33" s="1"/>
  <c r="H216" i="38"/>
  <c r="H217" i="38" s="1"/>
  <c r="I211" i="38"/>
  <c r="L140" i="40"/>
  <c r="K273" i="40"/>
  <c r="K159" i="40"/>
  <c r="K229" i="40"/>
  <c r="K142" i="40"/>
  <c r="K150" i="40" s="1"/>
  <c r="K156" i="40"/>
  <c r="K259" i="40"/>
  <c r="K267" i="40" s="1"/>
  <c r="K227" i="40"/>
  <c r="K228" i="40" s="1"/>
  <c r="K213" i="40"/>
  <c r="K221" i="40" s="1"/>
  <c r="K275" i="40"/>
  <c r="K157" i="40"/>
  <c r="H263" i="40"/>
  <c r="H264" i="40" s="1"/>
  <c r="I258" i="40"/>
  <c r="J7" i="38"/>
  <c r="I3" i="38"/>
  <c r="I6" i="38"/>
  <c r="I2" i="38"/>
  <c r="G261" i="41"/>
  <c r="G262" i="41" s="1"/>
  <c r="H256" i="41"/>
  <c r="H259" i="41" s="1"/>
  <c r="H247" i="38"/>
  <c r="H66" i="38"/>
  <c r="K53" i="41"/>
  <c r="J54" i="41"/>
  <c r="J79" i="40"/>
  <c r="J100" i="40"/>
  <c r="J58" i="40"/>
  <c r="J172" i="40"/>
  <c r="J174" i="40" s="1"/>
  <c r="J176" i="40"/>
  <c r="J241" i="40"/>
  <c r="J234" i="38"/>
  <c r="I235" i="38"/>
  <c r="I236" i="38" s="1"/>
  <c r="L237" i="40"/>
  <c r="M236" i="40"/>
  <c r="J53" i="38"/>
  <c r="I54" i="38"/>
  <c r="I55" i="38" s="1"/>
  <c r="M166" i="38"/>
  <c r="L167" i="38"/>
  <c r="K8" i="40"/>
  <c r="L7" i="40"/>
  <c r="K6" i="40"/>
  <c r="K2" i="40"/>
  <c r="B16" i="35"/>
  <c r="B17" i="35" s="1"/>
  <c r="B18" i="35" s="1"/>
  <c r="B19" i="35" s="1"/>
  <c r="B20" i="35" s="1"/>
  <c r="B21" i="35" s="1"/>
  <c r="B22" i="35" s="1"/>
  <c r="B23" i="35" s="1"/>
  <c r="B24" i="35" s="1"/>
  <c r="B25" i="35" s="1"/>
  <c r="B26" i="35" s="1"/>
  <c r="B27" i="35" s="1"/>
  <c r="B28" i="35" s="1"/>
  <c r="N31" i="40"/>
  <c r="O30" i="40"/>
  <c r="G56" i="33"/>
  <c r="I20" i="32" s="1"/>
  <c r="AG17" i="35"/>
  <c r="AH16" i="35"/>
  <c r="J168" i="38"/>
  <c r="K329" i="38"/>
  <c r="K3" i="40"/>
  <c r="L338" i="41"/>
  <c r="K357" i="41"/>
  <c r="K323" i="41"/>
  <c r="K317" i="41"/>
  <c r="K328" i="41"/>
  <c r="L294" i="41"/>
  <c r="N116" i="40"/>
  <c r="M117" i="40"/>
  <c r="G440" i="40"/>
  <c r="G410" i="40" s="1"/>
  <c r="G424" i="40" s="1"/>
  <c r="H330" i="40"/>
  <c r="M116" i="41"/>
  <c r="L117" i="41"/>
  <c r="J397" i="41"/>
  <c r="J394" i="41"/>
  <c r="J366" i="41" s="1"/>
  <c r="J379" i="41" s="1"/>
  <c r="J374" i="41"/>
  <c r="J375" i="41"/>
  <c r="J385" i="41"/>
  <c r="L290" i="38"/>
  <c r="L334" i="38" s="1"/>
  <c r="L289" i="38"/>
  <c r="L287" i="38"/>
  <c r="L331" i="38" s="1"/>
  <c r="M284" i="38"/>
  <c r="L286" i="38"/>
  <c r="L330" i="38" s="1"/>
  <c r="L285" i="38"/>
  <c r="L288" i="38"/>
  <c r="L332" i="38" s="1"/>
  <c r="H176" i="41"/>
  <c r="H177" i="41" s="1"/>
  <c r="P25" i="43"/>
  <c r="G433" i="41"/>
  <c r="G405" i="41" s="1"/>
  <c r="G418" i="41" s="1"/>
  <c r="F418" i="38"/>
  <c r="F433" i="38"/>
  <c r="G433" i="38"/>
  <c r="G405" i="38" s="1"/>
  <c r="G418" i="38" s="1"/>
  <c r="Z36" i="31"/>
  <c r="Z44" i="31" s="1"/>
  <c r="R57" i="48"/>
  <c r="F288" i="40"/>
  <c r="O31" i="41"/>
  <c r="P30" i="41"/>
  <c r="F325" i="41"/>
  <c r="F326" i="41" s="1"/>
  <c r="F365" i="41" s="1"/>
  <c r="Q19" i="43"/>
  <c r="Q17" i="43"/>
  <c r="Q11" i="43"/>
  <c r="Q21" i="43"/>
  <c r="Q6" i="43"/>
  <c r="Q8" i="43"/>
  <c r="Q9" i="43"/>
  <c r="Q20" i="43"/>
  <c r="Q10" i="43"/>
  <c r="Q22" i="43"/>
  <c r="Q16" i="43"/>
  <c r="Q12" i="43"/>
  <c r="Q18" i="43"/>
  <c r="Q7" i="43"/>
  <c r="Q13" i="43"/>
  <c r="Q14" i="43"/>
  <c r="Q15" i="43"/>
  <c r="I239" i="41"/>
  <c r="I58" i="41"/>
  <c r="I79" i="41"/>
  <c r="I171" i="41"/>
  <c r="I173" i="41" s="1"/>
  <c r="I175" i="41"/>
  <c r="I97" i="40"/>
  <c r="H108" i="40"/>
  <c r="H38" i="31"/>
  <c r="AB14" i="31"/>
  <c r="G14" i="31"/>
  <c r="H100" i="39"/>
  <c r="H20" i="48"/>
  <c r="J330" i="40"/>
  <c r="R74" i="40"/>
  <c r="Q75" i="40"/>
  <c r="J29" i="32"/>
  <c r="J7" i="32"/>
  <c r="H15" i="31"/>
  <c r="M38" i="33"/>
  <c r="S30" i="32"/>
  <c r="R99" i="48" s="1"/>
  <c r="I40" i="32"/>
  <c r="AJ52" i="32"/>
  <c r="R78" i="48"/>
  <c r="I169" i="40"/>
  <c r="H178" i="40"/>
  <c r="H325" i="41"/>
  <c r="H326" i="41" s="1"/>
  <c r="H365" i="41" s="1"/>
  <c r="K359" i="41"/>
  <c r="J371" i="41"/>
  <c r="R58" i="48"/>
  <c r="F289" i="40"/>
  <c r="K399" i="41"/>
  <c r="J411" i="41"/>
  <c r="F325" i="38"/>
  <c r="F326" i="38" s="1"/>
  <c r="F365" i="38" s="1"/>
  <c r="AQ11" i="35"/>
  <c r="AO11" i="35" s="1"/>
  <c r="AI12" i="35"/>
  <c r="AQ12" i="35" s="1"/>
  <c r="AR31" i="43"/>
  <c r="AX31" i="43"/>
  <c r="AP31" i="43"/>
  <c r="AT31" i="43"/>
  <c r="AV31" i="43"/>
  <c r="I23" i="45"/>
  <c r="I25" i="45"/>
  <c r="H397" i="38"/>
  <c r="H374" i="38"/>
  <c r="H375" i="38"/>
  <c r="H391" i="38"/>
  <c r="H431" i="38" s="1"/>
  <c r="H385" i="38"/>
  <c r="H394" i="38"/>
  <c r="H366" i="38" s="1"/>
  <c r="H379" i="38" s="1"/>
  <c r="L364" i="40"/>
  <c r="K376" i="40"/>
  <c r="K7" i="41"/>
  <c r="J6" i="41"/>
  <c r="J2" i="41"/>
  <c r="J3" i="41"/>
  <c r="J120" i="41"/>
  <c r="H261" i="38"/>
  <c r="H262" i="38" s="1"/>
  <c r="I256" i="38"/>
  <c r="H325" i="38"/>
  <c r="H249" i="40"/>
  <c r="I238" i="40"/>
  <c r="I16" i="31"/>
  <c r="Q40" i="33"/>
  <c r="Q41" i="33" s="1"/>
  <c r="J16" i="31"/>
  <c r="H5" i="47"/>
  <c r="I3" i="47"/>
  <c r="H6" i="47"/>
  <c r="H4" i="47"/>
  <c r="G187" i="40"/>
  <c r="F418" i="41"/>
  <c r="F433" i="41"/>
  <c r="G179" i="33"/>
  <c r="G204" i="33" s="1"/>
  <c r="G55" i="48"/>
  <c r="G182" i="33"/>
  <c r="G203" i="33" s="1"/>
  <c r="O49" i="33"/>
  <c r="M49" i="33" s="1"/>
  <c r="R16" i="35"/>
  <c r="S15" i="35"/>
  <c r="P23" i="43"/>
  <c r="P26" i="43"/>
  <c r="G414" i="38"/>
  <c r="G425" i="38"/>
  <c r="G434" i="38"/>
  <c r="G406" i="38" s="1"/>
  <c r="G419" i="38" s="1"/>
  <c r="G415" i="38"/>
  <c r="H87" i="40"/>
  <c r="I76" i="40"/>
  <c r="S95" i="40"/>
  <c r="R96" i="40"/>
  <c r="Z11" i="35"/>
  <c r="AD11" i="35" s="1"/>
  <c r="AE11" i="35" s="1"/>
  <c r="AF11" i="35" s="1"/>
  <c r="I55" i="40"/>
  <c r="H66" i="40"/>
  <c r="I39" i="31"/>
  <c r="AN39" i="31" s="1"/>
  <c r="AN44" i="31" s="1"/>
  <c r="H130" i="39"/>
  <c r="AN15" i="31"/>
  <c r="H66" i="41"/>
  <c r="I55" i="41"/>
  <c r="P24" i="43"/>
  <c r="H1" i="42"/>
  <c r="I2" i="42"/>
  <c r="H47" i="42"/>
  <c r="H108" i="41"/>
  <c r="I97" i="41"/>
  <c r="I168" i="41"/>
  <c r="G27" i="48"/>
  <c r="O168" i="40"/>
  <c r="P167" i="40"/>
  <c r="F424" i="40"/>
  <c r="AY15" i="31"/>
  <c r="J39" i="31"/>
  <c r="AY39" i="31" s="1"/>
  <c r="AY44" i="31" s="1"/>
  <c r="H159" i="39"/>
  <c r="G325" i="38"/>
  <c r="G326" i="38" s="1"/>
  <c r="G365" i="38" s="1"/>
  <c r="O54" i="40"/>
  <c r="F406" i="38"/>
  <c r="F419" i="38" s="1"/>
  <c r="AM26" i="31"/>
  <c r="AM78" i="31"/>
  <c r="AM73" i="31"/>
  <c r="AM66" i="31"/>
  <c r="AM48" i="31"/>
  <c r="AM33" i="31"/>
  <c r="K31" i="41"/>
  <c r="G325" i="41"/>
  <c r="G326" i="41" s="1"/>
  <c r="G365" i="41" s="1"/>
  <c r="S1" i="43"/>
  <c r="R4" i="43"/>
  <c r="R2" i="43"/>
  <c r="I357" i="38"/>
  <c r="J338" i="38"/>
  <c r="J273" i="38"/>
  <c r="AN4" i="31"/>
  <c r="AN22" i="31" s="1"/>
  <c r="AO3" i="31"/>
  <c r="F330" i="40"/>
  <c r="F331" i="40" s="1"/>
  <c r="H82" i="33"/>
  <c r="E20" i="35"/>
  <c r="AJ51" i="32"/>
  <c r="R77" i="48"/>
  <c r="S29" i="32"/>
  <c r="I39" i="32"/>
  <c r="L96" i="41"/>
  <c r="M95" i="41"/>
  <c r="G26" i="28" l="1"/>
  <c r="G310" i="40"/>
  <c r="G412" i="40"/>
  <c r="G426" i="40" s="1"/>
  <c r="G441" i="40" s="1"/>
  <c r="M32" i="38"/>
  <c r="I271" i="38"/>
  <c r="I177" i="40"/>
  <c r="K310" i="40"/>
  <c r="K412" i="40"/>
  <c r="K426" i="40" s="1"/>
  <c r="K441" i="40" s="1"/>
  <c r="L272" i="40"/>
  <c r="L328" i="40"/>
  <c r="J331" i="40"/>
  <c r="J370" i="40" s="1"/>
  <c r="H331" i="40"/>
  <c r="H370" i="40" s="1"/>
  <c r="F370" i="40"/>
  <c r="F383" i="40" s="1"/>
  <c r="G331" i="40"/>
  <c r="G370" i="40" s="1"/>
  <c r="K230" i="40"/>
  <c r="AO12" i="35"/>
  <c r="AR12" i="35" s="1"/>
  <c r="H29" i="31"/>
  <c r="H31" i="31" s="1"/>
  <c r="G23" i="45"/>
  <c r="G25" i="45" s="1"/>
  <c r="I87" i="41"/>
  <c r="H433" i="41"/>
  <c r="H405" i="41" s="1"/>
  <c r="H418" i="41" s="1"/>
  <c r="I236" i="41"/>
  <c r="H217" i="40"/>
  <c r="H218" i="40" s="1"/>
  <c r="I211" i="41"/>
  <c r="J325" i="38"/>
  <c r="I325" i="38"/>
  <c r="I273" i="38"/>
  <c r="H87" i="38"/>
  <c r="I76" i="38"/>
  <c r="I330" i="40"/>
  <c r="H108" i="38"/>
  <c r="I97" i="38"/>
  <c r="J228" i="38"/>
  <c r="I228" i="38"/>
  <c r="I324" i="38"/>
  <c r="H326" i="38"/>
  <c r="H365" i="38" s="1"/>
  <c r="H378" i="38" s="1"/>
  <c r="H433" i="38"/>
  <c r="H405" i="38" s="1"/>
  <c r="H418" i="38" s="1"/>
  <c r="J324" i="38"/>
  <c r="L371" i="38"/>
  <c r="M359" i="38"/>
  <c r="F23" i="48"/>
  <c r="E23" i="48" s="1"/>
  <c r="AR39" i="43"/>
  <c r="O333" i="40"/>
  <c r="P297" i="40"/>
  <c r="O327" i="40"/>
  <c r="O321" i="40"/>
  <c r="AP39" i="43"/>
  <c r="H26" i="48"/>
  <c r="H27" i="48" s="1"/>
  <c r="H56" i="33"/>
  <c r="AI1" i="43"/>
  <c r="AH4" i="43"/>
  <c r="AX4" i="43" s="1"/>
  <c r="AZ73" i="31"/>
  <c r="AZ26" i="31"/>
  <c r="AZ66" i="31"/>
  <c r="AZ78" i="31"/>
  <c r="AZ48" i="31"/>
  <c r="AZ33" i="31"/>
  <c r="AV39" i="43"/>
  <c r="F25" i="48"/>
  <c r="E25" i="48" s="1"/>
  <c r="AT39" i="43"/>
  <c r="F24" i="48"/>
  <c r="E24" i="48" s="1"/>
  <c r="O411" i="38"/>
  <c r="P399" i="38"/>
  <c r="BB3" i="31"/>
  <c r="BA4" i="31"/>
  <c r="BA22" i="31" s="1"/>
  <c r="F26" i="48"/>
  <c r="AY36" i="43"/>
  <c r="AY39" i="43" s="1"/>
  <c r="AX39" i="43"/>
  <c r="P404" i="40"/>
  <c r="O417" i="40"/>
  <c r="L288" i="41"/>
  <c r="L332" i="41" s="1"/>
  <c r="L287" i="41"/>
  <c r="L331" i="41" s="1"/>
  <c r="L286" i="41"/>
  <c r="L330" i="41" s="1"/>
  <c r="L291" i="41"/>
  <c r="L335" i="41" s="1"/>
  <c r="L290" i="41"/>
  <c r="L334" i="41" s="1"/>
  <c r="M284" i="41"/>
  <c r="L289" i="41"/>
  <c r="L285" i="41"/>
  <c r="L120" i="38"/>
  <c r="K329" i="41"/>
  <c r="J328" i="38"/>
  <c r="K294" i="38"/>
  <c r="J317" i="38"/>
  <c r="J323" i="38"/>
  <c r="L334" i="40"/>
  <c r="L341" i="40" s="1"/>
  <c r="L295" i="40"/>
  <c r="I228" i="41"/>
  <c r="M117" i="38"/>
  <c r="N116" i="38"/>
  <c r="H176" i="38"/>
  <c r="H177" i="38" s="1"/>
  <c r="H186" i="38" s="1"/>
  <c r="O166" i="41"/>
  <c r="N167" i="41"/>
  <c r="N287" i="40"/>
  <c r="M294" i="40"/>
  <c r="M340" i="40" s="1"/>
  <c r="M288" i="40"/>
  <c r="M289" i="40"/>
  <c r="M335" i="40" s="1"/>
  <c r="M292" i="40"/>
  <c r="M293" i="40"/>
  <c r="M339" i="40" s="1"/>
  <c r="M290" i="40"/>
  <c r="M336" i="40" s="1"/>
  <c r="M291" i="40"/>
  <c r="M337" i="40" s="1"/>
  <c r="S234" i="41"/>
  <c r="R235" i="41"/>
  <c r="M75" i="38"/>
  <c r="N74" i="38"/>
  <c r="N31" i="38"/>
  <c r="N32" i="38" s="1"/>
  <c r="O30" i="38"/>
  <c r="I411" i="40"/>
  <c r="I425" i="40" s="1"/>
  <c r="I432" i="40"/>
  <c r="J399" i="40"/>
  <c r="J371" i="40" s="1"/>
  <c r="J384" i="40" s="1"/>
  <c r="J402" i="40"/>
  <c r="J442" i="40" s="1"/>
  <c r="J390" i="40"/>
  <c r="L343" i="40"/>
  <c r="K362" i="40"/>
  <c r="C16" i="35"/>
  <c r="C17" i="35" s="1"/>
  <c r="C18" i="35" s="1"/>
  <c r="C19" i="35" s="1"/>
  <c r="C20" i="35" s="1"/>
  <c r="C21" i="35" s="1"/>
  <c r="C22" i="35" s="1"/>
  <c r="C23" i="35" s="1"/>
  <c r="C24" i="35" s="1"/>
  <c r="C25" i="35" s="1"/>
  <c r="C26" i="35" s="1"/>
  <c r="C27" i="35" s="1"/>
  <c r="C28" i="35" s="1"/>
  <c r="I58" i="38"/>
  <c r="I239" i="38"/>
  <c r="I175" i="38"/>
  <c r="I100" i="38"/>
  <c r="I171" i="38"/>
  <c r="I173" i="38" s="1"/>
  <c r="I79" i="38"/>
  <c r="L159" i="40"/>
  <c r="L156" i="40"/>
  <c r="L158" i="40" s="1"/>
  <c r="L273" i="40"/>
  <c r="L229" i="40"/>
  <c r="L275" i="40"/>
  <c r="L227" i="40"/>
  <c r="L259" i="40"/>
  <c r="L267" i="40" s="1"/>
  <c r="L213" i="40"/>
  <c r="L221" i="40" s="1"/>
  <c r="L157" i="40"/>
  <c r="M140" i="40"/>
  <c r="L142" i="40"/>
  <c r="L150" i="40" s="1"/>
  <c r="K157" i="38"/>
  <c r="K159" i="38" s="1"/>
  <c r="J87" i="41"/>
  <c r="I271" i="41"/>
  <c r="I324" i="41"/>
  <c r="K75" i="41"/>
  <c r="K76" i="41" s="1"/>
  <c r="L74" i="41"/>
  <c r="J177" i="40"/>
  <c r="K7" i="38"/>
  <c r="J3" i="38"/>
  <c r="J2" i="38"/>
  <c r="J6" i="38"/>
  <c r="K158" i="40"/>
  <c r="K160" i="40" s="1"/>
  <c r="L158" i="38"/>
  <c r="L156" i="38"/>
  <c r="L155" i="38"/>
  <c r="L212" i="38"/>
  <c r="L220" i="38" s="1"/>
  <c r="M140" i="38"/>
  <c r="L142" i="38"/>
  <c r="L150" i="38" s="1"/>
  <c r="L257" i="38"/>
  <c r="L265" i="38" s="1"/>
  <c r="L272" i="38"/>
  <c r="L270" i="38"/>
  <c r="L225" i="38"/>
  <c r="L226" i="38" s="1"/>
  <c r="L227" i="38"/>
  <c r="K140" i="41"/>
  <c r="J270" i="41"/>
  <c r="J155" i="41"/>
  <c r="J158" i="41"/>
  <c r="J272" i="41"/>
  <c r="J225" i="41"/>
  <c r="J226" i="41" s="1"/>
  <c r="J227" i="41"/>
  <c r="K271" i="38"/>
  <c r="K273" i="38" s="1"/>
  <c r="K324" i="38"/>
  <c r="H261" i="41"/>
  <c r="H262" i="41" s="1"/>
  <c r="I256" i="41"/>
  <c r="K329" i="40"/>
  <c r="K274" i="40"/>
  <c r="K276" i="40" s="1"/>
  <c r="S95" i="38"/>
  <c r="R96" i="38"/>
  <c r="K226" i="38"/>
  <c r="I66" i="38"/>
  <c r="I247" i="38"/>
  <c r="O116" i="40"/>
  <c r="N117" i="40"/>
  <c r="M338" i="41"/>
  <c r="L357" i="41"/>
  <c r="L8" i="40"/>
  <c r="L3" i="40"/>
  <c r="L6" i="40"/>
  <c r="M7" i="40"/>
  <c r="L2" i="40"/>
  <c r="L323" i="41"/>
  <c r="L328" i="41"/>
  <c r="L317" i="41"/>
  <c r="M294" i="41"/>
  <c r="L329" i="38"/>
  <c r="AG18" i="35"/>
  <c r="AH17" i="35"/>
  <c r="N166" i="38"/>
  <c r="M167" i="38"/>
  <c r="M288" i="38"/>
  <c r="M332" i="38" s="1"/>
  <c r="M287" i="38"/>
  <c r="M331" i="38" s="1"/>
  <c r="M286" i="38"/>
  <c r="M330" i="38" s="1"/>
  <c r="M285" i="38"/>
  <c r="M290" i="38"/>
  <c r="M334" i="38" s="1"/>
  <c r="M289" i="38"/>
  <c r="N284" i="38"/>
  <c r="K168" i="38"/>
  <c r="P30" i="40"/>
  <c r="O31" i="40"/>
  <c r="B29" i="35"/>
  <c r="N236" i="40"/>
  <c r="M237" i="40"/>
  <c r="O46" i="33"/>
  <c r="J434" i="41"/>
  <c r="J406" i="41" s="1"/>
  <c r="J419" i="41" s="1"/>
  <c r="J415" i="41"/>
  <c r="J414" i="41"/>
  <c r="J425" i="41"/>
  <c r="K53" i="38"/>
  <c r="K172" i="40"/>
  <c r="K174" i="40" s="1"/>
  <c r="K58" i="40"/>
  <c r="K100" i="40"/>
  <c r="K241" i="40"/>
  <c r="K176" i="40"/>
  <c r="K79" i="40"/>
  <c r="L53" i="41"/>
  <c r="K54" i="41"/>
  <c r="N116" i="41"/>
  <c r="M117" i="41"/>
  <c r="K397" i="41"/>
  <c r="K375" i="41"/>
  <c r="K374" i="41"/>
  <c r="J235" i="38"/>
  <c r="J236" i="38" s="1"/>
  <c r="K234" i="38"/>
  <c r="I176" i="41"/>
  <c r="I177" i="41" s="1"/>
  <c r="F398" i="40"/>
  <c r="G378" i="41"/>
  <c r="G393" i="41"/>
  <c r="G378" i="38"/>
  <c r="G393" i="38"/>
  <c r="J171" i="41"/>
  <c r="J173" i="41" s="1"/>
  <c r="J175" i="41"/>
  <c r="J79" i="41"/>
  <c r="J58" i="41"/>
  <c r="J100" i="41"/>
  <c r="J239" i="41"/>
  <c r="L359" i="41"/>
  <c r="K371" i="41"/>
  <c r="Y55" i="32"/>
  <c r="G126" i="39"/>
  <c r="S22" i="32"/>
  <c r="R71" i="48"/>
  <c r="G289" i="40"/>
  <c r="G335" i="40" s="1"/>
  <c r="H289" i="40"/>
  <c r="H335" i="40" s="1"/>
  <c r="H39" i="31"/>
  <c r="AC15" i="31"/>
  <c r="H101" i="39"/>
  <c r="G15" i="31"/>
  <c r="AB38" i="31"/>
  <c r="AB44" i="31" s="1"/>
  <c r="G38" i="31"/>
  <c r="J357" i="38"/>
  <c r="K338" i="38"/>
  <c r="J31" i="41"/>
  <c r="I31" i="41"/>
  <c r="I108" i="41"/>
  <c r="J97" i="41"/>
  <c r="J55" i="41"/>
  <c r="I66" i="41"/>
  <c r="T95" i="40"/>
  <c r="S96" i="40"/>
  <c r="H131" i="39"/>
  <c r="I40" i="31"/>
  <c r="AO40" i="31" s="1"/>
  <c r="AO44" i="31" s="1"/>
  <c r="AO16" i="31"/>
  <c r="I249" i="40"/>
  <c r="J238" i="40"/>
  <c r="Z12" i="35"/>
  <c r="F128" i="28"/>
  <c r="I397" i="38"/>
  <c r="I391" i="38"/>
  <c r="I394" i="38"/>
  <c r="I374" i="38"/>
  <c r="I375" i="38"/>
  <c r="I385" i="38"/>
  <c r="R17" i="35"/>
  <c r="S16" i="35"/>
  <c r="F405" i="41"/>
  <c r="M39" i="33"/>
  <c r="H16" i="31"/>
  <c r="K6" i="41"/>
  <c r="K3" i="41"/>
  <c r="K2" i="41"/>
  <c r="L7" i="41"/>
  <c r="J31" i="31"/>
  <c r="G29" i="31"/>
  <c r="R75" i="40"/>
  <c r="S74" i="40"/>
  <c r="Q24" i="43"/>
  <c r="H85" i="33"/>
  <c r="H86" i="33"/>
  <c r="H186" i="41"/>
  <c r="AO4" i="31"/>
  <c r="AO22" i="31" s="1"/>
  <c r="AP3" i="31"/>
  <c r="M96" i="41"/>
  <c r="N95" i="41"/>
  <c r="AN33" i="31"/>
  <c r="AN73" i="31"/>
  <c r="AN66" i="31"/>
  <c r="AN48" i="31"/>
  <c r="AN78" i="31"/>
  <c r="AN26" i="31"/>
  <c r="R7" i="43"/>
  <c r="R18" i="43"/>
  <c r="R21" i="43"/>
  <c r="R10" i="43"/>
  <c r="R14" i="43"/>
  <c r="R15" i="43"/>
  <c r="R8" i="43"/>
  <c r="R20" i="43"/>
  <c r="R16" i="43"/>
  <c r="R6" i="43"/>
  <c r="R22" i="43"/>
  <c r="R13" i="43"/>
  <c r="R17" i="43"/>
  <c r="R11" i="43"/>
  <c r="R12" i="43"/>
  <c r="R19" i="43"/>
  <c r="R9" i="43"/>
  <c r="Q53" i="40"/>
  <c r="P54" i="40"/>
  <c r="F410" i="40"/>
  <c r="H378" i="41"/>
  <c r="H393" i="41"/>
  <c r="G18" i="48"/>
  <c r="E18" i="48" s="1"/>
  <c r="AV34" i="43"/>
  <c r="AI13" i="35"/>
  <c r="AQ13" i="35" s="1"/>
  <c r="K411" i="41"/>
  <c r="L399" i="41"/>
  <c r="J97" i="40"/>
  <c r="I108" i="40"/>
  <c r="Q26" i="43"/>
  <c r="Q23" i="43"/>
  <c r="F405" i="38"/>
  <c r="J168" i="41"/>
  <c r="J55" i="40"/>
  <c r="I66" i="40"/>
  <c r="I4" i="47"/>
  <c r="I5" i="47"/>
  <c r="J3" i="47"/>
  <c r="I6" i="47"/>
  <c r="G17" i="48"/>
  <c r="E17" i="48" s="1"/>
  <c r="AT34" i="43"/>
  <c r="AS11" i="35"/>
  <c r="AT11" i="35" s="1"/>
  <c r="AU11" i="35" s="1"/>
  <c r="F335" i="40"/>
  <c r="S2" i="43"/>
  <c r="S4" i="43"/>
  <c r="T1" i="43"/>
  <c r="F378" i="41"/>
  <c r="F393" i="41"/>
  <c r="AC11" i="35"/>
  <c r="AC12" i="35" s="1"/>
  <c r="AC13" i="35" s="1"/>
  <c r="AC14" i="35" s="1"/>
  <c r="AC15" i="35" s="1"/>
  <c r="AC16" i="35" s="1"/>
  <c r="AC17" i="35" s="1"/>
  <c r="AC18" i="35" s="1"/>
  <c r="AC19" i="35" s="1"/>
  <c r="AC20" i="35" s="1"/>
  <c r="AC21" i="35" s="1"/>
  <c r="AC22" i="35" s="1"/>
  <c r="AC23" i="35" s="1"/>
  <c r="AC24" i="35" s="1"/>
  <c r="AC25" i="35" s="1"/>
  <c r="AC26" i="35" s="1"/>
  <c r="AC27" i="35" s="1"/>
  <c r="AC28" i="35" s="1"/>
  <c r="AC29" i="35" s="1"/>
  <c r="AC30" i="35" s="1"/>
  <c r="AC31" i="35" s="1"/>
  <c r="AC32" i="35" s="1"/>
  <c r="AC33" i="35" s="1"/>
  <c r="AC34" i="35" s="1"/>
  <c r="AC35" i="35" s="1"/>
  <c r="AC36" i="35" s="1"/>
  <c r="AC37" i="35" s="1"/>
  <c r="AC38" i="35" s="1"/>
  <c r="AC39" i="35" s="1"/>
  <c r="AC40" i="35" s="1"/>
  <c r="AC41" i="35" s="1"/>
  <c r="AC42" i="35" s="1"/>
  <c r="AC43" i="35" s="1"/>
  <c r="AC44" i="35" s="1"/>
  <c r="AC45" i="35" s="1"/>
  <c r="J76" i="40"/>
  <c r="I87" i="40"/>
  <c r="K120" i="41"/>
  <c r="L376" i="40"/>
  <c r="M364" i="40"/>
  <c r="AP34" i="43"/>
  <c r="H187" i="40"/>
  <c r="Q25" i="43"/>
  <c r="G288" i="40"/>
  <c r="H288" i="40"/>
  <c r="Q167" i="40"/>
  <c r="P168" i="40"/>
  <c r="G206" i="33"/>
  <c r="E203" i="33"/>
  <c r="AY31" i="43"/>
  <c r="AY34" i="43" s="1"/>
  <c r="E19" i="48"/>
  <c r="AX34" i="43"/>
  <c r="F285" i="41"/>
  <c r="T57" i="48"/>
  <c r="H71" i="39"/>
  <c r="P14" i="31"/>
  <c r="O29" i="33"/>
  <c r="J117" i="40"/>
  <c r="I117" i="40"/>
  <c r="E204" i="33"/>
  <c r="E21" i="35"/>
  <c r="R98" i="48"/>
  <c r="I47" i="42"/>
  <c r="I1" i="42"/>
  <c r="J2" i="42"/>
  <c r="G57" i="48"/>
  <c r="E55" i="48"/>
  <c r="E57" i="48" s="1"/>
  <c r="H160" i="39"/>
  <c r="J40" i="31"/>
  <c r="AZ40" i="31" s="1"/>
  <c r="AZ44" i="31" s="1"/>
  <c r="AZ16" i="31"/>
  <c r="H425" i="38"/>
  <c r="H434" i="38"/>
  <c r="H414" i="38"/>
  <c r="H415" i="38"/>
  <c r="G16" i="48"/>
  <c r="E16" i="48" s="1"/>
  <c r="AR34" i="43"/>
  <c r="F393" i="38"/>
  <c r="F378" i="38"/>
  <c r="J169" i="40"/>
  <c r="I178" i="40"/>
  <c r="T29" i="32"/>
  <c r="AK51" i="32"/>
  <c r="T77" i="48"/>
  <c r="J39" i="32"/>
  <c r="Q30" i="41"/>
  <c r="P31" i="41"/>
  <c r="F334" i="40"/>
  <c r="L310" i="40" l="1"/>
  <c r="L412" i="40"/>
  <c r="L426" i="40" s="1"/>
  <c r="L441" i="40" s="1"/>
  <c r="M272" i="40"/>
  <c r="M328" i="40"/>
  <c r="G398" i="40"/>
  <c r="G383" i="40"/>
  <c r="H398" i="40"/>
  <c r="H383" i="40"/>
  <c r="J398" i="40"/>
  <c r="J383" i="40"/>
  <c r="I331" i="40"/>
  <c r="I370" i="40" s="1"/>
  <c r="I398" i="40" s="1"/>
  <c r="L160" i="40"/>
  <c r="AD12" i="35"/>
  <c r="AE12" i="35" s="1"/>
  <c r="AF12" i="35" s="1"/>
  <c r="J23" i="45"/>
  <c r="H30" i="32"/>
  <c r="H8" i="32"/>
  <c r="M29" i="33"/>
  <c r="O41" i="33"/>
  <c r="I285" i="41"/>
  <c r="I329" i="41" s="1"/>
  <c r="H393" i="38"/>
  <c r="E26" i="48"/>
  <c r="J326" i="38"/>
  <c r="J365" i="38" s="1"/>
  <c r="J378" i="38" s="1"/>
  <c r="M120" i="38"/>
  <c r="I326" i="38"/>
  <c r="I365" i="38" s="1"/>
  <c r="I393" i="38" s="1"/>
  <c r="I247" i="41"/>
  <c r="J236" i="41"/>
  <c r="I108" i="38"/>
  <c r="J97" i="38"/>
  <c r="I87" i="38"/>
  <c r="J76" i="38"/>
  <c r="Q399" i="38"/>
  <c r="P411" i="38"/>
  <c r="P419" i="38"/>
  <c r="J20" i="32"/>
  <c r="P46" i="33"/>
  <c r="P425" i="40"/>
  <c r="Q404" i="40"/>
  <c r="P417" i="40"/>
  <c r="BA33" i="31"/>
  <c r="BA66" i="31"/>
  <c r="BA73" i="31"/>
  <c r="BA26" i="31"/>
  <c r="BA78" i="31"/>
  <c r="BA48" i="31"/>
  <c r="I8" i="41"/>
  <c r="I9" i="41" s="1"/>
  <c r="F22" i="48"/>
  <c r="P327" i="40"/>
  <c r="P321" i="40"/>
  <c r="Q297" i="40"/>
  <c r="P333" i="40"/>
  <c r="N359" i="38"/>
  <c r="M371" i="38"/>
  <c r="BC3" i="31"/>
  <c r="BC4" i="31" s="1"/>
  <c r="BC22" i="31" s="1"/>
  <c r="BB4" i="31"/>
  <c r="BB22" i="31" s="1"/>
  <c r="M289" i="41"/>
  <c r="M290" i="41"/>
  <c r="M334" i="41" s="1"/>
  <c r="M288" i="41"/>
  <c r="M332" i="41" s="1"/>
  <c r="M285" i="41"/>
  <c r="M286" i="41"/>
  <c r="M330" i="41" s="1"/>
  <c r="M287" i="41"/>
  <c r="M331" i="41" s="1"/>
  <c r="M291" i="41"/>
  <c r="M335" i="41" s="1"/>
  <c r="N284" i="41"/>
  <c r="L292" i="41"/>
  <c r="L329" i="41"/>
  <c r="L336" i="41" s="1"/>
  <c r="K323" i="38"/>
  <c r="K328" i="38"/>
  <c r="K317" i="38"/>
  <c r="L294" i="38"/>
  <c r="O167" i="41"/>
  <c r="P166" i="41"/>
  <c r="O74" i="38"/>
  <c r="N75" i="38"/>
  <c r="N117" i="38"/>
  <c r="O116" i="38"/>
  <c r="M295" i="40"/>
  <c r="M334" i="40"/>
  <c r="M341" i="40" s="1"/>
  <c r="S235" i="41"/>
  <c r="T234" i="41"/>
  <c r="N294" i="40"/>
  <c r="N340" i="40" s="1"/>
  <c r="N291" i="40"/>
  <c r="N337" i="40" s="1"/>
  <c r="N290" i="40"/>
  <c r="N336" i="40" s="1"/>
  <c r="N293" i="40"/>
  <c r="N339" i="40" s="1"/>
  <c r="N292" i="40"/>
  <c r="N289" i="40"/>
  <c r="N335" i="40" s="1"/>
  <c r="N288" i="40"/>
  <c r="O287" i="40"/>
  <c r="K325" i="38"/>
  <c r="K326" i="38" s="1"/>
  <c r="K365" i="38" s="1"/>
  <c r="K177" i="40"/>
  <c r="K399" i="40"/>
  <c r="K371" i="40" s="1"/>
  <c r="K384" i="40" s="1"/>
  <c r="K402" i="40"/>
  <c r="K442" i="40" s="1"/>
  <c r="K380" i="40"/>
  <c r="K379" i="40"/>
  <c r="K330" i="40"/>
  <c r="K331" i="40" s="1"/>
  <c r="M343" i="40"/>
  <c r="L362" i="40"/>
  <c r="O31" i="38"/>
  <c r="O32" i="38" s="1"/>
  <c r="P30" i="38"/>
  <c r="J432" i="40"/>
  <c r="J411" i="40"/>
  <c r="J425" i="40" s="1"/>
  <c r="K87" i="41"/>
  <c r="J228" i="41"/>
  <c r="M156" i="38"/>
  <c r="M155" i="38"/>
  <c r="M157" i="38" s="1"/>
  <c r="M270" i="38"/>
  <c r="M142" i="38"/>
  <c r="M150" i="38" s="1"/>
  <c r="M272" i="38"/>
  <c r="M158" i="38"/>
  <c r="M257" i="38"/>
  <c r="M265" i="38" s="1"/>
  <c r="N140" i="38"/>
  <c r="M212" i="38"/>
  <c r="M220" i="38" s="1"/>
  <c r="M227" i="38"/>
  <c r="M225" i="38"/>
  <c r="J239" i="38"/>
  <c r="J100" i="38"/>
  <c r="J171" i="38"/>
  <c r="J173" i="38" s="1"/>
  <c r="J58" i="38"/>
  <c r="J175" i="38"/>
  <c r="J79" i="38"/>
  <c r="K440" i="40"/>
  <c r="K410" i="40" s="1"/>
  <c r="K424" i="40" s="1"/>
  <c r="L157" i="38"/>
  <c r="L159" i="38" s="1"/>
  <c r="K3" i="38"/>
  <c r="L7" i="38"/>
  <c r="K6" i="38"/>
  <c r="K2" i="38"/>
  <c r="I273" i="41"/>
  <c r="I325" i="41"/>
  <c r="I326" i="41" s="1"/>
  <c r="I365" i="41" s="1"/>
  <c r="K228" i="38"/>
  <c r="K433" i="38" s="1"/>
  <c r="K405" i="38" s="1"/>
  <c r="K418" i="38" s="1"/>
  <c r="J157" i="41"/>
  <c r="L228" i="38"/>
  <c r="L228" i="40"/>
  <c r="L230" i="40" s="1"/>
  <c r="N140" i="40"/>
  <c r="M259" i="40"/>
  <c r="M267" i="40" s="1"/>
  <c r="M213" i="40"/>
  <c r="M221" i="40" s="1"/>
  <c r="M142" i="40"/>
  <c r="M150" i="40" s="1"/>
  <c r="M157" i="40"/>
  <c r="J324" i="41"/>
  <c r="J271" i="41"/>
  <c r="L271" i="38"/>
  <c r="L273" i="38" s="1"/>
  <c r="L324" i="38"/>
  <c r="L75" i="41"/>
  <c r="L76" i="41" s="1"/>
  <c r="M74" i="41"/>
  <c r="I176" i="38"/>
  <c r="I177" i="38" s="1"/>
  <c r="I186" i="38" s="1"/>
  <c r="L140" i="41"/>
  <c r="K257" i="41"/>
  <c r="K265" i="41" s="1"/>
  <c r="K212" i="41"/>
  <c r="K220" i="41" s="1"/>
  <c r="K156" i="41"/>
  <c r="K142" i="41"/>
  <c r="K150" i="41" s="1"/>
  <c r="S96" i="38"/>
  <c r="T95" i="38"/>
  <c r="L274" i="40"/>
  <c r="L276" i="40" s="1"/>
  <c r="L329" i="40"/>
  <c r="J247" i="38"/>
  <c r="M3" i="40"/>
  <c r="M6" i="40"/>
  <c r="N7" i="40"/>
  <c r="M8" i="40"/>
  <c r="M2" i="40"/>
  <c r="L168" i="38"/>
  <c r="AG19" i="35"/>
  <c r="AH18" i="35"/>
  <c r="N288" i="38"/>
  <c r="N332" i="38" s="1"/>
  <c r="N289" i="38"/>
  <c r="N287" i="38"/>
  <c r="N331" i="38" s="1"/>
  <c r="N290" i="38"/>
  <c r="N334" i="38" s="1"/>
  <c r="N286" i="38"/>
  <c r="N330" i="38" s="1"/>
  <c r="N285" i="38"/>
  <c r="O284" i="38"/>
  <c r="E206" i="33"/>
  <c r="K414" i="41"/>
  <c r="K415" i="41"/>
  <c r="M317" i="41"/>
  <c r="M328" i="41"/>
  <c r="M323" i="41"/>
  <c r="N294" i="41"/>
  <c r="O236" i="40"/>
  <c r="N237" i="40"/>
  <c r="M329" i="38"/>
  <c r="C29" i="35"/>
  <c r="B30" i="35"/>
  <c r="L397" i="41"/>
  <c r="L375" i="41"/>
  <c r="L374" i="41"/>
  <c r="O117" i="40"/>
  <c r="P116" i="40"/>
  <c r="L234" i="38"/>
  <c r="K235" i="38"/>
  <c r="K236" i="38" s="1"/>
  <c r="O116" i="41"/>
  <c r="N117" i="41"/>
  <c r="M357" i="41"/>
  <c r="N338" i="41"/>
  <c r="AR11" i="35"/>
  <c r="L53" i="38"/>
  <c r="M53" i="41"/>
  <c r="L54" i="41"/>
  <c r="Q30" i="40"/>
  <c r="P31" i="40"/>
  <c r="O166" i="38"/>
  <c r="N167" i="38"/>
  <c r="L172" i="40"/>
  <c r="L174" i="40" s="1"/>
  <c r="L176" i="40"/>
  <c r="L58" i="40"/>
  <c r="L100" i="40"/>
  <c r="L79" i="40"/>
  <c r="L241" i="40"/>
  <c r="J176" i="41"/>
  <c r="J177" i="41" s="1"/>
  <c r="S14" i="43"/>
  <c r="W14" i="43" s="1"/>
  <c r="S9" i="43"/>
  <c r="W9" i="43" s="1"/>
  <c r="S6" i="43"/>
  <c r="S13" i="43"/>
  <c r="S18" i="43"/>
  <c r="S11" i="43"/>
  <c r="W11" i="43" s="1"/>
  <c r="S8" i="43"/>
  <c r="S7" i="43"/>
  <c r="W7" i="43" s="1"/>
  <c r="S16" i="43"/>
  <c r="W16" i="43" s="1"/>
  <c r="S10" i="43"/>
  <c r="W10" i="43" s="1"/>
  <c r="S19" i="43"/>
  <c r="W19" i="43" s="1"/>
  <c r="S17" i="43"/>
  <c r="W17" i="43" s="1"/>
  <c r="S12" i="43"/>
  <c r="W12" i="43" s="1"/>
  <c r="S20" i="43"/>
  <c r="W20" i="43" s="1"/>
  <c r="S21" i="43"/>
  <c r="W21" i="43" s="1"/>
  <c r="S15" i="43"/>
  <c r="W15" i="43" s="1"/>
  <c r="S22" i="43"/>
  <c r="AS12" i="35"/>
  <c r="AT12" i="35" s="1"/>
  <c r="AU12" i="35" s="1"/>
  <c r="R25" i="43"/>
  <c r="I366" i="38"/>
  <c r="I379" i="38" s="1"/>
  <c r="T96" i="40"/>
  <c r="U95" i="40"/>
  <c r="K97" i="41"/>
  <c r="J108" i="41"/>
  <c r="I187" i="40"/>
  <c r="I18" i="31"/>
  <c r="J18" i="31"/>
  <c r="Q42" i="33"/>
  <c r="H406" i="38"/>
  <c r="H419" i="38" s="1"/>
  <c r="H17" i="31"/>
  <c r="M40" i="33"/>
  <c r="Q168" i="40"/>
  <c r="R167" i="40"/>
  <c r="L120" i="41"/>
  <c r="J66" i="40"/>
  <c r="K55" i="40"/>
  <c r="I431" i="38"/>
  <c r="Q15" i="31"/>
  <c r="H72" i="39"/>
  <c r="K169" i="40"/>
  <c r="J178" i="40"/>
  <c r="J17" i="31"/>
  <c r="K97" i="40"/>
  <c r="J108" i="40"/>
  <c r="R24" i="43"/>
  <c r="M359" i="41"/>
  <c r="L371" i="41"/>
  <c r="H285" i="41"/>
  <c r="G285" i="41"/>
  <c r="H334" i="40"/>
  <c r="I425" i="38"/>
  <c r="I415" i="38"/>
  <c r="I414" i="38"/>
  <c r="I434" i="38"/>
  <c r="I406" i="38" s="1"/>
  <c r="I419" i="38" s="1"/>
  <c r="R92" i="48"/>
  <c r="AD55" i="32"/>
  <c r="F329" i="41"/>
  <c r="AI14" i="35"/>
  <c r="AQ14" i="35" s="1"/>
  <c r="K79" i="41"/>
  <c r="K175" i="41"/>
  <c r="K58" i="41"/>
  <c r="K171" i="41"/>
  <c r="K173" i="41" s="1"/>
  <c r="K100" i="41"/>
  <c r="K239" i="41"/>
  <c r="R30" i="41"/>
  <c r="Q31" i="41"/>
  <c r="E22" i="35"/>
  <c r="T98" i="48"/>
  <c r="I120" i="40"/>
  <c r="G334" i="40"/>
  <c r="G84" i="33"/>
  <c r="G15" i="48"/>
  <c r="G82" i="33"/>
  <c r="G83" i="33"/>
  <c r="R53" i="40"/>
  <c r="Q54" i="40"/>
  <c r="N96" i="41"/>
  <c r="O95" i="41"/>
  <c r="I186" i="41"/>
  <c r="G16" i="31"/>
  <c r="AD16" i="31"/>
  <c r="H40" i="31"/>
  <c r="H102" i="39"/>
  <c r="J66" i="41"/>
  <c r="K55" i="41"/>
  <c r="K357" i="38"/>
  <c r="L338" i="38"/>
  <c r="K168" i="41"/>
  <c r="R26" i="43"/>
  <c r="R23" i="43"/>
  <c r="AQ3" i="31"/>
  <c r="AP4" i="31"/>
  <c r="AP22" i="31" s="1"/>
  <c r="R18" i="35"/>
  <c r="S17" i="35"/>
  <c r="J375" i="38"/>
  <c r="J397" i="38"/>
  <c r="J385" i="38"/>
  <c r="J374" i="38"/>
  <c r="J394" i="38"/>
  <c r="J366" i="38" s="1"/>
  <c r="J379" i="38" s="1"/>
  <c r="G39" i="31"/>
  <c r="AC39" i="31"/>
  <c r="AC44" i="31" s="1"/>
  <c r="AO26" i="31"/>
  <c r="AO66" i="31"/>
  <c r="AO33" i="31"/>
  <c r="AO48" i="31"/>
  <c r="AO73" i="31"/>
  <c r="AO78" i="31"/>
  <c r="T74" i="40"/>
  <c r="S75" i="40"/>
  <c r="J8" i="32"/>
  <c r="J30" i="32"/>
  <c r="G31" i="31"/>
  <c r="J87" i="40"/>
  <c r="K76" i="40"/>
  <c r="L411" i="41"/>
  <c r="M399" i="41"/>
  <c r="K2" i="42"/>
  <c r="J1" i="42"/>
  <c r="J47" i="42"/>
  <c r="I17" i="31"/>
  <c r="N364" i="40"/>
  <c r="M376" i="40"/>
  <c r="T2" i="43"/>
  <c r="U1" i="43"/>
  <c r="T4" i="43"/>
  <c r="J5" i="47"/>
  <c r="J4" i="47"/>
  <c r="K3" i="47"/>
  <c r="J6" i="47"/>
  <c r="L3" i="41"/>
  <c r="L6" i="41"/>
  <c r="L8" i="41"/>
  <c r="L2" i="41"/>
  <c r="M7" i="41"/>
  <c r="J249" i="40"/>
  <c r="K238" i="40"/>
  <c r="I32" i="41"/>
  <c r="P38" i="31"/>
  <c r="P44" i="31" s="1"/>
  <c r="M310" i="40" l="1"/>
  <c r="M412" i="40"/>
  <c r="M426" i="40" s="1"/>
  <c r="M441" i="40" s="1"/>
  <c r="N272" i="40"/>
  <c r="N328" i="40"/>
  <c r="I383" i="40"/>
  <c r="K370" i="40"/>
  <c r="K383" i="40" s="1"/>
  <c r="F286" i="38"/>
  <c r="F330" i="38" s="1"/>
  <c r="P58" i="48"/>
  <c r="P78" i="48"/>
  <c r="R30" i="32"/>
  <c r="P99" i="48" s="1"/>
  <c r="AI52" i="32"/>
  <c r="H40" i="32"/>
  <c r="L87" i="41"/>
  <c r="I378" i="38"/>
  <c r="J393" i="38"/>
  <c r="N120" i="38"/>
  <c r="J247" i="41"/>
  <c r="K236" i="41"/>
  <c r="J108" i="38"/>
  <c r="K97" i="38"/>
  <c r="J87" i="38"/>
  <c r="K76" i="38"/>
  <c r="F27" i="48"/>
  <c r="E22" i="48"/>
  <c r="E27" i="48" s="1"/>
  <c r="Q417" i="40"/>
  <c r="R404" i="40"/>
  <c r="Q425" i="40"/>
  <c r="N371" i="38"/>
  <c r="O359" i="38"/>
  <c r="E56" i="33"/>
  <c r="H20" i="32"/>
  <c r="N46" i="33"/>
  <c r="M46" i="33" s="1"/>
  <c r="BB66" i="31"/>
  <c r="BB48" i="31"/>
  <c r="BB33" i="31"/>
  <c r="BB26" i="31"/>
  <c r="BB78" i="31"/>
  <c r="BB73" i="31"/>
  <c r="I8" i="38"/>
  <c r="I9" i="38" s="1"/>
  <c r="R399" i="38"/>
  <c r="Q411" i="38"/>
  <c r="Q419" i="38"/>
  <c r="BC78" i="31"/>
  <c r="BC66" i="31"/>
  <c r="BC33" i="31"/>
  <c r="BC48" i="31"/>
  <c r="BC73" i="31"/>
  <c r="BC26" i="31"/>
  <c r="R297" i="40"/>
  <c r="Q321" i="40"/>
  <c r="Q333" i="40"/>
  <c r="Q327" i="40"/>
  <c r="T71" i="48"/>
  <c r="T22" i="32"/>
  <c r="G155" i="39"/>
  <c r="Z55" i="32"/>
  <c r="N288" i="41"/>
  <c r="N332" i="41" s="1"/>
  <c r="N287" i="41"/>
  <c r="N331" i="41" s="1"/>
  <c r="N290" i="41"/>
  <c r="N334" i="41" s="1"/>
  <c r="N286" i="41"/>
  <c r="N330" i="41" s="1"/>
  <c r="N289" i="41"/>
  <c r="O284" i="41"/>
  <c r="N291" i="41"/>
  <c r="N335" i="41" s="1"/>
  <c r="N285" i="41"/>
  <c r="M329" i="41"/>
  <c r="M336" i="41" s="1"/>
  <c r="M292" i="41"/>
  <c r="L323" i="38"/>
  <c r="L328" i="38"/>
  <c r="M294" i="38"/>
  <c r="L317" i="38"/>
  <c r="O117" i="38"/>
  <c r="P116" i="38"/>
  <c r="O75" i="38"/>
  <c r="P74" i="38"/>
  <c r="O292" i="40"/>
  <c r="O288" i="40"/>
  <c r="O294" i="40"/>
  <c r="O340" i="40" s="1"/>
  <c r="P287" i="40"/>
  <c r="O293" i="40"/>
  <c r="O339" i="40" s="1"/>
  <c r="O291" i="40"/>
  <c r="O337" i="40" s="1"/>
  <c r="O289" i="40"/>
  <c r="O335" i="40" s="1"/>
  <c r="O290" i="40"/>
  <c r="O336" i="40" s="1"/>
  <c r="U234" i="41"/>
  <c r="T235" i="41"/>
  <c r="Q166" i="41"/>
  <c r="P167" i="41"/>
  <c r="N334" i="40"/>
  <c r="N341" i="40" s="1"/>
  <c r="N295" i="40"/>
  <c r="K378" i="38"/>
  <c r="K393" i="38"/>
  <c r="K421" i="40"/>
  <c r="K420" i="40"/>
  <c r="K411" i="40"/>
  <c r="K425" i="40" s="1"/>
  <c r="P31" i="38"/>
  <c r="P32" i="38" s="1"/>
  <c r="Q30" i="38"/>
  <c r="L325" i="38"/>
  <c r="L326" i="38" s="1"/>
  <c r="L365" i="38" s="1"/>
  <c r="L393" i="38" s="1"/>
  <c r="L380" i="40"/>
  <c r="L402" i="40"/>
  <c r="L442" i="40" s="1"/>
  <c r="L379" i="40"/>
  <c r="L399" i="40"/>
  <c r="L371" i="40" s="1"/>
  <c r="L384" i="40" s="1"/>
  <c r="M362" i="40"/>
  <c r="N343" i="40"/>
  <c r="U95" i="38"/>
  <c r="T96" i="38"/>
  <c r="L433" i="38"/>
  <c r="L405" i="38" s="1"/>
  <c r="L418" i="38" s="1"/>
  <c r="K171" i="38"/>
  <c r="K173" i="38" s="1"/>
  <c r="K58" i="38"/>
  <c r="K239" i="38"/>
  <c r="K175" i="38"/>
  <c r="K100" i="38"/>
  <c r="K79" i="38"/>
  <c r="M226" i="38"/>
  <c r="M228" i="38" s="1"/>
  <c r="M324" i="38"/>
  <c r="M271" i="38"/>
  <c r="M273" i="38" s="1"/>
  <c r="M159" i="38"/>
  <c r="L3" i="38"/>
  <c r="L2" i="38"/>
  <c r="M7" i="38"/>
  <c r="L8" i="38"/>
  <c r="L6" i="38"/>
  <c r="J273" i="41"/>
  <c r="J325" i="41"/>
  <c r="J326" i="41" s="1"/>
  <c r="J365" i="41" s="1"/>
  <c r="N213" i="40"/>
  <c r="N221" i="40" s="1"/>
  <c r="N142" i="40"/>
  <c r="N150" i="40" s="1"/>
  <c r="N157" i="40"/>
  <c r="N259" i="40"/>
  <c r="N267" i="40" s="1"/>
  <c r="O140" i="40"/>
  <c r="N212" i="38"/>
  <c r="N220" i="38" s="1"/>
  <c r="N272" i="38"/>
  <c r="N227" i="38"/>
  <c r="O140" i="38"/>
  <c r="N270" i="38"/>
  <c r="N225" i="38"/>
  <c r="N257" i="38"/>
  <c r="N265" i="38" s="1"/>
  <c r="N142" i="38"/>
  <c r="N150" i="38" s="1"/>
  <c r="N156" i="38"/>
  <c r="N158" i="38"/>
  <c r="N155" i="38"/>
  <c r="N157" i="38" s="1"/>
  <c r="L156" i="41"/>
  <c r="L257" i="41"/>
  <c r="L265" i="41" s="1"/>
  <c r="L142" i="41"/>
  <c r="L150" i="41" s="1"/>
  <c r="L212" i="41"/>
  <c r="L220" i="41" s="1"/>
  <c r="M140" i="41"/>
  <c r="I378" i="41"/>
  <c r="I393" i="41"/>
  <c r="K398" i="40"/>
  <c r="J176" i="38"/>
  <c r="J177" i="38" s="1"/>
  <c r="J186" i="38" s="1"/>
  <c r="L440" i="40"/>
  <c r="L410" i="40" s="1"/>
  <c r="L424" i="40" s="1"/>
  <c r="L330" i="40"/>
  <c r="M75" i="41"/>
  <c r="M76" i="41" s="1"/>
  <c r="N74" i="41"/>
  <c r="O338" i="41"/>
  <c r="N357" i="41"/>
  <c r="P116" i="41"/>
  <c r="O117" i="41"/>
  <c r="L415" i="41"/>
  <c r="L414" i="41"/>
  <c r="P236" i="40"/>
  <c r="O237" i="40"/>
  <c r="N53" i="41"/>
  <c r="M54" i="41"/>
  <c r="L177" i="40"/>
  <c r="R30" i="40"/>
  <c r="Q31" i="40"/>
  <c r="M397" i="41"/>
  <c r="M374" i="41"/>
  <c r="M375" i="41"/>
  <c r="L235" i="38"/>
  <c r="L236" i="38" s="1"/>
  <c r="M234" i="38"/>
  <c r="N317" i="41"/>
  <c r="O294" i="41"/>
  <c r="N323" i="41"/>
  <c r="N328" i="41"/>
  <c r="P166" i="38"/>
  <c r="O167" i="38"/>
  <c r="AG20" i="35"/>
  <c r="AH19" i="35"/>
  <c r="M53" i="38"/>
  <c r="L54" i="38"/>
  <c r="Q116" i="40"/>
  <c r="P117" i="40"/>
  <c r="O289" i="38"/>
  <c r="O288" i="38"/>
  <c r="O332" i="38" s="1"/>
  <c r="P284" i="38"/>
  <c r="O290" i="38"/>
  <c r="O334" i="38" s="1"/>
  <c r="O286" i="38"/>
  <c r="O330" i="38" s="1"/>
  <c r="O285" i="38"/>
  <c r="O287" i="38"/>
  <c r="O331" i="38" s="1"/>
  <c r="N2" i="40"/>
  <c r="N6" i="40"/>
  <c r="O7" i="40"/>
  <c r="N3" i="40"/>
  <c r="N8" i="40"/>
  <c r="B31" i="35"/>
  <c r="C30" i="35"/>
  <c r="N329" i="38"/>
  <c r="M168" i="38"/>
  <c r="M172" i="40"/>
  <c r="M174" i="40" s="1"/>
  <c r="M176" i="40"/>
  <c r="M241" i="40"/>
  <c r="M100" i="40"/>
  <c r="M58" i="40"/>
  <c r="M79" i="40"/>
  <c r="K247" i="38"/>
  <c r="O364" i="40"/>
  <c r="N376" i="40"/>
  <c r="S53" i="40"/>
  <c r="R54" i="40"/>
  <c r="L58" i="41"/>
  <c r="L171" i="41"/>
  <c r="L173" i="41" s="1"/>
  <c r="L239" i="41"/>
  <c r="L79" i="41"/>
  <c r="L100" i="41"/>
  <c r="L175" i="41"/>
  <c r="Q39" i="31"/>
  <c r="Q44" i="31" s="1"/>
  <c r="L55" i="41"/>
  <c r="K66" i="41"/>
  <c r="AD40" i="31"/>
  <c r="AD44" i="31" s="1"/>
  <c r="G40" i="31"/>
  <c r="G20" i="48"/>
  <c r="E15" i="48"/>
  <c r="E20" i="48" s="1"/>
  <c r="S30" i="41"/>
  <c r="R31" i="41"/>
  <c r="J186" i="41"/>
  <c r="L97" i="40"/>
  <c r="K108" i="40"/>
  <c r="L169" i="40"/>
  <c r="K178" i="40"/>
  <c r="S26" i="43"/>
  <c r="S23" i="43"/>
  <c r="W6" i="43"/>
  <c r="J425" i="38"/>
  <c r="J434" i="38"/>
  <c r="J406" i="38" s="1"/>
  <c r="J419" i="38" s="1"/>
  <c r="J415" i="38"/>
  <c r="J414" i="38"/>
  <c r="O23" i="33"/>
  <c r="O35" i="33" s="1"/>
  <c r="J31" i="40"/>
  <c r="I31" i="40"/>
  <c r="E83" i="33"/>
  <c r="U74" i="40"/>
  <c r="T75" i="40"/>
  <c r="P95" i="41"/>
  <c r="O96" i="41"/>
  <c r="O47" i="33"/>
  <c r="M47" i="33" s="1"/>
  <c r="E84" i="33"/>
  <c r="AI15" i="35"/>
  <c r="AQ15" i="35" s="1"/>
  <c r="AQ16" i="35" s="1"/>
  <c r="AQ17" i="35" s="1"/>
  <c r="AQ18" i="35" s="1"/>
  <c r="AQ19" i="35" s="1"/>
  <c r="AQ20" i="35" s="1"/>
  <c r="AQ21" i="35" s="1"/>
  <c r="AQ22" i="35" s="1"/>
  <c r="AQ23" i="35" s="1"/>
  <c r="AQ24" i="35" s="1"/>
  <c r="AQ25" i="35" s="1"/>
  <c r="AQ26" i="35" s="1"/>
  <c r="AQ27" i="35" s="1"/>
  <c r="AQ28" i="35" s="1"/>
  <c r="AQ29" i="35" s="1"/>
  <c r="AQ30" i="35" s="1"/>
  <c r="AQ31" i="35" s="1"/>
  <c r="AQ32" i="35" s="1"/>
  <c r="AQ33" i="35" s="1"/>
  <c r="AQ34" i="35" s="1"/>
  <c r="AQ35" i="35" s="1"/>
  <c r="AQ36" i="35" s="1"/>
  <c r="AQ37" i="35" s="1"/>
  <c r="AQ38" i="35" s="1"/>
  <c r="AQ39" i="35" s="1"/>
  <c r="AQ40" i="35" s="1"/>
  <c r="AQ41" i="35" s="1"/>
  <c r="AQ42" i="35" s="1"/>
  <c r="AQ43" i="35" s="1"/>
  <c r="AQ44" i="35" s="1"/>
  <c r="AQ45" i="35" s="1"/>
  <c r="G329" i="41"/>
  <c r="K66" i="40"/>
  <c r="L55" i="40"/>
  <c r="M120" i="41"/>
  <c r="G17" i="31"/>
  <c r="H41" i="31"/>
  <c r="AE17" i="31"/>
  <c r="H103" i="39"/>
  <c r="K108" i="41"/>
  <c r="L97" i="41"/>
  <c r="L76" i="40"/>
  <c r="K87" i="40"/>
  <c r="J187" i="40"/>
  <c r="W18" i="43"/>
  <c r="M3" i="41"/>
  <c r="N7" i="41"/>
  <c r="M8" i="41"/>
  <c r="M2" i="41"/>
  <c r="M6" i="41"/>
  <c r="W13" i="43"/>
  <c r="L168" i="41"/>
  <c r="T10" i="43"/>
  <c r="T6" i="43"/>
  <c r="T8" i="43"/>
  <c r="T12" i="43"/>
  <c r="T17" i="43"/>
  <c r="T19" i="43"/>
  <c r="T11" i="43"/>
  <c r="T20" i="43"/>
  <c r="T21" i="43"/>
  <c r="T13" i="43"/>
  <c r="T15" i="43"/>
  <c r="T14" i="43"/>
  <c r="T16" i="43"/>
  <c r="T22" i="43"/>
  <c r="T9" i="43"/>
  <c r="T7" i="43"/>
  <c r="T18" i="43"/>
  <c r="AP66" i="31"/>
  <c r="AP33" i="31"/>
  <c r="AP78" i="31"/>
  <c r="AP73" i="31"/>
  <c r="AP26" i="31"/>
  <c r="AP48" i="31"/>
  <c r="H73" i="39"/>
  <c r="R16" i="31"/>
  <c r="J120" i="40"/>
  <c r="K176" i="41"/>
  <c r="K177" i="41" s="1"/>
  <c r="H329" i="41"/>
  <c r="I19" i="31"/>
  <c r="U96" i="40"/>
  <c r="V95" i="40"/>
  <c r="T16" i="35"/>
  <c r="W22" i="43"/>
  <c r="T58" i="48"/>
  <c r="F286" i="41"/>
  <c r="G8" i="32"/>
  <c r="AQ18" i="31"/>
  <c r="I42" i="31"/>
  <c r="AQ42" i="31" s="1"/>
  <c r="AQ44" i="31" s="1"/>
  <c r="K1" i="42"/>
  <c r="K47" i="42"/>
  <c r="L2" i="42"/>
  <c r="G85" i="33"/>
  <c r="G86" i="33"/>
  <c r="E82" i="33"/>
  <c r="U4" i="43"/>
  <c r="U2" i="43"/>
  <c r="K249" i="40"/>
  <c r="L238" i="40"/>
  <c r="M411" i="41"/>
  <c r="N399" i="41"/>
  <c r="AQ4" i="31"/>
  <c r="AQ22" i="31" s="1"/>
  <c r="AR3" i="31"/>
  <c r="AR4" i="31" s="1"/>
  <c r="AR22" i="31" s="1"/>
  <c r="L357" i="38"/>
  <c r="M338" i="38"/>
  <c r="J42" i="31"/>
  <c r="BB42" i="31" s="1"/>
  <c r="BB44" i="31" s="1"/>
  <c r="BB18" i="31"/>
  <c r="E23" i="35"/>
  <c r="K4" i="47"/>
  <c r="L3" i="47"/>
  <c r="K5" i="47"/>
  <c r="K6" i="47"/>
  <c r="H132" i="39"/>
  <c r="AP17" i="31"/>
  <c r="I41" i="31"/>
  <c r="R19" i="35"/>
  <c r="S18" i="35"/>
  <c r="J32" i="41"/>
  <c r="T30" i="32"/>
  <c r="J40" i="32"/>
  <c r="I286" i="41" s="1"/>
  <c r="I330" i="41" s="1"/>
  <c r="T78" i="48"/>
  <c r="AK52" i="32"/>
  <c r="G30" i="32"/>
  <c r="K397" i="38"/>
  <c r="K394" i="38"/>
  <c r="M41" i="33"/>
  <c r="H18" i="31"/>
  <c r="H10" i="31" s="1"/>
  <c r="S24" i="43"/>
  <c r="W8" i="43"/>
  <c r="M371" i="41"/>
  <c r="N359" i="41"/>
  <c r="J41" i="31"/>
  <c r="H161" i="39"/>
  <c r="BA17" i="31"/>
  <c r="R168" i="40"/>
  <c r="S167" i="40"/>
  <c r="S25" i="43"/>
  <c r="O120" i="38" l="1"/>
  <c r="N310" i="40"/>
  <c r="N412" i="40"/>
  <c r="N426" i="40" s="1"/>
  <c r="N441" i="40" s="1"/>
  <c r="O272" i="40"/>
  <c r="O328" i="40"/>
  <c r="L331" i="40"/>
  <c r="L370" i="40" s="1"/>
  <c r="L383" i="40" s="1"/>
  <c r="I286" i="38"/>
  <c r="I330" i="38" s="1"/>
  <c r="G286" i="38"/>
  <c r="G330" i="38" s="1"/>
  <c r="H286" i="38"/>
  <c r="H330" i="38" s="1"/>
  <c r="M87" i="41"/>
  <c r="I12" i="31"/>
  <c r="M35" i="33"/>
  <c r="K247" i="41"/>
  <c r="L236" i="41"/>
  <c r="K108" i="38"/>
  <c r="L97" i="38"/>
  <c r="K87" i="38"/>
  <c r="L76" i="38"/>
  <c r="R425" i="40"/>
  <c r="S404" i="40"/>
  <c r="R417" i="40"/>
  <c r="P359" i="38"/>
  <c r="O371" i="38"/>
  <c r="AE55" i="32"/>
  <c r="T92" i="48"/>
  <c r="R321" i="40"/>
  <c r="R327" i="40"/>
  <c r="S297" i="40"/>
  <c r="R333" i="40"/>
  <c r="R411" i="38"/>
  <c r="S399" i="38"/>
  <c r="R419" i="38"/>
  <c r="R22" i="32"/>
  <c r="P71" i="48"/>
  <c r="X55" i="32"/>
  <c r="W55" i="32" s="1"/>
  <c r="G20" i="32"/>
  <c r="G97" i="39"/>
  <c r="O286" i="41"/>
  <c r="O330" i="41" s="1"/>
  <c r="O288" i="41"/>
  <c r="O332" i="41" s="1"/>
  <c r="O290" i="41"/>
  <c r="O334" i="41" s="1"/>
  <c r="O289" i="41"/>
  <c r="P284" i="41"/>
  <c r="O287" i="41"/>
  <c r="O331" i="41" s="1"/>
  <c r="O291" i="41"/>
  <c r="O335" i="41" s="1"/>
  <c r="O285" i="41"/>
  <c r="N329" i="41"/>
  <c r="N336" i="41" s="1"/>
  <c r="N292" i="41"/>
  <c r="N294" i="38"/>
  <c r="M317" i="38"/>
  <c r="M328" i="38"/>
  <c r="M323" i="38"/>
  <c r="R166" i="41"/>
  <c r="Q167" i="41"/>
  <c r="P291" i="40"/>
  <c r="P337" i="40" s="1"/>
  <c r="P289" i="40"/>
  <c r="P335" i="40" s="1"/>
  <c r="P288" i="40"/>
  <c r="P292" i="40"/>
  <c r="P294" i="40"/>
  <c r="P340" i="40" s="1"/>
  <c r="P290" i="40"/>
  <c r="P336" i="40" s="1"/>
  <c r="P293" i="40"/>
  <c r="P339" i="40" s="1"/>
  <c r="Q287" i="40"/>
  <c r="O295" i="40"/>
  <c r="O334" i="40"/>
  <c r="O341" i="40" s="1"/>
  <c r="U235" i="41"/>
  <c r="V234" i="41"/>
  <c r="Q74" i="38"/>
  <c r="P75" i="38"/>
  <c r="P117" i="38"/>
  <c r="P120" i="38" s="1"/>
  <c r="Q116" i="38"/>
  <c r="M380" i="40"/>
  <c r="M402" i="40"/>
  <c r="M379" i="40"/>
  <c r="R30" i="38"/>
  <c r="Q31" i="38"/>
  <c r="Q32" i="38" s="1"/>
  <c r="O343" i="40"/>
  <c r="N362" i="40"/>
  <c r="N159" i="38"/>
  <c r="L378" i="38"/>
  <c r="L421" i="40"/>
  <c r="L411" i="40"/>
  <c r="L425" i="40" s="1"/>
  <c r="L420" i="40"/>
  <c r="O225" i="38"/>
  <c r="O226" i="38" s="1"/>
  <c r="O270" i="38"/>
  <c r="O142" i="38"/>
  <c r="O150" i="38" s="1"/>
  <c r="O158" i="38"/>
  <c r="O155" i="38"/>
  <c r="O157" i="38" s="1"/>
  <c r="P140" i="38"/>
  <c r="O257" i="38"/>
  <c r="O265" i="38" s="1"/>
  <c r="O227" i="38"/>
  <c r="O212" i="38"/>
  <c r="O220" i="38" s="1"/>
  <c r="O272" i="38"/>
  <c r="O156" i="38"/>
  <c r="L58" i="38"/>
  <c r="L239" i="38"/>
  <c r="L100" i="38"/>
  <c r="L171" i="38"/>
  <c r="L173" i="38" s="1"/>
  <c r="L79" i="38"/>
  <c r="L175" i="38"/>
  <c r="J393" i="41"/>
  <c r="J378" i="41"/>
  <c r="M3" i="38"/>
  <c r="M433" i="38"/>
  <c r="M405" i="38" s="1"/>
  <c r="M418" i="38" s="1"/>
  <c r="M325" i="38"/>
  <c r="M326" i="38" s="1"/>
  <c r="M365" i="38" s="1"/>
  <c r="N324" i="38"/>
  <c r="N271" i="38"/>
  <c r="O74" i="41"/>
  <c r="N75" i="41"/>
  <c r="N76" i="41" s="1"/>
  <c r="M142" i="41"/>
  <c r="M150" i="41" s="1"/>
  <c r="M212" i="41"/>
  <c r="M220" i="41" s="1"/>
  <c r="M257" i="41"/>
  <c r="M265" i="41" s="1"/>
  <c r="M156" i="41"/>
  <c r="N140" i="41"/>
  <c r="K176" i="38"/>
  <c r="K177" i="38" s="1"/>
  <c r="K186" i="38" s="1"/>
  <c r="O157" i="40"/>
  <c r="O259" i="40"/>
  <c r="O267" i="40" s="1"/>
  <c r="P140" i="40"/>
  <c r="O142" i="40"/>
  <c r="O150" i="40" s="1"/>
  <c r="O213" i="40"/>
  <c r="O221" i="40" s="1"/>
  <c r="M8" i="38"/>
  <c r="N7" i="38"/>
  <c r="M6" i="38"/>
  <c r="M2" i="38"/>
  <c r="N226" i="38"/>
  <c r="N228" i="38" s="1"/>
  <c r="V95" i="38"/>
  <c r="U96" i="38"/>
  <c r="L247" i="38"/>
  <c r="N53" i="38"/>
  <c r="M54" i="38"/>
  <c r="AG21" i="35"/>
  <c r="AH20" i="35"/>
  <c r="N234" i="38"/>
  <c r="M235" i="38"/>
  <c r="M236" i="38" s="1"/>
  <c r="S30" i="40"/>
  <c r="R31" i="40"/>
  <c r="Q116" i="41"/>
  <c r="P117" i="41"/>
  <c r="N397" i="41"/>
  <c r="N374" i="41"/>
  <c r="N375" i="41"/>
  <c r="P338" i="41"/>
  <c r="O357" i="41"/>
  <c r="P290" i="38"/>
  <c r="P334" i="38" s="1"/>
  <c r="P289" i="38"/>
  <c r="P286" i="38"/>
  <c r="P330" i="38" s="1"/>
  <c r="P288" i="38"/>
  <c r="P332" i="38" s="1"/>
  <c r="P285" i="38"/>
  <c r="P287" i="38"/>
  <c r="P331" i="38" s="1"/>
  <c r="Q284" i="38"/>
  <c r="P7" i="40"/>
  <c r="O6" i="40"/>
  <c r="O3" i="40"/>
  <c r="O2" i="40"/>
  <c r="O8" i="40"/>
  <c r="O329" i="38"/>
  <c r="M177" i="40"/>
  <c r="R116" i="40"/>
  <c r="Q117" i="40"/>
  <c r="Q166" i="38"/>
  <c r="P167" i="38"/>
  <c r="P294" i="41"/>
  <c r="O323" i="41"/>
  <c r="O328" i="41"/>
  <c r="O317" i="41"/>
  <c r="P237" i="40"/>
  <c r="Q236" i="40"/>
  <c r="N168" i="38"/>
  <c r="B32" i="35"/>
  <c r="C31" i="35"/>
  <c r="N172" i="40"/>
  <c r="N174" i="40" s="1"/>
  <c r="N100" i="40"/>
  <c r="N176" i="40"/>
  <c r="N241" i="40"/>
  <c r="N79" i="40"/>
  <c r="N58" i="40"/>
  <c r="M415" i="41"/>
  <c r="M414" i="41"/>
  <c r="O53" i="41"/>
  <c r="N54" i="41"/>
  <c r="L176" i="41"/>
  <c r="L177" i="41" s="1"/>
  <c r="L186" i="41" s="1"/>
  <c r="H74" i="39"/>
  <c r="S17" i="31"/>
  <c r="K187" i="40"/>
  <c r="J19" i="31"/>
  <c r="M58" i="41"/>
  <c r="M100" i="41"/>
  <c r="M171" i="41"/>
  <c r="M173" i="41" s="1"/>
  <c r="M79" i="41"/>
  <c r="M175" i="41"/>
  <c r="M239" i="41"/>
  <c r="I43" i="31"/>
  <c r="AR43" i="31" s="1"/>
  <c r="AR44" i="31" s="1"/>
  <c r="AR19" i="31"/>
  <c r="T17" i="35"/>
  <c r="AB16" i="35"/>
  <c r="M169" i="40"/>
  <c r="L178" i="40"/>
  <c r="G18" i="31"/>
  <c r="AF18" i="31"/>
  <c r="H42" i="31"/>
  <c r="K434" i="38"/>
  <c r="AP41" i="31"/>
  <c r="AP44" i="31" s="1"/>
  <c r="L6" i="47"/>
  <c r="M3" i="47"/>
  <c r="L4" i="47"/>
  <c r="L5" i="47"/>
  <c r="L397" i="38"/>
  <c r="L394" i="38"/>
  <c r="L366" i="38" s="1"/>
  <c r="L379" i="38" s="1"/>
  <c r="L47" i="42"/>
  <c r="M2" i="42"/>
  <c r="L1" i="42"/>
  <c r="V96" i="40"/>
  <c r="W95" i="40"/>
  <c r="T26" i="43"/>
  <c r="T23" i="43"/>
  <c r="M168" i="41"/>
  <c r="N2" i="41"/>
  <c r="O7" i="41"/>
  <c r="N6" i="41"/>
  <c r="N8" i="41"/>
  <c r="N3" i="41"/>
  <c r="N120" i="41"/>
  <c r="AI16" i="35"/>
  <c r="I32" i="40"/>
  <c r="R40" i="31"/>
  <c r="R44" i="31" s="1"/>
  <c r="T24" i="43"/>
  <c r="BA41" i="31"/>
  <c r="BA44" i="31" s="1"/>
  <c r="E85" i="33"/>
  <c r="E86" i="33"/>
  <c r="K120" i="40"/>
  <c r="P96" i="41"/>
  <c r="Q95" i="41"/>
  <c r="M97" i="40"/>
  <c r="L108" i="40"/>
  <c r="T30" i="41"/>
  <c r="S31" i="41"/>
  <c r="P364" i="40"/>
  <c r="O376" i="40"/>
  <c r="R20" i="35"/>
  <c r="S19" i="35"/>
  <c r="K366" i="38"/>
  <c r="K379" i="38" s="1"/>
  <c r="O399" i="41"/>
  <c r="N411" i="41"/>
  <c r="H286" i="41"/>
  <c r="G286" i="41"/>
  <c r="G40" i="32"/>
  <c r="AR78" i="31"/>
  <c r="AR66" i="31"/>
  <c r="AR48" i="31"/>
  <c r="AR33" i="31"/>
  <c r="AR26" i="31"/>
  <c r="AR73" i="31"/>
  <c r="H133" i="39"/>
  <c r="M23" i="33"/>
  <c r="S54" i="40"/>
  <c r="T53" i="40"/>
  <c r="N371" i="41"/>
  <c r="O359" i="41"/>
  <c r="K32" i="41"/>
  <c r="M357" i="38"/>
  <c r="N338" i="38"/>
  <c r="AQ73" i="31"/>
  <c r="AQ48" i="31"/>
  <c r="AQ78" i="31"/>
  <c r="AQ66" i="31"/>
  <c r="AQ33" i="31"/>
  <c r="AQ26" i="31"/>
  <c r="F330" i="41"/>
  <c r="T25" i="43"/>
  <c r="L108" i="41"/>
  <c r="M97" i="41"/>
  <c r="U75" i="40"/>
  <c r="V74" i="40"/>
  <c r="E24" i="35"/>
  <c r="AH52" i="32"/>
  <c r="M55" i="40"/>
  <c r="L66" i="40"/>
  <c r="T99" i="48"/>
  <c r="Q30" i="32"/>
  <c r="S168" i="40"/>
  <c r="T167" i="40"/>
  <c r="M238" i="40"/>
  <c r="L249" i="40"/>
  <c r="U20" i="43"/>
  <c r="V20" i="43" s="1"/>
  <c r="U9" i="43"/>
  <c r="V9" i="43" s="1"/>
  <c r="U21" i="43"/>
  <c r="V21" i="43" s="1"/>
  <c r="U16" i="43"/>
  <c r="V16" i="43" s="1"/>
  <c r="U17" i="43"/>
  <c r="V17" i="43" s="1"/>
  <c r="U14" i="43"/>
  <c r="V14" i="43" s="1"/>
  <c r="U6" i="43"/>
  <c r="U8" i="43"/>
  <c r="V8" i="43" s="1"/>
  <c r="U12" i="43"/>
  <c r="V12" i="43" s="1"/>
  <c r="U22" i="43"/>
  <c r="V22" i="43" s="1"/>
  <c r="U15" i="43"/>
  <c r="V15" i="43" s="1"/>
  <c r="U7" i="43"/>
  <c r="V7" i="43" s="1"/>
  <c r="U10" i="43"/>
  <c r="V10" i="43" s="1"/>
  <c r="U13" i="43"/>
  <c r="V13" i="43" s="1"/>
  <c r="U18" i="43"/>
  <c r="V18" i="43" s="1"/>
  <c r="U11" i="43"/>
  <c r="V11" i="43" s="1"/>
  <c r="U19" i="43"/>
  <c r="V19" i="43" s="1"/>
  <c r="M42" i="33"/>
  <c r="N43" i="33"/>
  <c r="K186" i="41"/>
  <c r="M76" i="40"/>
  <c r="L87" i="40"/>
  <c r="G41" i="31"/>
  <c r="AE41" i="31"/>
  <c r="AE44" i="31" s="1"/>
  <c r="L66" i="41"/>
  <c r="M55" i="41"/>
  <c r="O310" i="40" l="1"/>
  <c r="O412" i="40"/>
  <c r="O426" i="40" s="1"/>
  <c r="O441" i="40" s="1"/>
  <c r="P272" i="40"/>
  <c r="P328" i="40"/>
  <c r="L398" i="40"/>
  <c r="N87" i="41"/>
  <c r="H127" i="39"/>
  <c r="I36" i="31"/>
  <c r="G12" i="31"/>
  <c r="AK12" i="31"/>
  <c r="L247" i="41"/>
  <c r="M236" i="41"/>
  <c r="L108" i="38"/>
  <c r="M97" i="38"/>
  <c r="M76" i="38"/>
  <c r="L87" i="38"/>
  <c r="S411" i="38"/>
  <c r="S419" i="38"/>
  <c r="T399" i="38"/>
  <c r="T297" i="40"/>
  <c r="S321" i="40"/>
  <c r="S333" i="40"/>
  <c r="S327" i="40"/>
  <c r="Q22" i="32"/>
  <c r="M127" i="28" s="1"/>
  <c r="P92" i="48"/>
  <c r="AC55" i="32"/>
  <c r="AB55" i="32" s="1"/>
  <c r="S425" i="40"/>
  <c r="T404" i="40"/>
  <c r="S417" i="40"/>
  <c r="K127" i="28"/>
  <c r="G68" i="39"/>
  <c r="P371" i="38"/>
  <c r="P379" i="38"/>
  <c r="Q359" i="38"/>
  <c r="O329" i="41"/>
  <c r="O336" i="41" s="1"/>
  <c r="O292" i="41"/>
  <c r="P290" i="41"/>
  <c r="P334" i="41" s="1"/>
  <c r="Q284" i="41"/>
  <c r="P285" i="41"/>
  <c r="P286" i="41"/>
  <c r="P330" i="41" s="1"/>
  <c r="P287" i="41"/>
  <c r="P331" i="41" s="1"/>
  <c r="P291" i="41"/>
  <c r="P335" i="41" s="1"/>
  <c r="P288" i="41"/>
  <c r="P332" i="41" s="1"/>
  <c r="P289" i="41"/>
  <c r="N323" i="38"/>
  <c r="O294" i="38"/>
  <c r="N317" i="38"/>
  <c r="N328" i="38"/>
  <c r="N177" i="40"/>
  <c r="Q75" i="38"/>
  <c r="R74" i="38"/>
  <c r="V235" i="41"/>
  <c r="W234" i="41"/>
  <c r="P295" i="40"/>
  <c r="P334" i="40"/>
  <c r="P341" i="40" s="1"/>
  <c r="Q117" i="38"/>
  <c r="Q120" i="38" s="1"/>
  <c r="R116" i="38"/>
  <c r="Q293" i="40"/>
  <c r="Q339" i="40" s="1"/>
  <c r="Q292" i="40"/>
  <c r="Q294" i="40"/>
  <c r="Q340" i="40" s="1"/>
  <c r="Q289" i="40"/>
  <c r="Q335" i="40" s="1"/>
  <c r="Q290" i="40"/>
  <c r="Q336" i="40" s="1"/>
  <c r="Q288" i="40"/>
  <c r="Q291" i="40"/>
  <c r="Q337" i="40" s="1"/>
  <c r="R287" i="40"/>
  <c r="S166" i="41"/>
  <c r="R167" i="41"/>
  <c r="N325" i="38"/>
  <c r="N326" i="38" s="1"/>
  <c r="N365" i="38" s="1"/>
  <c r="N378" i="38" s="1"/>
  <c r="S30" i="38"/>
  <c r="R31" i="38"/>
  <c r="R32" i="38" s="1"/>
  <c r="O362" i="40"/>
  <c r="P343" i="40"/>
  <c r="M421" i="40"/>
  <c r="M420" i="40"/>
  <c r="N402" i="40"/>
  <c r="N379" i="40"/>
  <c r="N380" i="40"/>
  <c r="M100" i="38"/>
  <c r="M171" i="38"/>
  <c r="M173" i="38" s="1"/>
  <c r="M79" i="38"/>
  <c r="M175" i="38"/>
  <c r="M239" i="38"/>
  <c r="M58" i="38"/>
  <c r="P142" i="38"/>
  <c r="P150" i="38" s="1"/>
  <c r="P257" i="38"/>
  <c r="P265" i="38" s="1"/>
  <c r="P212" i="38"/>
  <c r="P220" i="38" s="1"/>
  <c r="Q140" i="38"/>
  <c r="P156" i="38"/>
  <c r="O159" i="38"/>
  <c r="O7" i="38"/>
  <c r="N8" i="38"/>
  <c r="N6" i="38"/>
  <c r="N3" i="38"/>
  <c r="N2" i="38"/>
  <c r="Q140" i="40"/>
  <c r="P273" i="40"/>
  <c r="P163" i="40"/>
  <c r="P355" i="40"/>
  <c r="P142" i="40"/>
  <c r="P150" i="40" s="1"/>
  <c r="P275" i="40"/>
  <c r="P227" i="40"/>
  <c r="P228" i="40" s="1"/>
  <c r="P213" i="40"/>
  <c r="P221" i="40" s="1"/>
  <c r="P159" i="40"/>
  <c r="P229" i="40"/>
  <c r="P259" i="40"/>
  <c r="P267" i="40" s="1"/>
  <c r="P278" i="40"/>
  <c r="P157" i="40"/>
  <c r="P156" i="40"/>
  <c r="P158" i="40" s="1"/>
  <c r="P370" i="40"/>
  <c r="P232" i="40"/>
  <c r="P410" i="40"/>
  <c r="P424" i="40" s="1"/>
  <c r="P409" i="40"/>
  <c r="P369" i="40"/>
  <c r="N257" i="41"/>
  <c r="N265" i="41" s="1"/>
  <c r="N156" i="41"/>
  <c r="N212" i="41"/>
  <c r="N220" i="41" s="1"/>
  <c r="O140" i="41"/>
  <c r="N142" i="41"/>
  <c r="N150" i="41" s="1"/>
  <c r="M378" i="38"/>
  <c r="M393" i="38"/>
  <c r="O271" i="38"/>
  <c r="O325" i="38" s="1"/>
  <c r="O324" i="38"/>
  <c r="O228" i="38"/>
  <c r="W95" i="38"/>
  <c r="V96" i="38"/>
  <c r="O75" i="41"/>
  <c r="O76" i="41" s="1"/>
  <c r="P74" i="41"/>
  <c r="N273" i="38"/>
  <c r="N433" i="38" s="1"/>
  <c r="N405" i="38" s="1"/>
  <c r="N418" i="38" s="1"/>
  <c r="L176" i="38"/>
  <c r="L177" i="38" s="1"/>
  <c r="L186" i="38" s="1"/>
  <c r="R116" i="41"/>
  <c r="Q117" i="41"/>
  <c r="AG22" i="35"/>
  <c r="AH21" i="35"/>
  <c r="N414" i="41"/>
  <c r="N415" i="41"/>
  <c r="M247" i="38"/>
  <c r="P53" i="41"/>
  <c r="O54" i="41"/>
  <c r="T30" i="40"/>
  <c r="S31" i="40"/>
  <c r="P323" i="41"/>
  <c r="P328" i="41"/>
  <c r="Q294" i="41"/>
  <c r="P317" i="41"/>
  <c r="R117" i="40"/>
  <c r="S116" i="40"/>
  <c r="O100" i="40"/>
  <c r="O79" i="40"/>
  <c r="O241" i="40"/>
  <c r="O176" i="40"/>
  <c r="O58" i="40"/>
  <c r="O172" i="40"/>
  <c r="O174" i="40" s="1"/>
  <c r="O53" i="38"/>
  <c r="N54" i="38"/>
  <c r="R236" i="40"/>
  <c r="Q237" i="40"/>
  <c r="Q287" i="38"/>
  <c r="Q331" i="38" s="1"/>
  <c r="Q288" i="38"/>
  <c r="Q332" i="38" s="1"/>
  <c r="R284" i="38"/>
  <c r="Q286" i="38"/>
  <c r="Q330" i="38" s="1"/>
  <c r="Q290" i="38"/>
  <c r="Q334" i="38" s="1"/>
  <c r="Q289" i="38"/>
  <c r="Q285" i="38"/>
  <c r="O397" i="41"/>
  <c r="O375" i="41"/>
  <c r="O394" i="41"/>
  <c r="O366" i="41" s="1"/>
  <c r="O379" i="41" s="1"/>
  <c r="O390" i="41"/>
  <c r="O391" i="41"/>
  <c r="O431" i="41" s="1"/>
  <c r="O385" i="41"/>
  <c r="O374" i="41"/>
  <c r="P357" i="41"/>
  <c r="Q338" i="41"/>
  <c r="B33" i="35"/>
  <c r="C32" i="35"/>
  <c r="P2" i="40"/>
  <c r="Q7" i="40"/>
  <c r="P6" i="40"/>
  <c r="P3" i="40"/>
  <c r="P8" i="40"/>
  <c r="P329" i="38"/>
  <c r="R166" i="38"/>
  <c r="Q167" i="38"/>
  <c r="O168" i="38"/>
  <c r="O234" i="38"/>
  <c r="N235" i="38"/>
  <c r="N236" i="38" s="1"/>
  <c r="M176" i="41"/>
  <c r="M177" i="41" s="1"/>
  <c r="O5" i="31"/>
  <c r="M5" i="31"/>
  <c r="N5" i="31"/>
  <c r="P5" i="31"/>
  <c r="Q5" i="31"/>
  <c r="R5" i="31"/>
  <c r="S5" i="31"/>
  <c r="T5" i="31"/>
  <c r="N55" i="40"/>
  <c r="M66" i="40"/>
  <c r="E25" i="35"/>
  <c r="R21" i="35"/>
  <c r="S20" i="35"/>
  <c r="N2" i="42"/>
  <c r="M47" i="42"/>
  <c r="M1" i="42"/>
  <c r="L187" i="40"/>
  <c r="O120" i="41"/>
  <c r="U30" i="41"/>
  <c r="T31" i="41"/>
  <c r="W74" i="40"/>
  <c r="V75" i="40"/>
  <c r="O371" i="41"/>
  <c r="P359" i="41"/>
  <c r="J32" i="40"/>
  <c r="O3" i="41"/>
  <c r="O6" i="41"/>
  <c r="P7" i="41"/>
  <c r="O8" i="41"/>
  <c r="O2" i="41"/>
  <c r="L434" i="38"/>
  <c r="L406" i="38" s="1"/>
  <c r="L419" i="38" s="1"/>
  <c r="G42" i="31"/>
  <c r="AF42" i="31"/>
  <c r="AF44" i="31" s="1"/>
  <c r="L32" i="41"/>
  <c r="G330" i="41"/>
  <c r="K406" i="38"/>
  <c r="K419" i="38" s="1"/>
  <c r="P399" i="41"/>
  <c r="O411" i="41"/>
  <c r="U5" i="31"/>
  <c r="G19" i="31"/>
  <c r="U19" i="31" s="1"/>
  <c r="AG19" i="31"/>
  <c r="H43" i="31"/>
  <c r="U53" i="40"/>
  <c r="T54" i="40"/>
  <c r="R95" i="41"/>
  <c r="Q96" i="41"/>
  <c r="N171" i="41"/>
  <c r="N173" i="41" s="1"/>
  <c r="N239" i="41"/>
  <c r="N79" i="41"/>
  <c r="N100" i="41"/>
  <c r="N58" i="41"/>
  <c r="N175" i="41"/>
  <c r="W96" i="40"/>
  <c r="X95" i="40"/>
  <c r="H104" i="39"/>
  <c r="N169" i="40"/>
  <c r="M178" i="40"/>
  <c r="U26" i="43"/>
  <c r="U23" i="43"/>
  <c r="N97" i="41"/>
  <c r="M108" i="41"/>
  <c r="N357" i="38"/>
  <c r="O338" i="38"/>
  <c r="S41" i="31"/>
  <c r="S44" i="31" s="1"/>
  <c r="H330" i="41"/>
  <c r="N55" i="41"/>
  <c r="M66" i="41"/>
  <c r="M397" i="38"/>
  <c r="M375" i="38"/>
  <c r="M394" i="38"/>
  <c r="M374" i="38"/>
  <c r="Q364" i="40"/>
  <c r="P384" i="40"/>
  <c r="P376" i="40"/>
  <c r="N97" i="40"/>
  <c r="M108" i="40"/>
  <c r="L120" i="40"/>
  <c r="AI17" i="35"/>
  <c r="AB17" i="35"/>
  <c r="T18" i="35"/>
  <c r="M249" i="40"/>
  <c r="N238" i="40"/>
  <c r="M87" i="40"/>
  <c r="N76" i="40"/>
  <c r="U25" i="43"/>
  <c r="U24" i="43"/>
  <c r="T168" i="40"/>
  <c r="U167" i="40"/>
  <c r="V6" i="43"/>
  <c r="N168" i="41"/>
  <c r="M6" i="47"/>
  <c r="M5" i="47"/>
  <c r="M4" i="47"/>
  <c r="N3" i="47"/>
  <c r="T18" i="31"/>
  <c r="J43" i="31"/>
  <c r="BC19" i="31"/>
  <c r="H162" i="39"/>
  <c r="P310" i="40" l="1"/>
  <c r="P412" i="40"/>
  <c r="P426" i="40" s="1"/>
  <c r="P441" i="40" s="1"/>
  <c r="Q272" i="40"/>
  <c r="Q328" i="40"/>
  <c r="P230" i="40"/>
  <c r="P160" i="40"/>
  <c r="O87" i="41"/>
  <c r="N12" i="31"/>
  <c r="H69" i="39"/>
  <c r="AK36" i="31"/>
  <c r="AK44" i="31" s="1"/>
  <c r="G36" i="31"/>
  <c r="N36" i="31" s="1"/>
  <c r="N44" i="31" s="1"/>
  <c r="N393" i="38"/>
  <c r="N236" i="41"/>
  <c r="M247" i="41"/>
  <c r="N76" i="38"/>
  <c r="M87" i="38"/>
  <c r="M108" i="38"/>
  <c r="N97" i="38"/>
  <c r="T333" i="40"/>
  <c r="U297" i="40"/>
  <c r="T327" i="40"/>
  <c r="T321" i="40"/>
  <c r="T411" i="38"/>
  <c r="U399" i="38"/>
  <c r="T419" i="38"/>
  <c r="R359" i="38"/>
  <c r="Q371" i="38"/>
  <c r="Q379" i="38"/>
  <c r="T425" i="40"/>
  <c r="T417" i="40"/>
  <c r="U404" i="40"/>
  <c r="P292" i="41"/>
  <c r="P329" i="41"/>
  <c r="P336" i="41" s="1"/>
  <c r="Q290" i="41"/>
  <c r="Q334" i="41" s="1"/>
  <c r="Q288" i="41"/>
  <c r="Q332" i="41" s="1"/>
  <c r="Q285" i="41"/>
  <c r="R284" i="41"/>
  <c r="Q289" i="41"/>
  <c r="Q286" i="41"/>
  <c r="Q330" i="41" s="1"/>
  <c r="Q291" i="41"/>
  <c r="Q335" i="41" s="1"/>
  <c r="Q287" i="41"/>
  <c r="Q331" i="41" s="1"/>
  <c r="P294" i="38"/>
  <c r="O328" i="38"/>
  <c r="O317" i="38"/>
  <c r="O323" i="38"/>
  <c r="S116" i="38"/>
  <c r="R117" i="38"/>
  <c r="R120" i="38" s="1"/>
  <c r="R292" i="40"/>
  <c r="S287" i="40"/>
  <c r="R290" i="40"/>
  <c r="R336" i="40" s="1"/>
  <c r="R294" i="40"/>
  <c r="R340" i="40" s="1"/>
  <c r="R289" i="40"/>
  <c r="R335" i="40" s="1"/>
  <c r="R293" i="40"/>
  <c r="R339" i="40" s="1"/>
  <c r="R291" i="40"/>
  <c r="R337" i="40" s="1"/>
  <c r="R288" i="40"/>
  <c r="Q334" i="40"/>
  <c r="Q341" i="40" s="1"/>
  <c r="Q295" i="40"/>
  <c r="X234" i="41"/>
  <c r="W235" i="41"/>
  <c r="R75" i="38"/>
  <c r="S74" i="38"/>
  <c r="S167" i="41"/>
  <c r="T166" i="41"/>
  <c r="P362" i="40"/>
  <c r="Q343" i="40"/>
  <c r="O379" i="40"/>
  <c r="O402" i="40"/>
  <c r="O442" i="40" s="1"/>
  <c r="O380" i="40"/>
  <c r="S31" i="38"/>
  <c r="S32" i="38" s="1"/>
  <c r="T30" i="38"/>
  <c r="N421" i="40"/>
  <c r="N420" i="40"/>
  <c r="O273" i="38"/>
  <c r="O433" i="38" s="1"/>
  <c r="O405" i="38" s="1"/>
  <c r="O418" i="38" s="1"/>
  <c r="P398" i="40"/>
  <c r="P383" i="40"/>
  <c r="O272" i="41"/>
  <c r="O225" i="41"/>
  <c r="O226" i="41" s="1"/>
  <c r="O364" i="41"/>
  <c r="O350" i="41"/>
  <c r="O212" i="41"/>
  <c r="O220" i="41" s="1"/>
  <c r="O257" i="41"/>
  <c r="O265" i="41" s="1"/>
  <c r="O156" i="41"/>
  <c r="O275" i="41"/>
  <c r="P140" i="41"/>
  <c r="O155" i="41"/>
  <c r="O157" i="41" s="1"/>
  <c r="O162" i="41"/>
  <c r="O227" i="41"/>
  <c r="O230" i="41"/>
  <c r="O405" i="41"/>
  <c r="O418" i="41" s="1"/>
  <c r="O404" i="41"/>
  <c r="O158" i="41"/>
  <c r="O365" i="41"/>
  <c r="O270" i="41"/>
  <c r="O142" i="41"/>
  <c r="O150" i="41" s="1"/>
  <c r="N171" i="38"/>
  <c r="N173" i="38" s="1"/>
  <c r="N58" i="38"/>
  <c r="N79" i="38"/>
  <c r="N239" i="38"/>
  <c r="N175" i="38"/>
  <c r="N100" i="38"/>
  <c r="O326" i="38"/>
  <c r="O365" i="38" s="1"/>
  <c r="P280" i="40"/>
  <c r="P312" i="40" s="1"/>
  <c r="Q225" i="38"/>
  <c r="Q226" i="38" s="1"/>
  <c r="Q156" i="38"/>
  <c r="Q227" i="38"/>
  <c r="Q155" i="38"/>
  <c r="Q157" i="38" s="1"/>
  <c r="Q275" i="38"/>
  <c r="Q270" i="38"/>
  <c r="Q364" i="38"/>
  <c r="Q405" i="38"/>
  <c r="Q418" i="38" s="1"/>
  <c r="Q404" i="38"/>
  <c r="R140" i="38"/>
  <c r="Q350" i="38"/>
  <c r="Q142" i="38"/>
  <c r="Q150" i="38" s="1"/>
  <c r="Q257" i="38"/>
  <c r="Q265" i="38" s="1"/>
  <c r="Q162" i="38"/>
  <c r="Q272" i="38"/>
  <c r="Q158" i="38"/>
  <c r="Q365" i="38"/>
  <c r="Q212" i="38"/>
  <c r="Q220" i="38" s="1"/>
  <c r="Q230" i="38"/>
  <c r="P75" i="41"/>
  <c r="P76" i="41" s="1"/>
  <c r="Q74" i="41"/>
  <c r="P397" i="40"/>
  <c r="P382" i="40"/>
  <c r="P439" i="40"/>
  <c r="P423" i="40"/>
  <c r="P329" i="40"/>
  <c r="P274" i="40"/>
  <c r="P330" i="40" s="1"/>
  <c r="O3" i="38"/>
  <c r="P7" i="38"/>
  <c r="O8" i="38"/>
  <c r="O6" i="38"/>
  <c r="O2" i="38"/>
  <c r="M176" i="38"/>
  <c r="M177" i="38" s="1"/>
  <c r="M186" i="38" s="1"/>
  <c r="X95" i="38"/>
  <c r="W96" i="38"/>
  <c r="Q227" i="40"/>
  <c r="Q228" i="40" s="1"/>
  <c r="Q229" i="40"/>
  <c r="Q409" i="40"/>
  <c r="Q156" i="40"/>
  <c r="Q158" i="40" s="1"/>
  <c r="Q410" i="40"/>
  <c r="Q424" i="40" s="1"/>
  <c r="Q355" i="40"/>
  <c r="R140" i="40"/>
  <c r="Q163" i="40"/>
  <c r="Q275" i="40"/>
  <c r="Q142" i="40"/>
  <c r="Q150" i="40" s="1"/>
  <c r="Q369" i="40"/>
  <c r="Q278" i="40"/>
  <c r="Q259" i="40"/>
  <c r="Q267" i="40" s="1"/>
  <c r="Q370" i="40"/>
  <c r="Q273" i="40"/>
  <c r="Q157" i="40"/>
  <c r="Q232" i="40"/>
  <c r="Q213" i="40"/>
  <c r="Q221" i="40" s="1"/>
  <c r="Q159" i="40"/>
  <c r="N247" i="38"/>
  <c r="S166" i="38"/>
  <c r="R167" i="38"/>
  <c r="O235" i="38"/>
  <c r="O236" i="38" s="1"/>
  <c r="P234" i="38"/>
  <c r="R338" i="41"/>
  <c r="Q357" i="41"/>
  <c r="O363" i="41"/>
  <c r="O376" i="41" s="1"/>
  <c r="S116" i="41"/>
  <c r="R117" i="41"/>
  <c r="P168" i="38"/>
  <c r="P397" i="41"/>
  <c r="P374" i="41"/>
  <c r="P375" i="41"/>
  <c r="P391" i="41"/>
  <c r="P431" i="41" s="1"/>
  <c r="P394" i="41"/>
  <c r="P366" i="41" s="1"/>
  <c r="P390" i="41"/>
  <c r="P385" i="41"/>
  <c r="R287" i="38"/>
  <c r="R331" i="38" s="1"/>
  <c r="S284" i="38"/>
  <c r="R290" i="38"/>
  <c r="R334" i="38" s="1"/>
  <c r="R288" i="38"/>
  <c r="R332" i="38" s="1"/>
  <c r="R285" i="38"/>
  <c r="R289" i="38"/>
  <c r="R286" i="38"/>
  <c r="R330" i="38" s="1"/>
  <c r="B34" i="35"/>
  <c r="C33" i="35"/>
  <c r="P53" i="38"/>
  <c r="O54" i="38"/>
  <c r="U30" i="40"/>
  <c r="T31" i="40"/>
  <c r="R237" i="40"/>
  <c r="S236" i="40"/>
  <c r="Q6" i="40"/>
  <c r="R7" i="40"/>
  <c r="Q3" i="40"/>
  <c r="Q2" i="40"/>
  <c r="Q8" i="40"/>
  <c r="O430" i="41"/>
  <c r="O403" i="41" s="1"/>
  <c r="O416" i="41" s="1"/>
  <c r="O434" i="41"/>
  <c r="O406" i="41" s="1"/>
  <c r="O419" i="41" s="1"/>
  <c r="O415" i="41"/>
  <c r="O425" i="41"/>
  <c r="O414" i="41"/>
  <c r="O177" i="40"/>
  <c r="T116" i="40"/>
  <c r="S117" i="40"/>
  <c r="AG23" i="35"/>
  <c r="AH22" i="35"/>
  <c r="P58" i="40"/>
  <c r="P79" i="40"/>
  <c r="P100" i="40"/>
  <c r="P241" i="40"/>
  <c r="P172" i="40"/>
  <c r="P174" i="40" s="1"/>
  <c r="P176" i="40"/>
  <c r="Q329" i="38"/>
  <c r="Q323" i="41"/>
  <c r="R294" i="41"/>
  <c r="Q328" i="41"/>
  <c r="Q317" i="41"/>
  <c r="Q53" i="41"/>
  <c r="P54" i="41"/>
  <c r="N176" i="41"/>
  <c r="N177" i="41" s="1"/>
  <c r="N186" i="41" s="1"/>
  <c r="H75" i="39"/>
  <c r="BC43" i="31"/>
  <c r="BC44" i="31" s="1"/>
  <c r="O97" i="40"/>
  <c r="N108" i="40"/>
  <c r="AE5" i="31"/>
  <c r="S95" i="41"/>
  <c r="R96" i="41"/>
  <c r="N249" i="40"/>
  <c r="O238" i="40"/>
  <c r="M32" i="41"/>
  <c r="AC5" i="31"/>
  <c r="AD5" i="31"/>
  <c r="U168" i="40"/>
  <c r="V167" i="40"/>
  <c r="M186" i="41"/>
  <c r="Q376" i="40"/>
  <c r="Q384" i="40"/>
  <c r="R364" i="40"/>
  <c r="P419" i="41"/>
  <c r="P411" i="41"/>
  <c r="Q399" i="41"/>
  <c r="K32" i="40"/>
  <c r="P120" i="41"/>
  <c r="AB5" i="31"/>
  <c r="T42" i="31"/>
  <c r="T44" i="31" s="1"/>
  <c r="AI18" i="35"/>
  <c r="M120" i="40"/>
  <c r="N66" i="41"/>
  <c r="O55" i="41"/>
  <c r="P338" i="38"/>
  <c r="O357" i="38"/>
  <c r="AG43" i="31"/>
  <c r="AG44" i="31" s="1"/>
  <c r="G43" i="31"/>
  <c r="H44" i="31"/>
  <c r="O58" i="41"/>
  <c r="O171" i="41"/>
  <c r="O173" i="41" s="1"/>
  <c r="O79" i="41"/>
  <c r="O175" i="41"/>
  <c r="O239" i="41"/>
  <c r="O100" i="41"/>
  <c r="W75" i="40"/>
  <c r="X74" i="40"/>
  <c r="N66" i="40"/>
  <c r="O55" i="40"/>
  <c r="Z5" i="31"/>
  <c r="N87" i="40"/>
  <c r="O76" i="40"/>
  <c r="AB18" i="35"/>
  <c r="T19" i="35"/>
  <c r="M366" i="38"/>
  <c r="M379" i="38" s="1"/>
  <c r="N374" i="38"/>
  <c r="N375" i="38"/>
  <c r="N397" i="38"/>
  <c r="N394" i="38"/>
  <c r="N366" i="38" s="1"/>
  <c r="N379" i="38" s="1"/>
  <c r="N108" i="41"/>
  <c r="O97" i="41"/>
  <c r="M187" i="40"/>
  <c r="Q359" i="41"/>
  <c r="P379" i="41"/>
  <c r="P371" i="41"/>
  <c r="R22" i="35"/>
  <c r="S21" i="35"/>
  <c r="V5" i="31"/>
  <c r="Y5" i="31"/>
  <c r="V53" i="40"/>
  <c r="U54" i="40"/>
  <c r="P3" i="41"/>
  <c r="P2" i="41"/>
  <c r="P6" i="41"/>
  <c r="P8" i="41"/>
  <c r="Q7" i="41"/>
  <c r="V30" i="41"/>
  <c r="U31" i="41"/>
  <c r="N1" i="42"/>
  <c r="O2" i="42"/>
  <c r="N47" i="42"/>
  <c r="E26" i="35"/>
  <c r="N5" i="47"/>
  <c r="N6" i="47"/>
  <c r="N4" i="47"/>
  <c r="O3" i="47"/>
  <c r="O168" i="41"/>
  <c r="M415" i="38"/>
  <c r="M434" i="38"/>
  <c r="M414" i="38"/>
  <c r="O169" i="40"/>
  <c r="N178" i="40"/>
  <c r="Y95" i="40"/>
  <c r="X96" i="40"/>
  <c r="AG5" i="31"/>
  <c r="AF5" i="31"/>
  <c r="AA5" i="31"/>
  <c r="P331" i="40" l="1"/>
  <c r="Q310" i="40"/>
  <c r="Q412" i="40"/>
  <c r="Q426" i="40" s="1"/>
  <c r="Q441" i="40" s="1"/>
  <c r="R272" i="40"/>
  <c r="R328" i="40"/>
  <c r="P276" i="40"/>
  <c r="Q230" i="40"/>
  <c r="Q160" i="40"/>
  <c r="P87" i="41"/>
  <c r="O236" i="41"/>
  <c r="N247" i="41"/>
  <c r="N108" i="38"/>
  <c r="O97" i="38"/>
  <c r="N87" i="38"/>
  <c r="O76" i="38"/>
  <c r="R379" i="38"/>
  <c r="S359" i="38"/>
  <c r="R371" i="38"/>
  <c r="V399" i="38"/>
  <c r="U419" i="38"/>
  <c r="U411" i="38"/>
  <c r="U333" i="40"/>
  <c r="V297" i="40"/>
  <c r="U321" i="40"/>
  <c r="U327" i="40"/>
  <c r="U417" i="40"/>
  <c r="V404" i="40"/>
  <c r="U425" i="40"/>
  <c r="R290" i="41"/>
  <c r="R334" i="41" s="1"/>
  <c r="S284" i="41"/>
  <c r="R288" i="41"/>
  <c r="R332" i="41" s="1"/>
  <c r="R286" i="41"/>
  <c r="R330" i="41" s="1"/>
  <c r="R285" i="41"/>
  <c r="R289" i="41"/>
  <c r="R291" i="41"/>
  <c r="R335" i="41" s="1"/>
  <c r="R287" i="41"/>
  <c r="R331" i="41" s="1"/>
  <c r="Q329" i="41"/>
  <c r="Q336" i="41" s="1"/>
  <c r="Q292" i="41"/>
  <c r="P323" i="38"/>
  <c r="P317" i="38"/>
  <c r="Q294" i="38"/>
  <c r="P328" i="38"/>
  <c r="Q280" i="40"/>
  <c r="Q312" i="40" s="1"/>
  <c r="O159" i="41"/>
  <c r="T74" i="38"/>
  <c r="S75" i="38"/>
  <c r="Y234" i="41"/>
  <c r="X235" i="41"/>
  <c r="N176" i="38"/>
  <c r="N177" i="38" s="1"/>
  <c r="N186" i="38" s="1"/>
  <c r="S289" i="40"/>
  <c r="S335" i="40" s="1"/>
  <c r="S291" i="40"/>
  <c r="S337" i="40" s="1"/>
  <c r="S292" i="40"/>
  <c r="S290" i="40"/>
  <c r="S336" i="40" s="1"/>
  <c r="S293" i="40"/>
  <c r="S339" i="40" s="1"/>
  <c r="S288" i="40"/>
  <c r="S294" i="40"/>
  <c r="S340" i="40" s="1"/>
  <c r="T287" i="40"/>
  <c r="U166" i="41"/>
  <c r="T167" i="41"/>
  <c r="R295" i="40"/>
  <c r="R334" i="40"/>
  <c r="R341" i="40" s="1"/>
  <c r="O228" i="41"/>
  <c r="T116" i="38"/>
  <c r="S117" i="38"/>
  <c r="S120" i="38" s="1"/>
  <c r="P363" i="41"/>
  <c r="P376" i="41" s="1"/>
  <c r="O421" i="40"/>
  <c r="O420" i="40"/>
  <c r="O277" i="41"/>
  <c r="O308" i="41" s="1"/>
  <c r="P3" i="38"/>
  <c r="U30" i="38"/>
  <c r="T31" i="38"/>
  <c r="T32" i="38" s="1"/>
  <c r="Q362" i="40"/>
  <c r="R343" i="40"/>
  <c r="P399" i="40"/>
  <c r="P371" i="40" s="1"/>
  <c r="P379" i="40"/>
  <c r="P395" i="40"/>
  <c r="P390" i="40"/>
  <c r="P402" i="40"/>
  <c r="P442" i="40" s="1"/>
  <c r="P396" i="40"/>
  <c r="P438" i="40" s="1"/>
  <c r="P380" i="40"/>
  <c r="X96" i="38"/>
  <c r="Y95" i="38"/>
  <c r="P440" i="40"/>
  <c r="R405" i="38"/>
  <c r="R418" i="38" s="1"/>
  <c r="R364" i="38"/>
  <c r="R404" i="38"/>
  <c r="R365" i="38"/>
  <c r="S140" i="38"/>
  <c r="R272" i="38"/>
  <c r="R227" i="38"/>
  <c r="R270" i="38"/>
  <c r="R275" i="38"/>
  <c r="R230" i="38"/>
  <c r="R155" i="38"/>
  <c r="R157" i="38" s="1"/>
  <c r="R212" i="38"/>
  <c r="R220" i="38" s="1"/>
  <c r="R156" i="38"/>
  <c r="R158" i="38"/>
  <c r="R142" i="38"/>
  <c r="R150" i="38" s="1"/>
  <c r="R257" i="38"/>
  <c r="R265" i="38" s="1"/>
  <c r="R350" i="38"/>
  <c r="R162" i="38"/>
  <c r="R225" i="38"/>
  <c r="R226" i="38" s="1"/>
  <c r="O393" i="41"/>
  <c r="O378" i="41"/>
  <c r="P350" i="41"/>
  <c r="P270" i="41"/>
  <c r="P225" i="41"/>
  <c r="P257" i="41"/>
  <c r="P265" i="41" s="1"/>
  <c r="P158" i="41"/>
  <c r="P227" i="41"/>
  <c r="P212" i="41"/>
  <c r="P220" i="41" s="1"/>
  <c r="P156" i="41"/>
  <c r="P155" i="41"/>
  <c r="P157" i="41" s="1"/>
  <c r="P365" i="41"/>
  <c r="P142" i="41"/>
  <c r="P150" i="41" s="1"/>
  <c r="P364" i="41"/>
  <c r="P230" i="41"/>
  <c r="Q140" i="41"/>
  <c r="P405" i="41"/>
  <c r="P418" i="41" s="1"/>
  <c r="P162" i="41"/>
  <c r="P404" i="41"/>
  <c r="P272" i="41"/>
  <c r="P275" i="41"/>
  <c r="Q393" i="38"/>
  <c r="Q378" i="38"/>
  <c r="Q432" i="38"/>
  <c r="Q417" i="38"/>
  <c r="Q228" i="38"/>
  <c r="Q398" i="40"/>
  <c r="Q383" i="40"/>
  <c r="Q397" i="40"/>
  <c r="Q382" i="40"/>
  <c r="Q423" i="40"/>
  <c r="Q439" i="40"/>
  <c r="O432" i="41"/>
  <c r="O417" i="41"/>
  <c r="O171" i="38"/>
  <c r="O173" i="38" s="1"/>
  <c r="O58" i="38"/>
  <c r="O175" i="38"/>
  <c r="O79" i="38"/>
  <c r="O239" i="38"/>
  <c r="O100" i="38"/>
  <c r="Q377" i="38"/>
  <c r="Q392" i="38"/>
  <c r="Q271" i="38"/>
  <c r="Q324" i="38"/>
  <c r="Q75" i="41"/>
  <c r="Q76" i="41" s="1"/>
  <c r="R74" i="41"/>
  <c r="Q277" i="38"/>
  <c r="Q308" i="38" s="1"/>
  <c r="O271" i="41"/>
  <c r="O325" i="41" s="1"/>
  <c r="O324" i="41"/>
  <c r="Q274" i="40"/>
  <c r="Q276" i="40" s="1"/>
  <c r="Q329" i="40"/>
  <c r="R157" i="40"/>
  <c r="R159" i="40"/>
  <c r="R163" i="40"/>
  <c r="R142" i="40"/>
  <c r="R150" i="40" s="1"/>
  <c r="R273" i="40"/>
  <c r="R370" i="40"/>
  <c r="S140" i="40"/>
  <c r="R409" i="40"/>
  <c r="R355" i="40"/>
  <c r="R259" i="40"/>
  <c r="R267" i="40" s="1"/>
  <c r="R156" i="40"/>
  <c r="R213" i="40"/>
  <c r="R221" i="40" s="1"/>
  <c r="R369" i="40"/>
  <c r="R227" i="40"/>
  <c r="R278" i="40"/>
  <c r="R275" i="40"/>
  <c r="R410" i="40"/>
  <c r="R424" i="40" s="1"/>
  <c r="R229" i="40"/>
  <c r="R232" i="40"/>
  <c r="P2" i="38"/>
  <c r="Q7" i="38"/>
  <c r="P6" i="38"/>
  <c r="P8" i="38"/>
  <c r="Q159" i="38"/>
  <c r="O378" i="38"/>
  <c r="O393" i="38"/>
  <c r="O392" i="41"/>
  <c r="O377" i="41"/>
  <c r="O247" i="38"/>
  <c r="Q100" i="40"/>
  <c r="Q241" i="40"/>
  <c r="Q176" i="40"/>
  <c r="Q79" i="40"/>
  <c r="Q58" i="40"/>
  <c r="Q172" i="40"/>
  <c r="Q174" i="40" s="1"/>
  <c r="Q53" i="38"/>
  <c r="P54" i="38"/>
  <c r="R8" i="40"/>
  <c r="R2" i="40"/>
  <c r="R3" i="40"/>
  <c r="S7" i="40"/>
  <c r="R6" i="40"/>
  <c r="V30" i="40"/>
  <c r="U31" i="40"/>
  <c r="R53" i="41"/>
  <c r="Q54" i="41"/>
  <c r="AG24" i="35"/>
  <c r="AH23" i="35"/>
  <c r="Q168" i="38"/>
  <c r="T116" i="41"/>
  <c r="S117" i="41"/>
  <c r="S237" i="40"/>
  <c r="T236" i="40"/>
  <c r="S290" i="38"/>
  <c r="S334" i="38" s="1"/>
  <c r="S287" i="38"/>
  <c r="S331" i="38" s="1"/>
  <c r="S285" i="38"/>
  <c r="T284" i="38"/>
  <c r="S289" i="38"/>
  <c r="S286" i="38"/>
  <c r="S330" i="38" s="1"/>
  <c r="S288" i="38"/>
  <c r="S332" i="38" s="1"/>
  <c r="R329" i="38"/>
  <c r="P235" i="38"/>
  <c r="Q234" i="38"/>
  <c r="T166" i="38"/>
  <c r="S167" i="38"/>
  <c r="S294" i="41"/>
  <c r="R323" i="41"/>
  <c r="R317" i="41"/>
  <c r="R328" i="41"/>
  <c r="T117" i="40"/>
  <c r="U116" i="40"/>
  <c r="B35" i="35"/>
  <c r="C34" i="35"/>
  <c r="Q397" i="41"/>
  <c r="Q385" i="41"/>
  <c r="Q375" i="41"/>
  <c r="Q374" i="41"/>
  <c r="Q391" i="41"/>
  <c r="Q431" i="41" s="1"/>
  <c r="Q390" i="41"/>
  <c r="Q394" i="41"/>
  <c r="Q366" i="41" s="1"/>
  <c r="P177" i="40"/>
  <c r="P425" i="41"/>
  <c r="P434" i="41"/>
  <c r="P406" i="41" s="1"/>
  <c r="P415" i="41"/>
  <c r="P414" i="41"/>
  <c r="P430" i="41"/>
  <c r="P403" i="41" s="1"/>
  <c r="P416" i="41" s="1"/>
  <c r="R357" i="41"/>
  <c r="S338" i="41"/>
  <c r="O176" i="41"/>
  <c r="O177" i="41" s="1"/>
  <c r="N187" i="40"/>
  <c r="V31" i="41"/>
  <c r="W30" i="41"/>
  <c r="W53" i="40"/>
  <c r="V54" i="40"/>
  <c r="P169" i="40"/>
  <c r="O178" i="40"/>
  <c r="O4" i="47"/>
  <c r="P3" i="47"/>
  <c r="O5" i="47"/>
  <c r="O6" i="47"/>
  <c r="Y28" i="31"/>
  <c r="Y27" i="31"/>
  <c r="Y34" i="31"/>
  <c r="Y45" i="31" s="1"/>
  <c r="Y30" i="31"/>
  <c r="Y29" i="31"/>
  <c r="Z27" i="31"/>
  <c r="Z28" i="31"/>
  <c r="Z34" i="31"/>
  <c r="Z45" i="31" s="1"/>
  <c r="Z29" i="31"/>
  <c r="Z30" i="31"/>
  <c r="T95" i="41"/>
  <c r="S96" i="41"/>
  <c r="N32" i="41"/>
  <c r="O47" i="42"/>
  <c r="O1" i="42"/>
  <c r="P2" i="42"/>
  <c r="M406" i="38"/>
  <c r="M419" i="38" s="1"/>
  <c r="E27" i="35"/>
  <c r="N120" i="40"/>
  <c r="Q120" i="41"/>
  <c r="P239" i="41"/>
  <c r="P175" i="41"/>
  <c r="P58" i="41"/>
  <c r="P79" i="41"/>
  <c r="P171" i="41"/>
  <c r="P173" i="41" s="1"/>
  <c r="P100" i="41"/>
  <c r="P357" i="38"/>
  <c r="Q338" i="38"/>
  <c r="R384" i="40"/>
  <c r="R376" i="40"/>
  <c r="S364" i="40"/>
  <c r="AG28" i="31"/>
  <c r="AG27" i="31"/>
  <c r="AG34" i="31"/>
  <c r="AG45" i="31" s="1"/>
  <c r="AG30" i="31"/>
  <c r="AG29" i="31"/>
  <c r="R23" i="35"/>
  <c r="S22" i="35"/>
  <c r="X75" i="40"/>
  <c r="Y74" i="40"/>
  <c r="AD27" i="31"/>
  <c r="AD34" i="31"/>
  <c r="AD45" i="31" s="1"/>
  <c r="AD28" i="31"/>
  <c r="AD30" i="31"/>
  <c r="AD29" i="31"/>
  <c r="AC27" i="31"/>
  <c r="AC28" i="31"/>
  <c r="AC34" i="31"/>
  <c r="AC45" i="31" s="1"/>
  <c r="AC30" i="31"/>
  <c r="AC29" i="31"/>
  <c r="AB28" i="31"/>
  <c r="AB27" i="31"/>
  <c r="AB34" i="31"/>
  <c r="AB45" i="31" s="1"/>
  <c r="AB30" i="31"/>
  <c r="AB29" i="31"/>
  <c r="N414" i="38"/>
  <c r="N415" i="38"/>
  <c r="N434" i="38"/>
  <c r="N406" i="38" s="1"/>
  <c r="N419" i="38" s="1"/>
  <c r="O66" i="40"/>
  <c r="P55" i="40"/>
  <c r="Q411" i="41"/>
  <c r="R399" i="41"/>
  <c r="Q419" i="41"/>
  <c r="W167" i="40"/>
  <c r="V168" i="40"/>
  <c r="O249" i="40"/>
  <c r="P238" i="40"/>
  <c r="O394" i="38"/>
  <c r="O366" i="38" s="1"/>
  <c r="O379" i="38" s="1"/>
  <c r="O374" i="38"/>
  <c r="O397" i="38"/>
  <c r="O375" i="38"/>
  <c r="AF28" i="31"/>
  <c r="AF27" i="31"/>
  <c r="AF34" i="31"/>
  <c r="AF45" i="31" s="1"/>
  <c r="AF30" i="31"/>
  <c r="AF29" i="31"/>
  <c r="AA34" i="31"/>
  <c r="AA45" i="31" s="1"/>
  <c r="AA27" i="31"/>
  <c r="AA28" i="31"/>
  <c r="AA30" i="31"/>
  <c r="AA29" i="31"/>
  <c r="Y96" i="40"/>
  <c r="Z95" i="40"/>
  <c r="Z96" i="40" s="1"/>
  <c r="P168" i="41"/>
  <c r="O108" i="41"/>
  <c r="P97" i="41"/>
  <c r="O87" i="40"/>
  <c r="P76" i="40"/>
  <c r="AI19" i="35"/>
  <c r="P97" i="40"/>
  <c r="O108" i="40"/>
  <c r="Q379" i="41"/>
  <c r="Q371" i="41"/>
  <c r="R359" i="41"/>
  <c r="U43" i="31"/>
  <c r="U44" i="31" s="1"/>
  <c r="L32" i="40"/>
  <c r="AE27" i="31"/>
  <c r="AE34" i="31"/>
  <c r="AE45" i="31" s="1"/>
  <c r="AE28" i="31"/>
  <c r="AE30" i="31"/>
  <c r="AE29" i="31"/>
  <c r="Q3" i="41"/>
  <c r="Q2" i="41"/>
  <c r="Q6" i="41"/>
  <c r="R7" i="41"/>
  <c r="Q8" i="41"/>
  <c r="AB19" i="35"/>
  <c r="T20" i="35"/>
  <c r="H45" i="31"/>
  <c r="O66" i="41"/>
  <c r="P55" i="41"/>
  <c r="R310" i="40" l="1"/>
  <c r="R412" i="40"/>
  <c r="R426" i="40" s="1"/>
  <c r="R441" i="40" s="1"/>
  <c r="S272" i="40"/>
  <c r="S328" i="40"/>
  <c r="Q87" i="41"/>
  <c r="P236" i="41"/>
  <c r="O247" i="41"/>
  <c r="P76" i="38"/>
  <c r="O87" i="38"/>
  <c r="P97" i="38"/>
  <c r="O108" i="38"/>
  <c r="W404" i="40"/>
  <c r="V417" i="40"/>
  <c r="V425" i="40"/>
  <c r="W297" i="40"/>
  <c r="V321" i="40"/>
  <c r="V333" i="40"/>
  <c r="V327" i="40"/>
  <c r="V419" i="38"/>
  <c r="W399" i="38"/>
  <c r="V411" i="38"/>
  <c r="S379" i="38"/>
  <c r="S371" i="38"/>
  <c r="T359" i="38"/>
  <c r="R292" i="41"/>
  <c r="R329" i="41"/>
  <c r="R336" i="41" s="1"/>
  <c r="S287" i="41"/>
  <c r="S331" i="41" s="1"/>
  <c r="T284" i="41"/>
  <c r="S290" i="41"/>
  <c r="S334" i="41" s="1"/>
  <c r="S288" i="41"/>
  <c r="S332" i="41" s="1"/>
  <c r="S289" i="41"/>
  <c r="S291" i="41"/>
  <c r="S335" i="41" s="1"/>
  <c r="S286" i="41"/>
  <c r="S330" i="41" s="1"/>
  <c r="S285" i="41"/>
  <c r="O176" i="38"/>
  <c r="O177" i="38" s="1"/>
  <c r="O186" i="38" s="1"/>
  <c r="R294" i="38"/>
  <c r="Q328" i="38"/>
  <c r="Q317" i="38"/>
  <c r="Q323" i="38"/>
  <c r="P368" i="40"/>
  <c r="P381" i="40" s="1"/>
  <c r="V166" i="41"/>
  <c r="U167" i="41"/>
  <c r="T294" i="40"/>
  <c r="T340" i="40" s="1"/>
  <c r="U287" i="40"/>
  <c r="T292" i="40"/>
  <c r="T290" i="40"/>
  <c r="T336" i="40" s="1"/>
  <c r="T291" i="40"/>
  <c r="T337" i="40" s="1"/>
  <c r="T288" i="40"/>
  <c r="T293" i="40"/>
  <c r="T339" i="40" s="1"/>
  <c r="T289" i="40"/>
  <c r="T335" i="40" s="1"/>
  <c r="J98" i="40"/>
  <c r="J103" i="40" s="1"/>
  <c r="J104" i="40" s="1"/>
  <c r="T117" i="38"/>
  <c r="T120" i="38" s="1"/>
  <c r="U116" i="38"/>
  <c r="S334" i="40"/>
  <c r="S341" i="40" s="1"/>
  <c r="S295" i="40"/>
  <c r="Z234" i="41"/>
  <c r="Z235" i="41" s="1"/>
  <c r="Y235" i="41"/>
  <c r="U74" i="38"/>
  <c r="T75" i="38"/>
  <c r="S343" i="40"/>
  <c r="R362" i="40"/>
  <c r="Q402" i="40"/>
  <c r="Q442" i="40" s="1"/>
  <c r="Q396" i="40"/>
  <c r="Q438" i="40" s="1"/>
  <c r="Q379" i="40"/>
  <c r="Q390" i="40"/>
  <c r="Q395" i="40"/>
  <c r="Q399" i="40"/>
  <c r="Q371" i="40" s="1"/>
  <c r="Q380" i="40"/>
  <c r="R280" i="40"/>
  <c r="R312" i="40" s="1"/>
  <c r="P159" i="41"/>
  <c r="P411" i="40"/>
  <c r="P420" i="40"/>
  <c r="P421" i="40"/>
  <c r="P432" i="40"/>
  <c r="P437" i="40"/>
  <c r="P408" i="40" s="1"/>
  <c r="P422" i="40" s="1"/>
  <c r="Q177" i="40"/>
  <c r="V30" i="38"/>
  <c r="U31" i="38"/>
  <c r="U32" i="38" s="1"/>
  <c r="R228" i="38"/>
  <c r="Q363" i="41"/>
  <c r="Q376" i="41" s="1"/>
  <c r="R228" i="40"/>
  <c r="R230" i="40" s="1"/>
  <c r="R383" i="40"/>
  <c r="R398" i="40"/>
  <c r="P393" i="41"/>
  <c r="P378" i="41"/>
  <c r="P271" i="41"/>
  <c r="P273" i="41" s="1"/>
  <c r="P324" i="41"/>
  <c r="Y96" i="38"/>
  <c r="Z95" i="38"/>
  <c r="Z96" i="38" s="1"/>
  <c r="Q3" i="38"/>
  <c r="Q6" i="38"/>
  <c r="Q2" i="38"/>
  <c r="Q8" i="38"/>
  <c r="R7" i="38"/>
  <c r="R397" i="40"/>
  <c r="R382" i="40"/>
  <c r="R274" i="40"/>
  <c r="R276" i="40" s="1"/>
  <c r="R329" i="40"/>
  <c r="P432" i="41"/>
  <c r="P417" i="41"/>
  <c r="P171" i="38"/>
  <c r="P173" i="38" s="1"/>
  <c r="P239" i="38"/>
  <c r="P58" i="38"/>
  <c r="P100" i="38"/>
  <c r="P79" i="38"/>
  <c r="P175" i="38"/>
  <c r="O326" i="41"/>
  <c r="T140" i="38"/>
  <c r="S404" i="38"/>
  <c r="S156" i="38"/>
  <c r="S142" i="38"/>
  <c r="S150" i="38" s="1"/>
  <c r="S272" i="38"/>
  <c r="S158" i="38"/>
  <c r="S225" i="38"/>
  <c r="S226" i="38" s="1"/>
  <c r="S227" i="38"/>
  <c r="S212" i="38"/>
  <c r="S220" i="38" s="1"/>
  <c r="S365" i="38"/>
  <c r="S350" i="38"/>
  <c r="S275" i="38"/>
  <c r="S405" i="38"/>
  <c r="S418" i="38" s="1"/>
  <c r="S270" i="38"/>
  <c r="S257" i="38"/>
  <c r="S265" i="38" s="1"/>
  <c r="S155" i="38"/>
  <c r="S157" i="38" s="1"/>
  <c r="S230" i="38"/>
  <c r="S162" i="38"/>
  <c r="S364" i="38"/>
  <c r="N98" i="40"/>
  <c r="N103" i="40" s="1"/>
  <c r="N104" i="40" s="1"/>
  <c r="R158" i="40"/>
  <c r="R160" i="40" s="1"/>
  <c r="O273" i="41"/>
  <c r="O433" i="41" s="1"/>
  <c r="R393" i="38"/>
  <c r="R378" i="38"/>
  <c r="K98" i="40"/>
  <c r="K103" i="40" s="1"/>
  <c r="K104" i="40" s="1"/>
  <c r="Q142" i="41"/>
  <c r="Q150" i="41" s="1"/>
  <c r="Q225" i="41"/>
  <c r="Q226" i="41" s="1"/>
  <c r="Q156" i="41"/>
  <c r="R140" i="41"/>
  <c r="Q404" i="41"/>
  <c r="Q350" i="41"/>
  <c r="Q212" i="41"/>
  <c r="Q220" i="41" s="1"/>
  <c r="Q155" i="41"/>
  <c r="Q405" i="41"/>
  <c r="Q418" i="41" s="1"/>
  <c r="Q162" i="41"/>
  <c r="Q275" i="41"/>
  <c r="Q364" i="41"/>
  <c r="Q365" i="41"/>
  <c r="Q230" i="41"/>
  <c r="Q158" i="41"/>
  <c r="Q227" i="41"/>
  <c r="Q270" i="41"/>
  <c r="Q257" i="41"/>
  <c r="Q265" i="41" s="1"/>
  <c r="Q272" i="41"/>
  <c r="R159" i="38"/>
  <c r="R417" i="38"/>
  <c r="R432" i="38"/>
  <c r="R75" i="41"/>
  <c r="R76" i="41" s="1"/>
  <c r="S74" i="41"/>
  <c r="Q273" i="38"/>
  <c r="Q433" i="38" s="1"/>
  <c r="Q325" i="38"/>
  <c r="Q326" i="38" s="1"/>
  <c r="R392" i="38"/>
  <c r="R377" i="38"/>
  <c r="R439" i="40"/>
  <c r="R423" i="40"/>
  <c r="P377" i="41"/>
  <c r="P392" i="41"/>
  <c r="R277" i="38"/>
  <c r="R308" i="38" s="1"/>
  <c r="S275" i="40"/>
  <c r="S369" i="40"/>
  <c r="S227" i="40"/>
  <c r="S228" i="40" s="1"/>
  <c r="S213" i="40"/>
  <c r="S221" i="40" s="1"/>
  <c r="S273" i="40"/>
  <c r="S157" i="40"/>
  <c r="S355" i="40"/>
  <c r="S229" i="40"/>
  <c r="T140" i="40"/>
  <c r="S163" i="40"/>
  <c r="S159" i="40"/>
  <c r="S409" i="40"/>
  <c r="S259" i="40"/>
  <c r="S267" i="40" s="1"/>
  <c r="S232" i="40"/>
  <c r="S370" i="40"/>
  <c r="S410" i="40"/>
  <c r="S424" i="40" s="1"/>
  <c r="S156" i="40"/>
  <c r="S142" i="40"/>
  <c r="S150" i="40" s="1"/>
  <c r="S278" i="40"/>
  <c r="Q440" i="40"/>
  <c r="Q330" i="40"/>
  <c r="Q331" i="40" s="1"/>
  <c r="P277" i="41"/>
  <c r="P308" i="41" s="1"/>
  <c r="P226" i="41"/>
  <c r="P228" i="41" s="1"/>
  <c r="R324" i="38"/>
  <c r="R271" i="38"/>
  <c r="R325" i="38" s="1"/>
  <c r="T294" i="41"/>
  <c r="S323" i="41"/>
  <c r="S328" i="41"/>
  <c r="S317" i="41"/>
  <c r="U116" i="41"/>
  <c r="T117" i="41"/>
  <c r="R241" i="40"/>
  <c r="R79" i="40"/>
  <c r="R100" i="40"/>
  <c r="R176" i="40"/>
  <c r="R172" i="40"/>
  <c r="R174" i="40" s="1"/>
  <c r="R58" i="40"/>
  <c r="Q54" i="38"/>
  <c r="R53" i="38"/>
  <c r="L98" i="40"/>
  <c r="L103" i="40" s="1"/>
  <c r="L104" i="40" s="1"/>
  <c r="C35" i="35"/>
  <c r="B36" i="35"/>
  <c r="AH24" i="35"/>
  <c r="AG25" i="35"/>
  <c r="S53" i="41"/>
  <c r="R54" i="41"/>
  <c r="W30" i="40"/>
  <c r="V31" i="40"/>
  <c r="U166" i="38"/>
  <c r="T167" i="38"/>
  <c r="R168" i="38"/>
  <c r="S357" i="41"/>
  <c r="T338" i="41"/>
  <c r="R234" i="38"/>
  <c r="Q235" i="38"/>
  <c r="T286" i="38"/>
  <c r="T330" i="38" s="1"/>
  <c r="T290" i="38"/>
  <c r="T334" i="38" s="1"/>
  <c r="T288" i="38"/>
  <c r="T332" i="38" s="1"/>
  <c r="T285" i="38"/>
  <c r="T289" i="38"/>
  <c r="T287" i="38"/>
  <c r="T331" i="38" s="1"/>
  <c r="U284" i="38"/>
  <c r="R397" i="41"/>
  <c r="R394" i="41"/>
  <c r="R366" i="41" s="1"/>
  <c r="R374" i="41"/>
  <c r="R391" i="41"/>
  <c r="R431" i="41" s="1"/>
  <c r="R375" i="41"/>
  <c r="R385" i="41"/>
  <c r="R390" i="41"/>
  <c r="S329" i="38"/>
  <c r="O98" i="40"/>
  <c r="O103" i="40" s="1"/>
  <c r="O104" i="40" s="1"/>
  <c r="P236" i="38"/>
  <c r="T7" i="40"/>
  <c r="S3" i="40"/>
  <c r="S2" i="40"/>
  <c r="S6" i="40"/>
  <c r="S8" i="40"/>
  <c r="Q414" i="41"/>
  <c r="Q415" i="41"/>
  <c r="Q425" i="41"/>
  <c r="Q434" i="41"/>
  <c r="Q406" i="41" s="1"/>
  <c r="Q430" i="41"/>
  <c r="Q403" i="41" s="1"/>
  <c r="Q416" i="41" s="1"/>
  <c r="U117" i="40"/>
  <c r="V116" i="40"/>
  <c r="U236" i="40"/>
  <c r="T237" i="40"/>
  <c r="AB31" i="31"/>
  <c r="Q55" i="41"/>
  <c r="P66" i="41"/>
  <c r="R120" i="41"/>
  <c r="P4" i="47"/>
  <c r="Q3" i="47"/>
  <c r="P5" i="47"/>
  <c r="P6" i="47"/>
  <c r="X30" i="41"/>
  <c r="W31" i="41"/>
  <c r="H31" i="32"/>
  <c r="W168" i="40"/>
  <c r="X167" i="40"/>
  <c r="AC31" i="31"/>
  <c r="AD31" i="31"/>
  <c r="U95" i="41"/>
  <c r="T96" i="41"/>
  <c r="O187" i="40"/>
  <c r="M32" i="40"/>
  <c r="Q168" i="41"/>
  <c r="AF31" i="31"/>
  <c r="O414" i="38"/>
  <c r="O434" i="38"/>
  <c r="O406" i="38" s="1"/>
  <c r="O419" i="38" s="1"/>
  <c r="O415" i="38"/>
  <c r="P249" i="40"/>
  <c r="Q238" i="40"/>
  <c r="Y75" i="40"/>
  <c r="Z74" i="40"/>
  <c r="Z75" i="40" s="1"/>
  <c r="AG31" i="31"/>
  <c r="T364" i="40"/>
  <c r="S376" i="40"/>
  <c r="S384" i="40"/>
  <c r="O120" i="40"/>
  <c r="O32" i="41"/>
  <c r="Z31" i="31"/>
  <c r="P374" i="38"/>
  <c r="P397" i="38"/>
  <c r="P375" i="38"/>
  <c r="R371" i="41"/>
  <c r="S359" i="41"/>
  <c r="R379" i="41"/>
  <c r="R6" i="41"/>
  <c r="R8" i="41"/>
  <c r="S7" i="41"/>
  <c r="R3" i="41"/>
  <c r="R2" i="41"/>
  <c r="AA31" i="31"/>
  <c r="P66" i="40"/>
  <c r="Q55" i="40"/>
  <c r="Q169" i="40"/>
  <c r="P178" i="40"/>
  <c r="W54" i="40"/>
  <c r="X53" i="40"/>
  <c r="AB20" i="35"/>
  <c r="T21" i="35"/>
  <c r="AE31" i="31"/>
  <c r="F98" i="40"/>
  <c r="F103" i="40" s="1"/>
  <c r="I98" i="40"/>
  <c r="I103" i="40" s="1"/>
  <c r="G98" i="40"/>
  <c r="G103" i="40" s="1"/>
  <c r="H98" i="40"/>
  <c r="H103" i="40" s="1"/>
  <c r="M98" i="40"/>
  <c r="M103" i="40" s="1"/>
  <c r="R24" i="35"/>
  <c r="S23" i="35"/>
  <c r="P176" i="41"/>
  <c r="P177" i="41" s="1"/>
  <c r="X45" i="31"/>
  <c r="P87" i="40"/>
  <c r="Q76" i="40"/>
  <c r="R411" i="41"/>
  <c r="R419" i="41"/>
  <c r="S399" i="41"/>
  <c r="P108" i="41"/>
  <c r="Q97" i="41"/>
  <c r="O186" i="41"/>
  <c r="Q171" i="41"/>
  <c r="Q173" i="41" s="1"/>
  <c r="Q239" i="41"/>
  <c r="Q175" i="41"/>
  <c r="Q100" i="41"/>
  <c r="Q58" i="41"/>
  <c r="Q79" i="41"/>
  <c r="P98" i="40"/>
  <c r="P103" i="40" s="1"/>
  <c r="Q97" i="40"/>
  <c r="P108" i="40"/>
  <c r="AI20" i="35"/>
  <c r="Q357" i="38"/>
  <c r="R338" i="38"/>
  <c r="E28" i="35"/>
  <c r="P47" i="42"/>
  <c r="P1" i="42"/>
  <c r="Q2" i="42"/>
  <c r="Y31" i="31"/>
  <c r="S310" i="40" l="1"/>
  <c r="S412" i="40"/>
  <c r="S426" i="40" s="1"/>
  <c r="S441" i="40" s="1"/>
  <c r="T272" i="40"/>
  <c r="T328" i="40"/>
  <c r="S230" i="40"/>
  <c r="R87" i="41"/>
  <c r="Q236" i="41"/>
  <c r="P247" i="41"/>
  <c r="Q97" i="38"/>
  <c r="Q98" i="38" s="1"/>
  <c r="P108" i="38"/>
  <c r="Q76" i="38"/>
  <c r="P87" i="38"/>
  <c r="X297" i="40"/>
  <c r="W321" i="40"/>
  <c r="W327" i="40"/>
  <c r="W333" i="40"/>
  <c r="U359" i="38"/>
  <c r="T371" i="38"/>
  <c r="T379" i="38"/>
  <c r="W419" i="38"/>
  <c r="W411" i="38"/>
  <c r="X399" i="38"/>
  <c r="W417" i="40"/>
  <c r="X404" i="40"/>
  <c r="W425" i="40"/>
  <c r="T291" i="41"/>
  <c r="T335" i="41" s="1"/>
  <c r="T286" i="41"/>
  <c r="T330" i="41" s="1"/>
  <c r="U284" i="41"/>
  <c r="T289" i="41"/>
  <c r="T287" i="41"/>
  <c r="T331" i="41" s="1"/>
  <c r="T290" i="41"/>
  <c r="T334" i="41" s="1"/>
  <c r="T288" i="41"/>
  <c r="T332" i="41" s="1"/>
  <c r="T285" i="41"/>
  <c r="S329" i="41"/>
  <c r="S336" i="41" s="1"/>
  <c r="S292" i="41"/>
  <c r="P176" i="38"/>
  <c r="P177" i="38" s="1"/>
  <c r="P186" i="38" s="1"/>
  <c r="R317" i="38"/>
  <c r="R323" i="38"/>
  <c r="R328" i="38"/>
  <c r="S294" i="38"/>
  <c r="G237" i="41"/>
  <c r="G242" i="41" s="1"/>
  <c r="G243" i="41" s="1"/>
  <c r="R273" i="38"/>
  <c r="Q368" i="40"/>
  <c r="Q381" i="40" s="1"/>
  <c r="R330" i="40"/>
  <c r="R331" i="40" s="1"/>
  <c r="T334" i="40"/>
  <c r="T341" i="40" s="1"/>
  <c r="T295" i="40"/>
  <c r="U117" i="38"/>
  <c r="U120" i="38" s="1"/>
  <c r="V116" i="38"/>
  <c r="R363" i="41"/>
  <c r="R376" i="41" s="1"/>
  <c r="K237" i="41"/>
  <c r="K242" i="41" s="1"/>
  <c r="K243" i="41" s="1"/>
  <c r="V74" i="38"/>
  <c r="U75" i="38"/>
  <c r="V287" i="40"/>
  <c r="U290" i="40"/>
  <c r="U336" i="40" s="1"/>
  <c r="U291" i="40"/>
  <c r="U337" i="40" s="1"/>
  <c r="U293" i="40"/>
  <c r="U339" i="40" s="1"/>
  <c r="U294" i="40"/>
  <c r="U340" i="40" s="1"/>
  <c r="U289" i="40"/>
  <c r="U335" i="40" s="1"/>
  <c r="U288" i="40"/>
  <c r="U292" i="40"/>
  <c r="O237" i="41"/>
  <c r="O242" i="41" s="1"/>
  <c r="O243" i="41" s="1"/>
  <c r="L237" i="41"/>
  <c r="L242" i="41" s="1"/>
  <c r="L243" i="41" s="1"/>
  <c r="M237" i="41"/>
  <c r="M242" i="41" s="1"/>
  <c r="M243" i="41" s="1"/>
  <c r="I237" i="41"/>
  <c r="I242" i="41" s="1"/>
  <c r="I243" i="41" s="1"/>
  <c r="N237" i="41"/>
  <c r="N242" i="41" s="1"/>
  <c r="N243" i="41" s="1"/>
  <c r="H237" i="41"/>
  <c r="H242" i="41" s="1"/>
  <c r="H243" i="41" s="1"/>
  <c r="P237" i="41"/>
  <c r="P242" i="41" s="1"/>
  <c r="P243" i="41" s="1"/>
  <c r="J237" i="41"/>
  <c r="J242" i="41" s="1"/>
  <c r="J243" i="41" s="1"/>
  <c r="Q237" i="41"/>
  <c r="Q242" i="41" s="1"/>
  <c r="Q243" i="41" s="1"/>
  <c r="F237" i="41"/>
  <c r="F242" i="41" s="1"/>
  <c r="F243" i="41" s="1"/>
  <c r="V167" i="41"/>
  <c r="W166" i="41"/>
  <c r="Q277" i="41"/>
  <c r="Q308" i="41" s="1"/>
  <c r="R433" i="38"/>
  <c r="S228" i="38"/>
  <c r="Q420" i="40"/>
  <c r="Q432" i="40"/>
  <c r="Q411" i="40"/>
  <c r="Q421" i="40"/>
  <c r="Q437" i="40"/>
  <c r="Q408" i="40" s="1"/>
  <c r="Q422" i="40" s="1"/>
  <c r="W30" i="38"/>
  <c r="V31" i="38"/>
  <c r="V32" i="38" s="1"/>
  <c r="R380" i="40"/>
  <c r="R402" i="40"/>
  <c r="R442" i="40" s="1"/>
  <c r="R379" i="40"/>
  <c r="R396" i="40"/>
  <c r="R438" i="40" s="1"/>
  <c r="R399" i="40"/>
  <c r="R371" i="40" s="1"/>
  <c r="R390" i="40"/>
  <c r="R395" i="40"/>
  <c r="T343" i="40"/>
  <c r="S362" i="40"/>
  <c r="P433" i="41"/>
  <c r="S280" i="40"/>
  <c r="S312" i="40" s="1"/>
  <c r="Q378" i="41"/>
  <c r="Q393" i="41"/>
  <c r="Q417" i="41"/>
  <c r="Q432" i="41"/>
  <c r="S377" i="38"/>
  <c r="S392" i="38"/>
  <c r="R440" i="40"/>
  <c r="S397" i="40"/>
  <c r="S382" i="40"/>
  <c r="Q392" i="41"/>
  <c r="Q377" i="41"/>
  <c r="R257" i="41"/>
  <c r="R265" i="41" s="1"/>
  <c r="R365" i="41"/>
  <c r="R272" i="41"/>
  <c r="R364" i="41"/>
  <c r="R230" i="41"/>
  <c r="R156" i="41"/>
  <c r="R405" i="41"/>
  <c r="R418" i="41" s="1"/>
  <c r="R142" i="41"/>
  <c r="R150" i="41" s="1"/>
  <c r="R275" i="41"/>
  <c r="R404" i="41"/>
  <c r="R155" i="41"/>
  <c r="R157" i="41" s="1"/>
  <c r="R350" i="41"/>
  <c r="S140" i="41"/>
  <c r="R227" i="41"/>
  <c r="R212" i="41"/>
  <c r="R220" i="41" s="1"/>
  <c r="R270" i="41"/>
  <c r="R162" i="41"/>
  <c r="R225" i="41"/>
  <c r="R226" i="41" s="1"/>
  <c r="R158" i="41"/>
  <c r="S393" i="38"/>
  <c r="S378" i="38"/>
  <c r="S417" i="38"/>
  <c r="S432" i="38"/>
  <c r="N77" i="40"/>
  <c r="N82" i="40" s="1"/>
  <c r="R326" i="38"/>
  <c r="S158" i="40"/>
  <c r="S160" i="40" s="1"/>
  <c r="T410" i="40"/>
  <c r="T424" i="40" s="1"/>
  <c r="T409" i="40"/>
  <c r="T157" i="40"/>
  <c r="T229" i="40"/>
  <c r="T275" i="40"/>
  <c r="T273" i="40"/>
  <c r="T156" i="40"/>
  <c r="T142" i="40"/>
  <c r="T150" i="40" s="1"/>
  <c r="T370" i="40"/>
  <c r="T278" i="40"/>
  <c r="U140" i="40"/>
  <c r="T232" i="40"/>
  <c r="T213" i="40"/>
  <c r="T221" i="40" s="1"/>
  <c r="T159" i="40"/>
  <c r="T227" i="40"/>
  <c r="T355" i="40"/>
  <c r="T369" i="40"/>
  <c r="T259" i="40"/>
  <c r="T267" i="40" s="1"/>
  <c r="T163" i="40"/>
  <c r="T158" i="38"/>
  <c r="T275" i="38"/>
  <c r="T365" i="38"/>
  <c r="T156" i="38"/>
  <c r="T212" i="38"/>
  <c r="T220" i="38" s="1"/>
  <c r="T257" i="38"/>
  <c r="T265" i="38" s="1"/>
  <c r="U140" i="38"/>
  <c r="T404" i="38"/>
  <c r="T364" i="38"/>
  <c r="T155" i="38"/>
  <c r="T157" i="38" s="1"/>
  <c r="T227" i="38"/>
  <c r="T162" i="38"/>
  <c r="T350" i="38"/>
  <c r="T405" i="38"/>
  <c r="T418" i="38" s="1"/>
  <c r="T272" i="38"/>
  <c r="T270" i="38"/>
  <c r="T142" i="38"/>
  <c r="T150" i="38" s="1"/>
  <c r="T230" i="38"/>
  <c r="T225" i="38"/>
  <c r="T226" i="38" s="1"/>
  <c r="T228" i="38" s="1"/>
  <c r="K98" i="38"/>
  <c r="K103" i="38" s="1"/>
  <c r="K104" i="38" s="1"/>
  <c r="J98" i="38"/>
  <c r="J103" i="38" s="1"/>
  <c r="J104" i="38" s="1"/>
  <c r="L98" i="38"/>
  <c r="L103" i="38" s="1"/>
  <c r="L104" i="38" s="1"/>
  <c r="O98" i="38"/>
  <c r="O103" i="38" s="1"/>
  <c r="O104" i="38" s="1"/>
  <c r="N98" i="38"/>
  <c r="N103" i="38" s="1"/>
  <c r="N104" i="38" s="1"/>
  <c r="M98" i="38"/>
  <c r="M103" i="38" s="1"/>
  <c r="M104" i="38" s="1"/>
  <c r="H98" i="38"/>
  <c r="H103" i="38" s="1"/>
  <c r="H104" i="38" s="1"/>
  <c r="G98" i="38"/>
  <c r="G103" i="38" s="1"/>
  <c r="G104" i="38" s="1"/>
  <c r="F98" i="38"/>
  <c r="F103" i="38" s="1"/>
  <c r="F104" i="38" s="1"/>
  <c r="I98" i="38"/>
  <c r="I103" i="38" s="1"/>
  <c r="I104" i="38" s="1"/>
  <c r="Q228" i="41"/>
  <c r="S159" i="38"/>
  <c r="S383" i="40"/>
  <c r="S398" i="40"/>
  <c r="Q271" i="41"/>
  <c r="Q273" i="41" s="1"/>
  <c r="Q324" i="41"/>
  <c r="R3" i="38"/>
  <c r="S7" i="38"/>
  <c r="R6" i="38"/>
  <c r="R8" i="38"/>
  <c r="R2" i="38"/>
  <c r="T74" i="41"/>
  <c r="S75" i="41"/>
  <c r="S76" i="41" s="1"/>
  <c r="Q157" i="41"/>
  <c r="Q159" i="41" s="1"/>
  <c r="S324" i="38"/>
  <c r="S271" i="38"/>
  <c r="S325" i="38" s="1"/>
  <c r="P325" i="41"/>
  <c r="P326" i="41" s="1"/>
  <c r="S274" i="40"/>
  <c r="S276" i="40" s="1"/>
  <c r="S329" i="40"/>
  <c r="Q58" i="38"/>
  <c r="Q239" i="38"/>
  <c r="Q171" i="38"/>
  <c r="Q173" i="38" s="1"/>
  <c r="Q175" i="38"/>
  <c r="Q79" i="38"/>
  <c r="Q100" i="38"/>
  <c r="S423" i="40"/>
  <c r="S439" i="40"/>
  <c r="S277" i="38"/>
  <c r="S308" i="38" s="1"/>
  <c r="P98" i="38"/>
  <c r="P103" i="38" s="1"/>
  <c r="P104" i="38" s="1"/>
  <c r="AG26" i="35"/>
  <c r="AH25" i="35"/>
  <c r="R434" i="41"/>
  <c r="R406" i="41" s="1"/>
  <c r="R430" i="41"/>
  <c r="R403" i="41" s="1"/>
  <c r="R416" i="41" s="1"/>
  <c r="R414" i="41"/>
  <c r="R415" i="41"/>
  <c r="R425" i="41"/>
  <c r="U287" i="38"/>
  <c r="U331" i="38" s="1"/>
  <c r="U290" i="38"/>
  <c r="U334" i="38" s="1"/>
  <c r="U285" i="38"/>
  <c r="V284" i="38"/>
  <c r="U289" i="38"/>
  <c r="U288" i="38"/>
  <c r="U332" i="38" s="1"/>
  <c r="U286" i="38"/>
  <c r="U330" i="38" s="1"/>
  <c r="S168" i="38"/>
  <c r="V236" i="40"/>
  <c r="U237" i="40"/>
  <c r="T323" i="41"/>
  <c r="T328" i="41"/>
  <c r="U294" i="41"/>
  <c r="T317" i="41"/>
  <c r="V117" i="40"/>
  <c r="W116" i="40"/>
  <c r="S172" i="40"/>
  <c r="S174" i="40" s="1"/>
  <c r="S79" i="40"/>
  <c r="S241" i="40"/>
  <c r="S100" i="40"/>
  <c r="S58" i="40"/>
  <c r="S176" i="40"/>
  <c r="P247" i="38"/>
  <c r="Q236" i="38"/>
  <c r="R235" i="38"/>
  <c r="S234" i="38"/>
  <c r="T357" i="41"/>
  <c r="U338" i="41"/>
  <c r="S53" i="38"/>
  <c r="R54" i="38"/>
  <c r="T2" i="40"/>
  <c r="T6" i="40"/>
  <c r="U7" i="40"/>
  <c r="T3" i="40"/>
  <c r="T8" i="40"/>
  <c r="T329" i="38"/>
  <c r="S397" i="41"/>
  <c r="S390" i="41"/>
  <c r="S375" i="41"/>
  <c r="S374" i="41"/>
  <c r="S391" i="41"/>
  <c r="S431" i="41" s="1"/>
  <c r="S394" i="41"/>
  <c r="S366" i="41" s="1"/>
  <c r="S385" i="41"/>
  <c r="X30" i="40"/>
  <c r="W31" i="40"/>
  <c r="C36" i="35"/>
  <c r="B37" i="35"/>
  <c r="V166" i="38"/>
  <c r="U167" i="38"/>
  <c r="U117" i="41"/>
  <c r="V116" i="41"/>
  <c r="T53" i="41"/>
  <c r="S54" i="41"/>
  <c r="R177" i="40"/>
  <c r="N32" i="40"/>
  <c r="V95" i="41"/>
  <c r="U96" i="41"/>
  <c r="R55" i="41"/>
  <c r="Q66" i="41"/>
  <c r="E29" i="35"/>
  <c r="Q108" i="40"/>
  <c r="Q98" i="40"/>
  <c r="Q103" i="40" s="1"/>
  <c r="R97" i="40"/>
  <c r="S419" i="41"/>
  <c r="T399" i="41"/>
  <c r="S411" i="41"/>
  <c r="S379" i="41"/>
  <c r="T359" i="41"/>
  <c r="S371" i="41"/>
  <c r="P120" i="40"/>
  <c r="Y167" i="40"/>
  <c r="X168" i="40"/>
  <c r="S120" i="41"/>
  <c r="P186" i="41"/>
  <c r="R97" i="41"/>
  <c r="Q108" i="41"/>
  <c r="S3" i="41"/>
  <c r="T7" i="41"/>
  <c r="S6" i="41"/>
  <c r="S8" i="41"/>
  <c r="S2" i="41"/>
  <c r="R168" i="41"/>
  <c r="G104" i="40"/>
  <c r="R58" i="41"/>
  <c r="R175" i="41"/>
  <c r="R171" i="41"/>
  <c r="R173" i="41" s="1"/>
  <c r="R79" i="41"/>
  <c r="R239" i="41"/>
  <c r="R100" i="41"/>
  <c r="P104" i="40"/>
  <c r="AI21" i="35"/>
  <c r="P77" i="40"/>
  <c r="P82" i="40" s="1"/>
  <c r="T13" i="47" s="1"/>
  <c r="AB21" i="35"/>
  <c r="T22" i="35"/>
  <c r="P415" i="38"/>
  <c r="P414" i="38"/>
  <c r="U364" i="40"/>
  <c r="T384" i="40"/>
  <c r="T376" i="40"/>
  <c r="Y53" i="40"/>
  <c r="X54" i="40"/>
  <c r="F104" i="40"/>
  <c r="R169" i="40"/>
  <c r="Q178" i="40"/>
  <c r="X31" i="31"/>
  <c r="S338" i="38"/>
  <c r="R357" i="38"/>
  <c r="Q176" i="41"/>
  <c r="Q177" i="41" s="1"/>
  <c r="Q87" i="40"/>
  <c r="R76" i="40"/>
  <c r="Q77" i="40"/>
  <c r="Q82" i="40" s="1"/>
  <c r="U13" i="47" s="1"/>
  <c r="Q66" i="40"/>
  <c r="R55" i="40"/>
  <c r="P187" i="40"/>
  <c r="O77" i="40"/>
  <c r="O82" i="40" s="1"/>
  <c r="S13" i="47" s="1"/>
  <c r="L77" i="40"/>
  <c r="L82" i="40" s="1"/>
  <c r="P13" i="47" s="1"/>
  <c r="K77" i="40"/>
  <c r="K82" i="40" s="1"/>
  <c r="O13" i="47" s="1"/>
  <c r="J77" i="40"/>
  <c r="J82" i="40" s="1"/>
  <c r="N13" i="47" s="1"/>
  <c r="M77" i="40"/>
  <c r="M82" i="40" s="1"/>
  <c r="Q13" i="47" s="1"/>
  <c r="Q385" i="38"/>
  <c r="Q390" i="38"/>
  <c r="Q397" i="38"/>
  <c r="Q391" i="38"/>
  <c r="Q431" i="38" s="1"/>
  <c r="Q394" i="38"/>
  <c r="Q366" i="38" s="1"/>
  <c r="Q375" i="38"/>
  <c r="Q374" i="38"/>
  <c r="M104" i="40"/>
  <c r="R238" i="40"/>
  <c r="Q249" i="40"/>
  <c r="R3" i="47"/>
  <c r="Q5" i="47"/>
  <c r="Q4" i="47"/>
  <c r="Q6" i="47"/>
  <c r="I104" i="40"/>
  <c r="Q47" i="42"/>
  <c r="R2" i="42"/>
  <c r="Q1" i="42"/>
  <c r="R25" i="35"/>
  <c r="S24" i="35"/>
  <c r="H104" i="40"/>
  <c r="P32" i="41"/>
  <c r="F77" i="40"/>
  <c r="F82" i="40" s="1"/>
  <c r="J13" i="47" s="1"/>
  <c r="H77" i="40"/>
  <c r="H82" i="40" s="1"/>
  <c r="L13" i="47" s="1"/>
  <c r="G77" i="40"/>
  <c r="G82" i="40" s="1"/>
  <c r="K13" i="47" s="1"/>
  <c r="I77" i="40"/>
  <c r="I82" i="40" s="1"/>
  <c r="M13" i="47" s="1"/>
  <c r="M14" i="47" s="1"/>
  <c r="H41" i="32"/>
  <c r="I287" i="38" s="1"/>
  <c r="I331" i="38" s="1"/>
  <c r="R31" i="32"/>
  <c r="P79" i="48"/>
  <c r="AI53" i="32"/>
  <c r="Y30" i="41"/>
  <c r="X31" i="41"/>
  <c r="N83" i="40" l="1"/>
  <c r="R13" i="47"/>
  <c r="T310" i="40"/>
  <c r="T412" i="40"/>
  <c r="T426" i="40" s="1"/>
  <c r="T441" i="40" s="1"/>
  <c r="U272" i="40"/>
  <c r="U328" i="40"/>
  <c r="S87" i="41"/>
  <c r="Q247" i="41"/>
  <c r="R236" i="41"/>
  <c r="R76" i="38"/>
  <c r="Q87" i="38"/>
  <c r="R97" i="38"/>
  <c r="Q108" i="38"/>
  <c r="X425" i="40"/>
  <c r="X417" i="40"/>
  <c r="Y404" i="40"/>
  <c r="Y399" i="38"/>
  <c r="X419" i="38"/>
  <c r="X411" i="38"/>
  <c r="U371" i="38"/>
  <c r="U379" i="38"/>
  <c r="V359" i="38"/>
  <c r="X333" i="40"/>
  <c r="Y297" i="40"/>
  <c r="X327" i="40"/>
  <c r="X321" i="40"/>
  <c r="T292" i="41"/>
  <c r="T329" i="41"/>
  <c r="T336" i="41" s="1"/>
  <c r="V284" i="41"/>
  <c r="U288" i="41"/>
  <c r="U332" i="41" s="1"/>
  <c r="U290" i="41"/>
  <c r="U334" i="41" s="1"/>
  <c r="U285" i="41"/>
  <c r="U286" i="41"/>
  <c r="U330" i="41" s="1"/>
  <c r="U289" i="41"/>
  <c r="U291" i="41"/>
  <c r="U335" i="41" s="1"/>
  <c r="U287" i="41"/>
  <c r="U331" i="41" s="1"/>
  <c r="S317" i="38"/>
  <c r="T294" i="38"/>
  <c r="S323" i="38"/>
  <c r="S328" i="38"/>
  <c r="W74" i="38"/>
  <c r="V75" i="38"/>
  <c r="S273" i="38"/>
  <c r="S433" i="38" s="1"/>
  <c r="Q433" i="41"/>
  <c r="X166" i="41"/>
  <c r="W167" i="41"/>
  <c r="W116" i="38"/>
  <c r="V117" i="38"/>
  <c r="V120" i="38" s="1"/>
  <c r="V291" i="40"/>
  <c r="V337" i="40" s="1"/>
  <c r="V294" i="40"/>
  <c r="V340" i="40" s="1"/>
  <c r="V293" i="40"/>
  <c r="V339" i="40" s="1"/>
  <c r="V292" i="40"/>
  <c r="W287" i="40"/>
  <c r="V289" i="40"/>
  <c r="V335" i="40" s="1"/>
  <c r="V290" i="40"/>
  <c r="V336" i="40" s="1"/>
  <c r="V288" i="40"/>
  <c r="U334" i="40"/>
  <c r="U341" i="40" s="1"/>
  <c r="U295" i="40"/>
  <c r="Q176" i="38"/>
  <c r="Q177" i="38" s="1"/>
  <c r="Q186" i="38" s="1"/>
  <c r="R437" i="40"/>
  <c r="R408" i="40" s="1"/>
  <c r="R422" i="40" s="1"/>
  <c r="R420" i="40"/>
  <c r="R432" i="40"/>
  <c r="R411" i="40"/>
  <c r="R421" i="40"/>
  <c r="S379" i="40"/>
  <c r="S380" i="40"/>
  <c r="S396" i="40"/>
  <c r="S438" i="40" s="1"/>
  <c r="S390" i="40"/>
  <c r="S402" i="40"/>
  <c r="S442" i="40" s="1"/>
  <c r="S399" i="40"/>
  <c r="S371" i="40" s="1"/>
  <c r="S395" i="40"/>
  <c r="R228" i="41"/>
  <c r="U343" i="40"/>
  <c r="T362" i="40"/>
  <c r="R368" i="40"/>
  <c r="R381" i="40" s="1"/>
  <c r="X30" i="38"/>
  <c r="W31" i="38"/>
  <c r="W32" i="38" s="1"/>
  <c r="S330" i="40"/>
  <c r="S331" i="40" s="1"/>
  <c r="S440" i="40"/>
  <c r="U74" i="41"/>
  <c r="T75" i="41"/>
  <c r="T76" i="41" s="1"/>
  <c r="T159" i="38"/>
  <c r="T277" i="38"/>
  <c r="T308" i="38" s="1"/>
  <c r="R159" i="41"/>
  <c r="R175" i="38"/>
  <c r="R100" i="38"/>
  <c r="R171" i="38"/>
  <c r="R173" i="38" s="1"/>
  <c r="R239" i="38"/>
  <c r="R79" i="38"/>
  <c r="R58" i="38"/>
  <c r="T392" i="38"/>
  <c r="T377" i="38"/>
  <c r="R432" i="41"/>
  <c r="R417" i="41"/>
  <c r="R393" i="41"/>
  <c r="R378" i="41"/>
  <c r="Q103" i="38"/>
  <c r="Q104" i="38" s="1"/>
  <c r="T324" i="38"/>
  <c r="T271" i="38"/>
  <c r="T325" i="38" s="1"/>
  <c r="T417" i="38"/>
  <c r="T432" i="38"/>
  <c r="U232" i="40"/>
  <c r="U156" i="40"/>
  <c r="U355" i="40"/>
  <c r="U369" i="40"/>
  <c r="U229" i="40"/>
  <c r="U275" i="40"/>
  <c r="V140" i="40"/>
  <c r="U409" i="40"/>
  <c r="U410" i="40"/>
  <c r="U424" i="40" s="1"/>
  <c r="U157" i="40"/>
  <c r="U163" i="40"/>
  <c r="U259" i="40"/>
  <c r="U267" i="40" s="1"/>
  <c r="U142" i="40"/>
  <c r="U150" i="40" s="1"/>
  <c r="U213" i="40"/>
  <c r="U221" i="40" s="1"/>
  <c r="U227" i="40"/>
  <c r="U228" i="40" s="1"/>
  <c r="U370" i="40"/>
  <c r="U273" i="40"/>
  <c r="U278" i="40"/>
  <c r="U159" i="40"/>
  <c r="R277" i="41"/>
  <c r="R308" i="41" s="1"/>
  <c r="Q363" i="38"/>
  <c r="Q376" i="38" s="1"/>
  <c r="S326" i="38"/>
  <c r="U257" i="38"/>
  <c r="U265" i="38" s="1"/>
  <c r="U225" i="38"/>
  <c r="U226" i="38" s="1"/>
  <c r="U156" i="38"/>
  <c r="U350" i="38"/>
  <c r="U404" i="38"/>
  <c r="U227" i="38"/>
  <c r="U405" i="38"/>
  <c r="U418" i="38" s="1"/>
  <c r="U365" i="38"/>
  <c r="U272" i="38"/>
  <c r="U155" i="38"/>
  <c r="U157" i="38" s="1"/>
  <c r="U158" i="38"/>
  <c r="U230" i="38"/>
  <c r="U275" i="38"/>
  <c r="U270" i="38"/>
  <c r="U212" i="38"/>
  <c r="U220" i="38" s="1"/>
  <c r="U162" i="38"/>
  <c r="U364" i="38"/>
  <c r="U142" i="38"/>
  <c r="U150" i="38" s="1"/>
  <c r="V140" i="38"/>
  <c r="T280" i="40"/>
  <c r="T312" i="40" s="1"/>
  <c r="T439" i="40"/>
  <c r="T423" i="40"/>
  <c r="R271" i="41"/>
  <c r="R324" i="41"/>
  <c r="S3" i="38"/>
  <c r="S2" i="38"/>
  <c r="S6" i="38"/>
  <c r="S8" i="38"/>
  <c r="T7" i="38"/>
  <c r="Q325" i="41"/>
  <c r="Q326" i="41" s="1"/>
  <c r="T382" i="40"/>
  <c r="T397" i="40"/>
  <c r="T398" i="40"/>
  <c r="T383" i="40"/>
  <c r="T228" i="40"/>
  <c r="T230" i="40" s="1"/>
  <c r="T158" i="40"/>
  <c r="T160" i="40" s="1"/>
  <c r="S156" i="41"/>
  <c r="S405" i="41"/>
  <c r="S418" i="41" s="1"/>
  <c r="S230" i="41"/>
  <c r="S404" i="41"/>
  <c r="S227" i="41"/>
  <c r="S257" i="41"/>
  <c r="S265" i="41" s="1"/>
  <c r="S350" i="41"/>
  <c r="S275" i="41"/>
  <c r="S158" i="41"/>
  <c r="S270" i="41"/>
  <c r="S155" i="41"/>
  <c r="S212" i="41"/>
  <c r="S220" i="41" s="1"/>
  <c r="S225" i="41"/>
  <c r="S226" i="41" s="1"/>
  <c r="S228" i="41" s="1"/>
  <c r="T140" i="41"/>
  <c r="S272" i="41"/>
  <c r="S162" i="41"/>
  <c r="S364" i="41"/>
  <c r="S365" i="41"/>
  <c r="S142" i="41"/>
  <c r="S150" i="41" s="1"/>
  <c r="S363" i="41"/>
  <c r="S376" i="41" s="1"/>
  <c r="T393" i="38"/>
  <c r="T378" i="38"/>
  <c r="T274" i="40"/>
  <c r="T276" i="40" s="1"/>
  <c r="T329" i="40"/>
  <c r="R377" i="41"/>
  <c r="R392" i="41"/>
  <c r="V167" i="38"/>
  <c r="W166" i="38"/>
  <c r="T58" i="40"/>
  <c r="T176" i="40"/>
  <c r="T100" i="40"/>
  <c r="T79" i="40"/>
  <c r="T172" i="40"/>
  <c r="T174" i="40" s="1"/>
  <c r="T241" i="40"/>
  <c r="T397" i="41"/>
  <c r="T390" i="41"/>
  <c r="T375" i="41"/>
  <c r="T394" i="41"/>
  <c r="T366" i="41" s="1"/>
  <c r="T385" i="41"/>
  <c r="T391" i="41"/>
  <c r="T431" i="41" s="1"/>
  <c r="T374" i="41"/>
  <c r="V290" i="38"/>
  <c r="V334" i="38" s="1"/>
  <c r="V289" i="38"/>
  <c r="V287" i="38"/>
  <c r="V331" i="38" s="1"/>
  <c r="W284" i="38"/>
  <c r="V286" i="38"/>
  <c r="V330" i="38" s="1"/>
  <c r="V288" i="38"/>
  <c r="V332" i="38" s="1"/>
  <c r="V285" i="38"/>
  <c r="T54" i="41"/>
  <c r="U53" i="41"/>
  <c r="C37" i="35"/>
  <c r="B38" i="35"/>
  <c r="U328" i="41"/>
  <c r="U323" i="41"/>
  <c r="U317" i="41"/>
  <c r="V294" i="41"/>
  <c r="U329" i="38"/>
  <c r="T53" i="38"/>
  <c r="S54" i="38"/>
  <c r="Q247" i="38"/>
  <c r="R236" i="38"/>
  <c r="S177" i="40"/>
  <c r="T168" i="38"/>
  <c r="V117" i="41"/>
  <c r="W116" i="41"/>
  <c r="S235" i="38"/>
  <c r="T234" i="38"/>
  <c r="Y30" i="40"/>
  <c r="X31" i="40"/>
  <c r="AH26" i="35"/>
  <c r="AG27" i="35"/>
  <c r="U6" i="40"/>
  <c r="U8" i="40"/>
  <c r="U3" i="40"/>
  <c r="V7" i="40"/>
  <c r="U2" i="40"/>
  <c r="X116" i="40"/>
  <c r="W117" i="40"/>
  <c r="V237" i="40"/>
  <c r="W236" i="40"/>
  <c r="S425" i="41"/>
  <c r="S430" i="41"/>
  <c r="S403" i="41" s="1"/>
  <c r="S416" i="41" s="1"/>
  <c r="S415" i="41"/>
  <c r="S434" i="41"/>
  <c r="S406" i="41" s="1"/>
  <c r="S414" i="41"/>
  <c r="U357" i="41"/>
  <c r="V338" i="41"/>
  <c r="W95" i="41"/>
  <c r="V96" i="41"/>
  <c r="K83" i="40"/>
  <c r="R108" i="41"/>
  <c r="S97" i="41"/>
  <c r="AI22" i="35"/>
  <c r="H83" i="40"/>
  <c r="J83" i="40"/>
  <c r="E30" i="35"/>
  <c r="L83" i="40"/>
  <c r="Q186" i="41"/>
  <c r="G287" i="38"/>
  <c r="H287" i="38"/>
  <c r="O83" i="40"/>
  <c r="T6" i="41"/>
  <c r="T2" i="41"/>
  <c r="U7" i="41"/>
  <c r="T3" i="41"/>
  <c r="T8" i="41"/>
  <c r="T379" i="41"/>
  <c r="U359" i="41"/>
  <c r="T371" i="41"/>
  <c r="Y54" i="40"/>
  <c r="Z53" i="40"/>
  <c r="Z54" i="40" s="1"/>
  <c r="F83" i="40"/>
  <c r="S357" i="38"/>
  <c r="T338" i="38"/>
  <c r="Q104" i="40"/>
  <c r="P100" i="48"/>
  <c r="R249" i="40"/>
  <c r="S238" i="40"/>
  <c r="Q187" i="40"/>
  <c r="T120" i="41"/>
  <c r="S55" i="41"/>
  <c r="R66" i="41"/>
  <c r="Z30" i="41"/>
  <c r="Z31" i="41" s="1"/>
  <c r="Y31" i="41"/>
  <c r="R6" i="47"/>
  <c r="R5" i="47"/>
  <c r="R4" i="47"/>
  <c r="S3" i="47"/>
  <c r="Q83" i="40"/>
  <c r="U384" i="40"/>
  <c r="U376" i="40"/>
  <c r="V364" i="40"/>
  <c r="Q120" i="40"/>
  <c r="S168" i="41"/>
  <c r="S79" i="41"/>
  <c r="S58" i="41"/>
  <c r="S175" i="41"/>
  <c r="S171" i="41"/>
  <c r="S173" i="41" s="1"/>
  <c r="S239" i="41"/>
  <c r="S100" i="41"/>
  <c r="S97" i="40"/>
  <c r="R108" i="40"/>
  <c r="R98" i="40"/>
  <c r="R103" i="40" s="1"/>
  <c r="R26" i="35"/>
  <c r="S25" i="35"/>
  <c r="Q32" i="41"/>
  <c r="I83" i="40"/>
  <c r="R47" i="42"/>
  <c r="S2" i="42"/>
  <c r="R1" i="42"/>
  <c r="R66" i="40"/>
  <c r="S55" i="40"/>
  <c r="R87" i="40"/>
  <c r="S76" i="40"/>
  <c r="R77" i="40"/>
  <c r="R82" i="40" s="1"/>
  <c r="V13" i="47" s="1"/>
  <c r="S169" i="40"/>
  <c r="R178" i="40"/>
  <c r="T411" i="41"/>
  <c r="T419" i="41"/>
  <c r="U399" i="41"/>
  <c r="R397" i="38"/>
  <c r="R390" i="38"/>
  <c r="R391" i="38"/>
  <c r="R431" i="38" s="1"/>
  <c r="R385" i="38"/>
  <c r="R394" i="38"/>
  <c r="R366" i="38" s="1"/>
  <c r="R375" i="38"/>
  <c r="R374" i="38"/>
  <c r="Y168" i="40"/>
  <c r="Z167" i="40"/>
  <c r="Z168" i="40" s="1"/>
  <c r="G83" i="40"/>
  <c r="Q430" i="38"/>
  <c r="Q403" i="38" s="1"/>
  <c r="Q416" i="38" s="1"/>
  <c r="Q415" i="38"/>
  <c r="Q425" i="38"/>
  <c r="Q434" i="38"/>
  <c r="Q406" i="38" s="1"/>
  <c r="Q414" i="38"/>
  <c r="M83" i="40"/>
  <c r="AB22" i="35"/>
  <c r="T23" i="35"/>
  <c r="P83" i="40"/>
  <c r="R176" i="41"/>
  <c r="R177" i="41" s="1"/>
  <c r="O32" i="40"/>
  <c r="U310" i="40" l="1"/>
  <c r="U412" i="40"/>
  <c r="U426" i="40" s="1"/>
  <c r="U441" i="40" s="1"/>
  <c r="V272" i="40"/>
  <c r="V328" i="40"/>
  <c r="U230" i="40"/>
  <c r="T87" i="41"/>
  <c r="S236" i="41"/>
  <c r="R247" i="41"/>
  <c r="R237" i="41"/>
  <c r="R242" i="41" s="1"/>
  <c r="R243" i="41" s="1"/>
  <c r="R108" i="38"/>
  <c r="S97" i="38"/>
  <c r="R98" i="38"/>
  <c r="R103" i="38" s="1"/>
  <c r="R104" i="38" s="1"/>
  <c r="S76" i="38"/>
  <c r="R87" i="38"/>
  <c r="Z399" i="38"/>
  <c r="Y411" i="38"/>
  <c r="Y419" i="38"/>
  <c r="Y333" i="40"/>
  <c r="Y327" i="40"/>
  <c r="Z297" i="40"/>
  <c r="Y321" i="40"/>
  <c r="Y417" i="40"/>
  <c r="Z404" i="40"/>
  <c r="Y425" i="40"/>
  <c r="W359" i="38"/>
  <c r="V371" i="38"/>
  <c r="V379" i="38"/>
  <c r="S368" i="40"/>
  <c r="S381" i="40" s="1"/>
  <c r="U292" i="41"/>
  <c r="U329" i="41"/>
  <c r="U336" i="41" s="1"/>
  <c r="V285" i="41"/>
  <c r="V286" i="41"/>
  <c r="V330" i="41" s="1"/>
  <c r="V287" i="41"/>
  <c r="V331" i="41" s="1"/>
  <c r="V291" i="41"/>
  <c r="V335" i="41" s="1"/>
  <c r="V289" i="41"/>
  <c r="W284" i="41"/>
  <c r="V288" i="41"/>
  <c r="V332" i="41" s="1"/>
  <c r="V290" i="41"/>
  <c r="V334" i="41" s="1"/>
  <c r="T177" i="40"/>
  <c r="T323" i="38"/>
  <c r="T328" i="38"/>
  <c r="U294" i="38"/>
  <c r="T317" i="38"/>
  <c r="R56" i="40"/>
  <c r="V295" i="40"/>
  <c r="V334" i="40"/>
  <c r="V341" i="40" s="1"/>
  <c r="W117" i="38"/>
  <c r="W120" i="38" s="1"/>
  <c r="X116" i="38"/>
  <c r="X287" i="40"/>
  <c r="W291" i="40"/>
  <c r="W337" i="40" s="1"/>
  <c r="W290" i="40"/>
  <c r="W336" i="40" s="1"/>
  <c r="W293" i="40"/>
  <c r="W339" i="40" s="1"/>
  <c r="W292" i="40"/>
  <c r="W288" i="40"/>
  <c r="W289" i="40"/>
  <c r="W335" i="40" s="1"/>
  <c r="W294" i="40"/>
  <c r="W340" i="40" s="1"/>
  <c r="X167" i="41"/>
  <c r="Y166" i="41"/>
  <c r="U228" i="38"/>
  <c r="X74" i="38"/>
  <c r="W75" i="38"/>
  <c r="T273" i="38"/>
  <c r="T433" i="38" s="1"/>
  <c r="V343" i="40"/>
  <c r="U362" i="40"/>
  <c r="S420" i="40"/>
  <c r="S437" i="40"/>
  <c r="S408" i="40" s="1"/>
  <c r="S422" i="40" s="1"/>
  <c r="S411" i="40"/>
  <c r="S432" i="40"/>
  <c r="S421" i="40"/>
  <c r="X31" i="38"/>
  <c r="Y30" i="38"/>
  <c r="U280" i="40"/>
  <c r="U312" i="40" s="1"/>
  <c r="T396" i="40"/>
  <c r="T438" i="40" s="1"/>
  <c r="T379" i="40"/>
  <c r="T380" i="40"/>
  <c r="T402" i="40"/>
  <c r="T442" i="40" s="1"/>
  <c r="T390" i="40"/>
  <c r="T395" i="40"/>
  <c r="T399" i="40"/>
  <c r="T371" i="40" s="1"/>
  <c r="S392" i="41"/>
  <c r="S377" i="41"/>
  <c r="U277" i="38"/>
  <c r="U308" i="38" s="1"/>
  <c r="U432" i="38"/>
  <c r="U417" i="38"/>
  <c r="S277" i="41"/>
  <c r="S308" i="41" s="1"/>
  <c r="S79" i="38"/>
  <c r="S175" i="38"/>
  <c r="S171" i="38"/>
  <c r="S173" i="38" s="1"/>
  <c r="S239" i="38"/>
  <c r="S100" i="38"/>
  <c r="S58" i="38"/>
  <c r="U158" i="40"/>
  <c r="U160" i="40" s="1"/>
  <c r="L35" i="41"/>
  <c r="L34" i="41" s="1"/>
  <c r="T440" i="40"/>
  <c r="T330" i="40"/>
  <c r="T331" i="40" s="1"/>
  <c r="V404" i="38"/>
  <c r="V230" i="38"/>
  <c r="V225" i="38"/>
  <c r="V226" i="38" s="1"/>
  <c r="V272" i="38"/>
  <c r="V405" i="38"/>
  <c r="V418" i="38" s="1"/>
  <c r="V270" i="38"/>
  <c r="V275" i="38"/>
  <c r="V156" i="38"/>
  <c r="V162" i="38"/>
  <c r="V155" i="38"/>
  <c r="V157" i="38" s="1"/>
  <c r="V212" i="38"/>
  <c r="V220" i="38" s="1"/>
  <c r="V257" i="38"/>
  <c r="V265" i="38" s="1"/>
  <c r="V365" i="38"/>
  <c r="W140" i="38"/>
  <c r="V142" i="38"/>
  <c r="V150" i="38" s="1"/>
  <c r="V158" i="38"/>
  <c r="V350" i="38"/>
  <c r="V364" i="38"/>
  <c r="V227" i="38"/>
  <c r="U274" i="40"/>
  <c r="U276" i="40" s="1"/>
  <c r="U329" i="40"/>
  <c r="R176" i="38"/>
  <c r="R177" i="38" s="1"/>
  <c r="R186" i="38" s="1"/>
  <c r="T156" i="41"/>
  <c r="T405" i="41"/>
  <c r="T418" i="41" s="1"/>
  <c r="T270" i="41"/>
  <c r="U140" i="41"/>
  <c r="T350" i="41"/>
  <c r="T155" i="41"/>
  <c r="T157" i="41" s="1"/>
  <c r="T272" i="41"/>
  <c r="T162" i="41"/>
  <c r="T212" i="41"/>
  <c r="T220" i="41" s="1"/>
  <c r="T225" i="41"/>
  <c r="T230" i="41"/>
  <c r="T404" i="41"/>
  <c r="T158" i="41"/>
  <c r="T257" i="41"/>
  <c r="T265" i="41" s="1"/>
  <c r="T227" i="41"/>
  <c r="T142" i="41"/>
  <c r="T150" i="41" s="1"/>
  <c r="T365" i="41"/>
  <c r="T275" i="41"/>
  <c r="T364" i="41"/>
  <c r="U159" i="38"/>
  <c r="U383" i="40"/>
  <c r="U398" i="40"/>
  <c r="U423" i="40"/>
  <c r="U439" i="40"/>
  <c r="R273" i="41"/>
  <c r="R433" i="41" s="1"/>
  <c r="R325" i="41"/>
  <c r="R326" i="41" s="1"/>
  <c r="U377" i="38"/>
  <c r="U392" i="38"/>
  <c r="V369" i="40"/>
  <c r="V355" i="40"/>
  <c r="V142" i="40"/>
  <c r="V150" i="40" s="1"/>
  <c r="V157" i="40"/>
  <c r="V227" i="40"/>
  <c r="V410" i="40"/>
  <c r="V424" i="40" s="1"/>
  <c r="W140" i="40"/>
  <c r="V213" i="40"/>
  <c r="V221" i="40" s="1"/>
  <c r="V275" i="40"/>
  <c r="V159" i="40"/>
  <c r="V229" i="40"/>
  <c r="V278" i="40"/>
  <c r="V370" i="40"/>
  <c r="V232" i="40"/>
  <c r="V163" i="40"/>
  <c r="V156" i="40"/>
  <c r="V259" i="40"/>
  <c r="V267" i="40" s="1"/>
  <c r="V273" i="40"/>
  <c r="V409" i="40"/>
  <c r="U75" i="41"/>
  <c r="U76" i="41" s="1"/>
  <c r="V74" i="41"/>
  <c r="S417" i="41"/>
  <c r="S432" i="41"/>
  <c r="U378" i="38"/>
  <c r="U393" i="38"/>
  <c r="S157" i="41"/>
  <c r="S159" i="41" s="1"/>
  <c r="T3" i="38"/>
  <c r="T6" i="38"/>
  <c r="U7" i="38"/>
  <c r="T8" i="38"/>
  <c r="T2" i="38"/>
  <c r="T326" i="38"/>
  <c r="Q56" i="40"/>
  <c r="S393" i="41"/>
  <c r="S378" i="41"/>
  <c r="S271" i="41"/>
  <c r="S324" i="41"/>
  <c r="U324" i="38"/>
  <c r="U271" i="38"/>
  <c r="U325" i="38" s="1"/>
  <c r="U382" i="40"/>
  <c r="U397" i="40"/>
  <c r="P35" i="41"/>
  <c r="P40" i="41" s="1"/>
  <c r="T235" i="38"/>
  <c r="U234" i="38"/>
  <c r="V329" i="38"/>
  <c r="W117" i="41"/>
  <c r="X116" i="41"/>
  <c r="U176" i="40"/>
  <c r="U241" i="40"/>
  <c r="U58" i="40"/>
  <c r="U79" i="40"/>
  <c r="U172" i="40"/>
  <c r="U174" i="40" s="1"/>
  <c r="U100" i="40"/>
  <c r="AH27" i="35"/>
  <c r="AG28" i="35"/>
  <c r="T54" i="38"/>
  <c r="U53" i="38"/>
  <c r="V53" i="41"/>
  <c r="U54" i="41"/>
  <c r="R170" i="40"/>
  <c r="R180" i="40" s="1"/>
  <c r="R363" i="38"/>
  <c r="R376" i="38" s="1"/>
  <c r="W338" i="41"/>
  <c r="V357" i="41"/>
  <c r="X236" i="40"/>
  <c r="W237" i="40"/>
  <c r="V6" i="40"/>
  <c r="V2" i="40"/>
  <c r="W7" i="40"/>
  <c r="V3" i="40"/>
  <c r="V8" i="40"/>
  <c r="V328" i="41"/>
  <c r="W294" i="41"/>
  <c r="V317" i="41"/>
  <c r="V323" i="41"/>
  <c r="W287" i="38"/>
  <c r="W331" i="38" s="1"/>
  <c r="W288" i="38"/>
  <c r="W332" i="38" s="1"/>
  <c r="X284" i="38"/>
  <c r="W285" i="38"/>
  <c r="W286" i="38"/>
  <c r="W289" i="38"/>
  <c r="W290" i="38"/>
  <c r="W334" i="38" s="1"/>
  <c r="N35" i="41"/>
  <c r="N34" i="41" s="1"/>
  <c r="P170" i="40"/>
  <c r="P180" i="40" s="1"/>
  <c r="U397" i="41"/>
  <c r="U385" i="41"/>
  <c r="U390" i="41"/>
  <c r="U391" i="41"/>
  <c r="U431" i="41" s="1"/>
  <c r="U394" i="41"/>
  <c r="U366" i="41" s="1"/>
  <c r="U375" i="41"/>
  <c r="U374" i="41"/>
  <c r="U168" i="38"/>
  <c r="Z30" i="40"/>
  <c r="Z31" i="40" s="1"/>
  <c r="Y31" i="40"/>
  <c r="M35" i="41"/>
  <c r="M34" i="41" s="1"/>
  <c r="Y116" i="40"/>
  <c r="X117" i="40"/>
  <c r="T363" i="41"/>
  <c r="T376" i="41" s="1"/>
  <c r="X166" i="38"/>
  <c r="W167" i="38"/>
  <c r="R247" i="38"/>
  <c r="S236" i="38"/>
  <c r="B39" i="35"/>
  <c r="C38" i="35"/>
  <c r="T415" i="41"/>
  <c r="T430" i="41"/>
  <c r="T403" i="41" s="1"/>
  <c r="T416" i="41" s="1"/>
  <c r="T434" i="41"/>
  <c r="T406" i="41" s="1"/>
  <c r="T425" i="41"/>
  <c r="T414" i="41"/>
  <c r="S176" i="41"/>
  <c r="S177" i="41" s="1"/>
  <c r="R186" i="41"/>
  <c r="N170" i="40"/>
  <c r="T76" i="40"/>
  <c r="S87" i="40"/>
  <c r="S77" i="40"/>
  <c r="S82" i="40" s="1"/>
  <c r="W13" i="47" s="1"/>
  <c r="R104" i="40"/>
  <c r="T3" i="47"/>
  <c r="S6" i="47"/>
  <c r="S4" i="47"/>
  <c r="S5" i="47"/>
  <c r="T168" i="41"/>
  <c r="G331" i="38"/>
  <c r="R434" i="38"/>
  <c r="R406" i="38" s="1"/>
  <c r="R414" i="38"/>
  <c r="R425" i="38"/>
  <c r="R415" i="38"/>
  <c r="R430" i="38"/>
  <c r="R403" i="38" s="1"/>
  <c r="R416" i="38" s="1"/>
  <c r="R83" i="40"/>
  <c r="L40" i="41"/>
  <c r="T2" i="42"/>
  <c r="S47" i="42"/>
  <c r="S1" i="42"/>
  <c r="T97" i="40"/>
  <c r="S98" i="40"/>
  <c r="S103" i="40" s="1"/>
  <c r="S108" i="40"/>
  <c r="T357" i="38"/>
  <c r="U338" i="38"/>
  <c r="E31" i="35"/>
  <c r="Q170" i="40"/>
  <c r="S66" i="41"/>
  <c r="T55" i="41"/>
  <c r="T55" i="40"/>
  <c r="S66" i="40"/>
  <c r="S56" i="40"/>
  <c r="J35" i="41"/>
  <c r="I35" i="41"/>
  <c r="K35" i="41"/>
  <c r="S374" i="38"/>
  <c r="S375" i="38"/>
  <c r="S397" i="38"/>
  <c r="S390" i="38"/>
  <c r="S394" i="38"/>
  <c r="S366" i="38" s="1"/>
  <c r="S391" i="38"/>
  <c r="S431" i="38" s="1"/>
  <c r="S385" i="38"/>
  <c r="F56" i="40"/>
  <c r="G56" i="40"/>
  <c r="H56" i="40"/>
  <c r="M56" i="40"/>
  <c r="I56" i="40"/>
  <c r="J56" i="40"/>
  <c r="L56" i="40"/>
  <c r="P56" i="40"/>
  <c r="P32" i="40"/>
  <c r="V399" i="41"/>
  <c r="U419" i="41"/>
  <c r="U411" i="41"/>
  <c r="AB23" i="35"/>
  <c r="T24" i="35"/>
  <c r="F170" i="40"/>
  <c r="G170" i="40"/>
  <c r="H170" i="40"/>
  <c r="I170" i="40"/>
  <c r="J170" i="40"/>
  <c r="L170" i="40"/>
  <c r="K170" i="40"/>
  <c r="O170" i="40"/>
  <c r="M170" i="40"/>
  <c r="R187" i="40"/>
  <c r="R27" i="35"/>
  <c r="S26" i="35"/>
  <c r="V384" i="40"/>
  <c r="W364" i="40"/>
  <c r="V376" i="40"/>
  <c r="H35" i="41"/>
  <c r="F35" i="41"/>
  <c r="G35" i="41"/>
  <c r="K56" i="40"/>
  <c r="O56" i="40"/>
  <c r="U379" i="41"/>
  <c r="U371" i="41"/>
  <c r="V359" i="41"/>
  <c r="U3" i="41"/>
  <c r="U6" i="41"/>
  <c r="V7" i="41"/>
  <c r="U8" i="41"/>
  <c r="U2" i="41"/>
  <c r="N56" i="40"/>
  <c r="X95" i="41"/>
  <c r="W96" i="41"/>
  <c r="S170" i="40"/>
  <c r="T169" i="40"/>
  <c r="S178" i="40"/>
  <c r="AI23" i="35"/>
  <c r="U120" i="41"/>
  <c r="T238" i="40"/>
  <c r="S249" i="40"/>
  <c r="Q35" i="41"/>
  <c r="R32" i="41"/>
  <c r="R120" i="40"/>
  <c r="T79" i="41"/>
  <c r="T239" i="41"/>
  <c r="T171" i="41"/>
  <c r="T173" i="41" s="1"/>
  <c r="T175" i="41"/>
  <c r="T100" i="41"/>
  <c r="T58" i="41"/>
  <c r="H331" i="38"/>
  <c r="T97" i="41"/>
  <c r="S108" i="41"/>
  <c r="O35" i="41"/>
  <c r="V310" i="40" l="1"/>
  <c r="V412" i="40"/>
  <c r="V426" i="40" s="1"/>
  <c r="V441" i="40" s="1"/>
  <c r="W272" i="40"/>
  <c r="W328" i="40"/>
  <c r="L61" i="40"/>
  <c r="L67" i="40"/>
  <c r="O61" i="40"/>
  <c r="O67" i="40"/>
  <c r="J61" i="40"/>
  <c r="J67" i="40"/>
  <c r="G61" i="40"/>
  <c r="G62" i="40" s="1"/>
  <c r="G67" i="40"/>
  <c r="S61" i="40"/>
  <c r="S67" i="40"/>
  <c r="I61" i="40"/>
  <c r="I62" i="40" s="1"/>
  <c r="I67" i="40"/>
  <c r="R61" i="40"/>
  <c r="R62" i="40" s="1"/>
  <c r="R67" i="40"/>
  <c r="N61" i="40"/>
  <c r="N62" i="40" s="1"/>
  <c r="N67" i="40"/>
  <c r="K61" i="40"/>
  <c r="K67" i="40"/>
  <c r="F61" i="40"/>
  <c r="F62" i="40" s="1"/>
  <c r="F67" i="40"/>
  <c r="P61" i="40"/>
  <c r="P67" i="40"/>
  <c r="M61" i="40"/>
  <c r="M62" i="40" s="1"/>
  <c r="M67" i="40"/>
  <c r="Q61" i="40"/>
  <c r="Q62" i="40" s="1"/>
  <c r="Q67" i="40"/>
  <c r="H61" i="40"/>
  <c r="H67" i="40"/>
  <c r="U87" i="41"/>
  <c r="S237" i="41"/>
  <c r="S242" i="41" s="1"/>
  <c r="S243" i="41" s="1"/>
  <c r="T236" i="41"/>
  <c r="S247" i="41"/>
  <c r="S108" i="38"/>
  <c r="T97" i="38"/>
  <c r="S98" i="38"/>
  <c r="S103" i="38" s="1"/>
  <c r="S104" i="38" s="1"/>
  <c r="S87" i="38"/>
  <c r="T76" i="38"/>
  <c r="M40" i="41"/>
  <c r="W371" i="38"/>
  <c r="W379" i="38"/>
  <c r="X359" i="38"/>
  <c r="Z321" i="40"/>
  <c r="Z333" i="40"/>
  <c r="Z327" i="40"/>
  <c r="Z417" i="40"/>
  <c r="Z425" i="40"/>
  <c r="Z419" i="38"/>
  <c r="Z411" i="38"/>
  <c r="W288" i="41"/>
  <c r="W332" i="41" s="1"/>
  <c r="X284" i="41"/>
  <c r="W287" i="41"/>
  <c r="W331" i="41" s="1"/>
  <c r="W286" i="41"/>
  <c r="W330" i="41" s="1"/>
  <c r="W290" i="41"/>
  <c r="W334" i="41" s="1"/>
  <c r="W289" i="41"/>
  <c r="W285" i="41"/>
  <c r="W291" i="41"/>
  <c r="W335" i="41" s="1"/>
  <c r="V329" i="41"/>
  <c r="V336" i="41" s="1"/>
  <c r="V292" i="41"/>
  <c r="N40" i="41"/>
  <c r="U328" i="38"/>
  <c r="U323" i="38"/>
  <c r="U317" i="38"/>
  <c r="V294" i="38"/>
  <c r="O35" i="40"/>
  <c r="O40" i="40" s="1"/>
  <c r="P34" i="41"/>
  <c r="P45" i="41" s="1"/>
  <c r="S176" i="38"/>
  <c r="S177" i="38" s="1"/>
  <c r="S186" i="38" s="1"/>
  <c r="U326" i="38"/>
  <c r="W295" i="40"/>
  <c r="W334" i="40"/>
  <c r="W341" i="40" s="1"/>
  <c r="X75" i="38"/>
  <c r="Y74" i="38"/>
  <c r="X117" i="38"/>
  <c r="X120" i="38" s="1"/>
  <c r="Y116" i="38"/>
  <c r="Z166" i="41"/>
  <c r="Z167" i="41" s="1"/>
  <c r="Y167" i="41"/>
  <c r="X288" i="40"/>
  <c r="Y287" i="40"/>
  <c r="X293" i="40"/>
  <c r="X339" i="40" s="1"/>
  <c r="X292" i="40"/>
  <c r="X291" i="40"/>
  <c r="X337" i="40" s="1"/>
  <c r="X289" i="40"/>
  <c r="X335" i="40" s="1"/>
  <c r="X290" i="40"/>
  <c r="X336" i="40" s="1"/>
  <c r="X294" i="40"/>
  <c r="X340" i="40" s="1"/>
  <c r="S325" i="41"/>
  <c r="S326" i="41" s="1"/>
  <c r="V159" i="38"/>
  <c r="M35" i="40"/>
  <c r="M40" i="40" s="1"/>
  <c r="M41" i="40" s="1"/>
  <c r="U380" i="40"/>
  <c r="U402" i="40"/>
  <c r="U442" i="40" s="1"/>
  <c r="U379" i="40"/>
  <c r="U396" i="40"/>
  <c r="U438" i="40" s="1"/>
  <c r="U390" i="40"/>
  <c r="U395" i="40"/>
  <c r="U399" i="40"/>
  <c r="U371" i="40" s="1"/>
  <c r="T411" i="40"/>
  <c r="T432" i="40"/>
  <c r="T420" i="40"/>
  <c r="T421" i="40"/>
  <c r="T437" i="40"/>
  <c r="T408" i="40" s="1"/>
  <c r="T422" i="40" s="1"/>
  <c r="T368" i="40"/>
  <c r="T381" i="40" s="1"/>
  <c r="Z30" i="38"/>
  <c r="Z31" i="38" s="1"/>
  <c r="Y31" i="38"/>
  <c r="V362" i="40"/>
  <c r="W343" i="40"/>
  <c r="R183" i="40"/>
  <c r="R200" i="40" s="1"/>
  <c r="X32" i="38"/>
  <c r="V158" i="40"/>
  <c r="V160" i="40" s="1"/>
  <c r="T432" i="41"/>
  <c r="T417" i="41"/>
  <c r="U212" i="41"/>
  <c r="U220" i="41" s="1"/>
  <c r="U364" i="41"/>
  <c r="U227" i="41"/>
  <c r="U162" i="41"/>
  <c r="U270" i="41"/>
  <c r="U272" i="41"/>
  <c r="U257" i="41"/>
  <c r="U265" i="41" s="1"/>
  <c r="U142" i="41"/>
  <c r="U150" i="41" s="1"/>
  <c r="V140" i="41"/>
  <c r="U156" i="41"/>
  <c r="U405" i="41"/>
  <c r="U418" i="41" s="1"/>
  <c r="U155" i="41"/>
  <c r="U225" i="41"/>
  <c r="U226" i="41" s="1"/>
  <c r="U230" i="41"/>
  <c r="U275" i="41"/>
  <c r="U404" i="41"/>
  <c r="U365" i="41"/>
  <c r="U158" i="41"/>
  <c r="U350" i="41"/>
  <c r="W155" i="38"/>
  <c r="W404" i="38"/>
  <c r="W156" i="38"/>
  <c r="W365" i="38"/>
  <c r="W275" i="38"/>
  <c r="W158" i="38"/>
  <c r="W270" i="38"/>
  <c r="W272" i="38"/>
  <c r="W405" i="38"/>
  <c r="W418" i="38" s="1"/>
  <c r="W350" i="38"/>
  <c r="W225" i="38"/>
  <c r="W226" i="38" s="1"/>
  <c r="W364" i="38"/>
  <c r="W212" i="38"/>
  <c r="W220" i="38" s="1"/>
  <c r="W162" i="38"/>
  <c r="X140" i="38"/>
  <c r="W227" i="38"/>
  <c r="W230" i="38"/>
  <c r="W142" i="38"/>
  <c r="W150" i="38" s="1"/>
  <c r="W257" i="38"/>
  <c r="W265" i="38" s="1"/>
  <c r="V271" i="38"/>
  <c r="V325" i="38" s="1"/>
  <c r="V324" i="38"/>
  <c r="W229" i="40"/>
  <c r="W410" i="40"/>
  <c r="W424" i="40" s="1"/>
  <c r="W156" i="40"/>
  <c r="W227" i="40"/>
  <c r="W159" i="40"/>
  <c r="W213" i="40"/>
  <c r="W221" i="40" s="1"/>
  <c r="W370" i="40"/>
  <c r="W369" i="40"/>
  <c r="W275" i="40"/>
  <c r="W278" i="40"/>
  <c r="W232" i="40"/>
  <c r="W157" i="40"/>
  <c r="W142" i="40"/>
  <c r="W150" i="40" s="1"/>
  <c r="X140" i="40"/>
  <c r="W163" i="40"/>
  <c r="W273" i="40"/>
  <c r="W409" i="40"/>
  <c r="W355" i="40"/>
  <c r="W259" i="40"/>
  <c r="W267" i="40" s="1"/>
  <c r="T392" i="41"/>
  <c r="T377" i="41"/>
  <c r="T271" i="41"/>
  <c r="T273" i="41" s="1"/>
  <c r="T324" i="41"/>
  <c r="V378" i="38"/>
  <c r="V393" i="38"/>
  <c r="S273" i="41"/>
  <c r="S433" i="41" s="1"/>
  <c r="T239" i="38"/>
  <c r="T100" i="38"/>
  <c r="T175" i="38"/>
  <c r="T79" i="38"/>
  <c r="T171" i="38"/>
  <c r="T173" i="38" s="1"/>
  <c r="T58" i="38"/>
  <c r="T277" i="41"/>
  <c r="T308" i="41" s="1"/>
  <c r="T226" i="41"/>
  <c r="T228" i="41" s="1"/>
  <c r="U440" i="40"/>
  <c r="U330" i="40"/>
  <c r="U331" i="40" s="1"/>
  <c r="V75" i="41"/>
  <c r="V76" i="41" s="1"/>
  <c r="W74" i="41"/>
  <c r="V398" i="40"/>
  <c r="V383" i="40"/>
  <c r="V228" i="40"/>
  <c r="V230" i="40" s="1"/>
  <c r="T378" i="41"/>
  <c r="T393" i="41"/>
  <c r="V228" i="38"/>
  <c r="V7" i="38"/>
  <c r="U3" i="38"/>
  <c r="U8" i="38"/>
  <c r="U6" i="38"/>
  <c r="U2" i="38"/>
  <c r="V280" i="40"/>
  <c r="V312" i="40" s="1"/>
  <c r="V377" i="38"/>
  <c r="V392" i="38"/>
  <c r="V423" i="40"/>
  <c r="V439" i="40"/>
  <c r="V417" i="38"/>
  <c r="V432" i="38"/>
  <c r="I35" i="40"/>
  <c r="I40" i="40" s="1"/>
  <c r="I41" i="40" s="1"/>
  <c r="U177" i="40"/>
  <c r="V274" i="40"/>
  <c r="V276" i="40" s="1"/>
  <c r="V329" i="40"/>
  <c r="T159" i="41"/>
  <c r="U273" i="38"/>
  <c r="U433" i="38" s="1"/>
  <c r="V397" i="40"/>
  <c r="V382" i="40"/>
  <c r="V277" i="38"/>
  <c r="V308" i="38" s="1"/>
  <c r="R188" i="40"/>
  <c r="R181" i="40"/>
  <c r="R196" i="40" s="1"/>
  <c r="P200" i="40"/>
  <c r="V168" i="38"/>
  <c r="W2" i="40"/>
  <c r="W3" i="40"/>
  <c r="X7" i="40"/>
  <c r="W8" i="40"/>
  <c r="W6" i="40"/>
  <c r="L35" i="40"/>
  <c r="U430" i="41"/>
  <c r="U403" i="41" s="1"/>
  <c r="U416" i="41" s="1"/>
  <c r="U434" i="41"/>
  <c r="U406" i="41" s="1"/>
  <c r="U414" i="41"/>
  <c r="U415" i="41"/>
  <c r="U425" i="41"/>
  <c r="V172" i="40"/>
  <c r="V174" i="40" s="1"/>
  <c r="V100" i="40"/>
  <c r="V58" i="40"/>
  <c r="V79" i="40"/>
  <c r="V176" i="40"/>
  <c r="V241" i="40"/>
  <c r="AG29" i="35"/>
  <c r="AH28" i="35"/>
  <c r="X117" i="41"/>
  <c r="Y116" i="41"/>
  <c r="B40" i="35"/>
  <c r="C39" i="35"/>
  <c r="Y117" i="40"/>
  <c r="Z116" i="40"/>
  <c r="Z117" i="40" s="1"/>
  <c r="F35" i="40"/>
  <c r="N35" i="40"/>
  <c r="J35" i="40"/>
  <c r="H35" i="40"/>
  <c r="K35" i="40"/>
  <c r="G35" i="40"/>
  <c r="W330" i="38"/>
  <c r="Y236" i="40"/>
  <c r="X237" i="40"/>
  <c r="W53" i="41"/>
  <c r="V54" i="41"/>
  <c r="U235" i="38"/>
  <c r="V234" i="38"/>
  <c r="W329" i="38"/>
  <c r="W328" i="41"/>
  <c r="W323" i="41"/>
  <c r="W317" i="41"/>
  <c r="X294" i="41"/>
  <c r="V397" i="41"/>
  <c r="V394" i="41"/>
  <c r="V366" i="41" s="1"/>
  <c r="V385" i="41"/>
  <c r="V390" i="41"/>
  <c r="V375" i="41"/>
  <c r="V374" i="41"/>
  <c r="V391" i="41"/>
  <c r="V431" i="41" s="1"/>
  <c r="U54" i="38"/>
  <c r="V53" i="38"/>
  <c r="T236" i="38"/>
  <c r="S247" i="38"/>
  <c r="X167" i="38"/>
  <c r="Y166" i="38"/>
  <c r="X290" i="38"/>
  <c r="X334" i="38" s="1"/>
  <c r="X287" i="38"/>
  <c r="X331" i="38" s="1"/>
  <c r="X288" i="38"/>
  <c r="X332" i="38" s="1"/>
  <c r="X286" i="38"/>
  <c r="X330" i="38" s="1"/>
  <c r="X285" i="38"/>
  <c r="Y284" i="38"/>
  <c r="X289" i="38"/>
  <c r="W357" i="41"/>
  <c r="X338" i="41"/>
  <c r="U363" i="41"/>
  <c r="U376" i="41" s="1"/>
  <c r="F40" i="41"/>
  <c r="F34" i="41"/>
  <c r="U97" i="40"/>
  <c r="T108" i="40"/>
  <c r="T98" i="40"/>
  <c r="T103" i="40" s="1"/>
  <c r="U169" i="40"/>
  <c r="T170" i="40"/>
  <c r="T178" i="40"/>
  <c r="H40" i="41"/>
  <c r="H34" i="41"/>
  <c r="S183" i="40"/>
  <c r="S200" i="40" s="1"/>
  <c r="S180" i="40"/>
  <c r="S188" i="40" s="1"/>
  <c r="S186" i="41"/>
  <c r="S363" i="38"/>
  <c r="S376" i="38" s="1"/>
  <c r="U55" i="40"/>
  <c r="T66" i="40"/>
  <c r="T56" i="40"/>
  <c r="S83" i="40"/>
  <c r="K62" i="40"/>
  <c r="T176" i="41"/>
  <c r="T177" i="41" s="1"/>
  <c r="AI24" i="35"/>
  <c r="J62" i="40"/>
  <c r="J183" i="40"/>
  <c r="J200" i="40" s="1"/>
  <c r="J180" i="40"/>
  <c r="O34" i="41"/>
  <c r="P33" i="41" s="1"/>
  <c r="O40" i="41"/>
  <c r="U175" i="41"/>
  <c r="U58" i="41"/>
  <c r="U79" i="41"/>
  <c r="U171" i="41"/>
  <c r="U173" i="41" s="1"/>
  <c r="U239" i="41"/>
  <c r="U100" i="41"/>
  <c r="I183" i="40"/>
  <c r="I200" i="40" s="1"/>
  <c r="I180" i="40"/>
  <c r="T25" i="35"/>
  <c r="AB24" i="35"/>
  <c r="S434" i="38"/>
  <c r="S406" i="38" s="1"/>
  <c r="S415" i="38"/>
  <c r="S425" i="38"/>
  <c r="S414" i="38"/>
  <c r="S430" i="38"/>
  <c r="S403" i="38" s="1"/>
  <c r="S416" i="38" s="1"/>
  <c r="E32" i="35"/>
  <c r="V338" i="38"/>
  <c r="U357" i="38"/>
  <c r="N183" i="40"/>
  <c r="N200" i="40" s="1"/>
  <c r="N180" i="40"/>
  <c r="P188" i="40"/>
  <c r="P181" i="40"/>
  <c r="M41" i="41"/>
  <c r="L42" i="41"/>
  <c r="L45" i="41"/>
  <c r="R35" i="41"/>
  <c r="S32" i="41"/>
  <c r="W384" i="40"/>
  <c r="W376" i="40"/>
  <c r="X364" i="40"/>
  <c r="S27" i="35"/>
  <c r="R28" i="35"/>
  <c r="H183" i="40"/>
  <c r="H200" i="40" s="1"/>
  <c r="H180" i="40"/>
  <c r="H62" i="40"/>
  <c r="K34" i="41"/>
  <c r="L33" i="41" s="1"/>
  <c r="K40" i="41"/>
  <c r="T374" i="38"/>
  <c r="T397" i="38"/>
  <c r="T385" i="38"/>
  <c r="T375" i="38"/>
  <c r="T390" i="38"/>
  <c r="T391" i="38"/>
  <c r="T431" i="38" s="1"/>
  <c r="T394" i="38"/>
  <c r="T366" i="38" s="1"/>
  <c r="T4" i="47"/>
  <c r="U3" i="47"/>
  <c r="T6" i="47"/>
  <c r="T5" i="47"/>
  <c r="T77" i="40"/>
  <c r="T82" i="40" s="1"/>
  <c r="X13" i="47" s="1"/>
  <c r="T87" i="40"/>
  <c r="U76" i="40"/>
  <c r="K183" i="40"/>
  <c r="K200" i="40" s="1"/>
  <c r="K180" i="40"/>
  <c r="L62" i="40"/>
  <c r="V120" i="41"/>
  <c r="L183" i="40"/>
  <c r="L200" i="40" s="1"/>
  <c r="L180" i="40"/>
  <c r="T108" i="41"/>
  <c r="U97" i="41"/>
  <c r="Q40" i="41"/>
  <c r="Q34" i="41"/>
  <c r="V6" i="41"/>
  <c r="V8" i="41"/>
  <c r="V3" i="41"/>
  <c r="W7" i="41"/>
  <c r="V2" i="41"/>
  <c r="P41" i="41"/>
  <c r="G183" i="40"/>
  <c r="G200" i="40" s="1"/>
  <c r="G180" i="40"/>
  <c r="W399" i="41"/>
  <c r="V419" i="41"/>
  <c r="V411" i="41"/>
  <c r="Q32" i="40"/>
  <c r="P35" i="40"/>
  <c r="N42" i="41"/>
  <c r="N45" i="41"/>
  <c r="N33" i="41"/>
  <c r="I34" i="41"/>
  <c r="I40" i="41"/>
  <c r="T66" i="41"/>
  <c r="U55" i="41"/>
  <c r="Q183" i="40"/>
  <c r="Q200" i="40" s="1"/>
  <c r="Q180" i="40"/>
  <c r="T249" i="40"/>
  <c r="U238" i="40"/>
  <c r="S187" i="40"/>
  <c r="V379" i="41"/>
  <c r="V371" i="41"/>
  <c r="W359" i="41"/>
  <c r="S62" i="40"/>
  <c r="M33" i="41"/>
  <c r="M45" i="41"/>
  <c r="M42" i="41"/>
  <c r="Y95" i="41"/>
  <c r="X96" i="41"/>
  <c r="M183" i="40"/>
  <c r="M200" i="40" s="1"/>
  <c r="M180" i="40"/>
  <c r="F183" i="40"/>
  <c r="F200" i="40" s="1"/>
  <c r="F180" i="40"/>
  <c r="N41" i="41"/>
  <c r="J34" i="41"/>
  <c r="J40" i="41"/>
  <c r="U168" i="41"/>
  <c r="T169" i="41"/>
  <c r="S120" i="40"/>
  <c r="O62" i="40"/>
  <c r="G34" i="41"/>
  <c r="G40" i="41"/>
  <c r="O183" i="40"/>
  <c r="O200" i="40" s="1"/>
  <c r="O180" i="40"/>
  <c r="P62" i="40"/>
  <c r="S104" i="40"/>
  <c r="T47" i="42"/>
  <c r="U2" i="42"/>
  <c r="T1" i="42"/>
  <c r="L41" i="41"/>
  <c r="W310" i="40" l="1"/>
  <c r="W412" i="40"/>
  <c r="W426" i="40" s="1"/>
  <c r="W441" i="40" s="1"/>
  <c r="M34" i="40"/>
  <c r="X272" i="40"/>
  <c r="X328" i="40"/>
  <c r="T61" i="40"/>
  <c r="T62" i="40" s="1"/>
  <c r="T67" i="40"/>
  <c r="V87" i="41"/>
  <c r="F35" i="38"/>
  <c r="F34" i="38" s="1"/>
  <c r="F33" i="38" s="1"/>
  <c r="G35" i="38"/>
  <c r="P42" i="41"/>
  <c r="T247" i="41"/>
  <c r="U236" i="41"/>
  <c r="T237" i="41"/>
  <c r="T242" i="41" s="1"/>
  <c r="T243" i="41" s="1"/>
  <c r="U97" i="38"/>
  <c r="T108" i="38"/>
  <c r="T98" i="38"/>
  <c r="T103" i="38" s="1"/>
  <c r="T104" i="38" s="1"/>
  <c r="T87" i="38"/>
  <c r="U76" i="38"/>
  <c r="I34" i="40"/>
  <c r="I45" i="40" s="1"/>
  <c r="L121" i="40"/>
  <c r="L126" i="40" s="1"/>
  <c r="Y359" i="38"/>
  <c r="X379" i="38"/>
  <c r="X371" i="38"/>
  <c r="O34" i="40"/>
  <c r="O42" i="40" s="1"/>
  <c r="W329" i="41"/>
  <c r="W336" i="41" s="1"/>
  <c r="W292" i="41"/>
  <c r="U35" i="38"/>
  <c r="U34" i="38" s="1"/>
  <c r="R121" i="40"/>
  <c r="R119" i="40" s="1"/>
  <c r="V273" i="38"/>
  <c r="X286" i="41"/>
  <c r="X330" i="41" s="1"/>
  <c r="Y284" i="41"/>
  <c r="X291" i="41"/>
  <c r="X335" i="41" s="1"/>
  <c r="X285" i="41"/>
  <c r="X290" i="41"/>
  <c r="X334" i="41" s="1"/>
  <c r="X288" i="41"/>
  <c r="X332" i="41" s="1"/>
  <c r="X289" i="41"/>
  <c r="X287" i="41"/>
  <c r="X331" i="41" s="1"/>
  <c r="V323" i="38"/>
  <c r="W294" i="38"/>
  <c r="V328" i="38"/>
  <c r="V317" i="38"/>
  <c r="L43" i="41"/>
  <c r="M169" i="41"/>
  <c r="M182" i="41" s="1"/>
  <c r="M199" i="41" s="1"/>
  <c r="R195" i="40"/>
  <c r="R190" i="40"/>
  <c r="R192" i="40"/>
  <c r="I169" i="41"/>
  <c r="I182" i="41" s="1"/>
  <c r="I199" i="41" s="1"/>
  <c r="T176" i="38"/>
  <c r="T177" i="38" s="1"/>
  <c r="T186" i="38" s="1"/>
  <c r="R169" i="41"/>
  <c r="N169" i="41"/>
  <c r="F169" i="41"/>
  <c r="Q169" i="41"/>
  <c r="S169" i="41"/>
  <c r="L169" i="41"/>
  <c r="Q35" i="38"/>
  <c r="Q40" i="38" s="1"/>
  <c r="Q41" i="38" s="1"/>
  <c r="Z116" i="38"/>
  <c r="Z117" i="38" s="1"/>
  <c r="Y117" i="38"/>
  <c r="Y120" i="38" s="1"/>
  <c r="G169" i="41"/>
  <c r="K169" i="41"/>
  <c r="J169" i="41"/>
  <c r="O169" i="41"/>
  <c r="Y293" i="40"/>
  <c r="Y291" i="40"/>
  <c r="Y337" i="40" s="1"/>
  <c r="Y288" i="40"/>
  <c r="Y292" i="40"/>
  <c r="Z287" i="40"/>
  <c r="F13" i="42" s="1"/>
  <c r="Y290" i="40"/>
  <c r="Y294" i="40"/>
  <c r="Y340" i="40" s="1"/>
  <c r="Y289" i="40"/>
  <c r="F4" i="42"/>
  <c r="Z74" i="38"/>
  <c r="Z75" i="38" s="1"/>
  <c r="Y75" i="38"/>
  <c r="P169" i="41"/>
  <c r="X295" i="40"/>
  <c r="X334" i="40"/>
  <c r="X341" i="40" s="1"/>
  <c r="H169" i="41"/>
  <c r="R184" i="40"/>
  <c r="X343" i="40"/>
  <c r="W362" i="40"/>
  <c r="J121" i="40"/>
  <c r="J126" i="40" s="1"/>
  <c r="U420" i="40"/>
  <c r="U437" i="40"/>
  <c r="U408" i="40" s="1"/>
  <c r="U422" i="40" s="1"/>
  <c r="U432" i="40"/>
  <c r="U421" i="40"/>
  <c r="U411" i="40"/>
  <c r="R193" i="40"/>
  <c r="V330" i="40"/>
  <c r="V331" i="40" s="1"/>
  <c r="V395" i="40"/>
  <c r="V399" i="40"/>
  <c r="V371" i="40" s="1"/>
  <c r="V380" i="40"/>
  <c r="V390" i="40"/>
  <c r="V402" i="40"/>
  <c r="V442" i="40" s="1"/>
  <c r="V379" i="40"/>
  <c r="V396" i="40"/>
  <c r="V438" i="40" s="1"/>
  <c r="R206" i="40"/>
  <c r="T325" i="41"/>
  <c r="T326" i="41" s="1"/>
  <c r="V433" i="38"/>
  <c r="U277" i="41"/>
  <c r="U308" i="41" s="1"/>
  <c r="O35" i="38"/>
  <c r="R35" i="38"/>
  <c r="M35" i="38"/>
  <c r="H35" i="38"/>
  <c r="W35" i="38"/>
  <c r="J35" i="38"/>
  <c r="N35" i="38"/>
  <c r="K35" i="38"/>
  <c r="P35" i="38"/>
  <c r="S35" i="38"/>
  <c r="I35" i="38"/>
  <c r="L35" i="38"/>
  <c r="T35" i="38"/>
  <c r="S181" i="40"/>
  <c r="S198" i="40" s="1"/>
  <c r="R194" i="40"/>
  <c r="U368" i="40"/>
  <c r="U381" i="40" s="1"/>
  <c r="X35" i="38"/>
  <c r="Y32" i="38"/>
  <c r="R191" i="40"/>
  <c r="R198" i="40"/>
  <c r="V35" i="38"/>
  <c r="M43" i="41"/>
  <c r="V363" i="41"/>
  <c r="V376" i="41" s="1"/>
  <c r="V440" i="40"/>
  <c r="W439" i="40"/>
  <c r="W423" i="40"/>
  <c r="W157" i="38"/>
  <c r="W159" i="38" s="1"/>
  <c r="U157" i="41"/>
  <c r="U159" i="41" s="1"/>
  <c r="V177" i="40"/>
  <c r="T433" i="41"/>
  <c r="W274" i="40"/>
  <c r="W276" i="40" s="1"/>
  <c r="W329" i="40"/>
  <c r="W382" i="40"/>
  <c r="W397" i="40"/>
  <c r="W398" i="40"/>
  <c r="W383" i="40"/>
  <c r="X230" i="38"/>
  <c r="Y140" i="38"/>
  <c r="X364" i="38"/>
  <c r="X275" i="38"/>
  <c r="X142" i="38"/>
  <c r="X150" i="38" s="1"/>
  <c r="X350" i="38"/>
  <c r="X405" i="38"/>
  <c r="X418" i="38" s="1"/>
  <c r="X270" i="38"/>
  <c r="X155" i="38"/>
  <c r="X157" i="38" s="1"/>
  <c r="X225" i="38"/>
  <c r="X226" i="38" s="1"/>
  <c r="X227" i="38"/>
  <c r="X162" i="38"/>
  <c r="X404" i="38"/>
  <c r="X156" i="38"/>
  <c r="X257" i="38"/>
  <c r="X265" i="38" s="1"/>
  <c r="X158" i="38"/>
  <c r="X212" i="38"/>
  <c r="X220" i="38" s="1"/>
  <c r="X272" i="38"/>
  <c r="X365" i="38"/>
  <c r="W324" i="38"/>
  <c r="W271" i="38"/>
  <c r="W273" i="38" s="1"/>
  <c r="U392" i="41"/>
  <c r="U377" i="41"/>
  <c r="W7" i="38"/>
  <c r="V3" i="38"/>
  <c r="V8" i="38"/>
  <c r="V6" i="38"/>
  <c r="V2" i="38"/>
  <c r="W75" i="41"/>
  <c r="W76" i="41" s="1"/>
  <c r="X74" i="41"/>
  <c r="X142" i="40"/>
  <c r="X150" i="40" s="1"/>
  <c r="X213" i="40"/>
  <c r="X221" i="40" s="1"/>
  <c r="X232" i="40"/>
  <c r="Y140" i="40"/>
  <c r="X227" i="40"/>
  <c r="X228" i="40" s="1"/>
  <c r="X369" i="40"/>
  <c r="X156" i="40"/>
  <c r="X229" i="40"/>
  <c r="X409" i="40"/>
  <c r="X275" i="40"/>
  <c r="X157" i="40"/>
  <c r="X370" i="40"/>
  <c r="X355" i="40"/>
  <c r="X163" i="40"/>
  <c r="X410" i="40"/>
  <c r="X424" i="40" s="1"/>
  <c r="X259" i="40"/>
  <c r="X267" i="40" s="1"/>
  <c r="X273" i="40"/>
  <c r="X278" i="40"/>
  <c r="X159" i="40"/>
  <c r="V326" i="38"/>
  <c r="U378" i="41"/>
  <c r="U393" i="41"/>
  <c r="V230" i="41"/>
  <c r="V158" i="41"/>
  <c r="V212" i="41"/>
  <c r="V220" i="41" s="1"/>
  <c r="V272" i="41"/>
  <c r="V142" i="41"/>
  <c r="V150" i="41" s="1"/>
  <c r="V365" i="41"/>
  <c r="V225" i="41"/>
  <c r="V364" i="41"/>
  <c r="W140" i="41"/>
  <c r="V227" i="41"/>
  <c r="V350" i="41"/>
  <c r="V404" i="41"/>
  <c r="V275" i="41"/>
  <c r="V405" i="41"/>
  <c r="V418" i="41" s="1"/>
  <c r="V257" i="41"/>
  <c r="V265" i="41" s="1"/>
  <c r="V155" i="41"/>
  <c r="V270" i="41"/>
  <c r="V162" i="41"/>
  <c r="V156" i="41"/>
  <c r="P43" i="41"/>
  <c r="W277" i="38"/>
  <c r="W308" i="38" s="1"/>
  <c r="U432" i="41"/>
  <c r="U417" i="41"/>
  <c r="W228" i="40"/>
  <c r="W230" i="40" s="1"/>
  <c r="W377" i="38"/>
  <c r="W392" i="38"/>
  <c r="W393" i="38"/>
  <c r="W378" i="38"/>
  <c r="W158" i="40"/>
  <c r="W160" i="40" s="1"/>
  <c r="W228" i="38"/>
  <c r="U58" i="38"/>
  <c r="U239" i="38"/>
  <c r="U100" i="38"/>
  <c r="U79" i="38"/>
  <c r="U175" i="38"/>
  <c r="U171" i="38"/>
  <c r="U173" i="38" s="1"/>
  <c r="W280" i="40"/>
  <c r="W312" i="40" s="1"/>
  <c r="W432" i="38"/>
  <c r="W417" i="38"/>
  <c r="U228" i="41"/>
  <c r="U271" i="41"/>
  <c r="U324" i="41"/>
  <c r="L119" i="40"/>
  <c r="N43" i="41"/>
  <c r="W375" i="41"/>
  <c r="W374" i="41"/>
  <c r="W390" i="41"/>
  <c r="W385" i="41"/>
  <c r="W394" i="41"/>
  <c r="W366" i="41" s="1"/>
  <c r="W397" i="41"/>
  <c r="W391" i="41"/>
  <c r="W431" i="41" s="1"/>
  <c r="J34" i="40"/>
  <c r="J40" i="40"/>
  <c r="J41" i="40" s="1"/>
  <c r="L40" i="40"/>
  <c r="L41" i="40" s="1"/>
  <c r="L34" i="40"/>
  <c r="M33" i="40" s="1"/>
  <c r="N40" i="40"/>
  <c r="N41" i="40" s="1"/>
  <c r="N34" i="40"/>
  <c r="O33" i="40" s="1"/>
  <c r="Y117" i="41"/>
  <c r="Z116" i="41"/>
  <c r="Z117" i="41" s="1"/>
  <c r="M45" i="40"/>
  <c r="M42" i="40"/>
  <c r="M43" i="40" s="1"/>
  <c r="Y7" i="40"/>
  <c r="X6" i="40"/>
  <c r="X8" i="40"/>
  <c r="X2" i="40"/>
  <c r="X3" i="40"/>
  <c r="Y286" i="38"/>
  <c r="Y330" i="38" s="1"/>
  <c r="Y287" i="38"/>
  <c r="Y331" i="38" s="1"/>
  <c r="Y289" i="38"/>
  <c r="Y285" i="38"/>
  <c r="Y288" i="38"/>
  <c r="Y332" i="38" s="1"/>
  <c r="Z284" i="38"/>
  <c r="Y290" i="38"/>
  <c r="V54" i="38"/>
  <c r="W53" i="38"/>
  <c r="V415" i="41"/>
  <c r="V414" i="41"/>
  <c r="V425" i="41"/>
  <c r="V430" i="41"/>
  <c r="V403" i="41" s="1"/>
  <c r="V416" i="41" s="1"/>
  <c r="V434" i="41"/>
  <c r="V406" i="41" s="1"/>
  <c r="F40" i="40"/>
  <c r="F41" i="40" s="1"/>
  <c r="F34" i="40"/>
  <c r="X329" i="38"/>
  <c r="H121" i="40"/>
  <c r="F121" i="40"/>
  <c r="G121" i="40"/>
  <c r="K121" i="40"/>
  <c r="I121" i="40"/>
  <c r="N121" i="40"/>
  <c r="W100" i="40"/>
  <c r="W241" i="40"/>
  <c r="W58" i="40"/>
  <c r="W79" i="40"/>
  <c r="W176" i="40"/>
  <c r="W172" i="40"/>
  <c r="W174" i="40" s="1"/>
  <c r="U236" i="38"/>
  <c r="T247" i="38"/>
  <c r="X323" i="41"/>
  <c r="Y294" i="41"/>
  <c r="X328" i="41"/>
  <c r="X317" i="41"/>
  <c r="O121" i="40"/>
  <c r="M121" i="40"/>
  <c r="Q121" i="40"/>
  <c r="C40" i="35"/>
  <c r="B41" i="35"/>
  <c r="P121" i="40"/>
  <c r="W54" i="41"/>
  <c r="X53" i="41"/>
  <c r="G40" i="40"/>
  <c r="G41" i="40" s="1"/>
  <c r="G34" i="40"/>
  <c r="W168" i="38"/>
  <c r="K40" i="40"/>
  <c r="K41" i="40" s="1"/>
  <c r="K34" i="40"/>
  <c r="T363" i="38"/>
  <c r="T376" i="38" s="1"/>
  <c r="Y338" i="41"/>
  <c r="X357" i="41"/>
  <c r="Z166" i="38"/>
  <c r="Z167" i="38" s="1"/>
  <c r="Y167" i="38"/>
  <c r="I42" i="40"/>
  <c r="I43" i="40" s="1"/>
  <c r="V235" i="38"/>
  <c r="W234" i="38"/>
  <c r="Z236" i="40"/>
  <c r="Z237" i="40" s="1"/>
  <c r="Y237" i="40"/>
  <c r="H40" i="40"/>
  <c r="H34" i="40"/>
  <c r="AH29" i="35"/>
  <c r="AG30" i="35"/>
  <c r="H41" i="41"/>
  <c r="P192" i="40"/>
  <c r="P190" i="40"/>
  <c r="P184" i="40"/>
  <c r="P191" i="40"/>
  <c r="P193" i="40"/>
  <c r="P194" i="40"/>
  <c r="P206" i="40"/>
  <c r="P195" i="40"/>
  <c r="P196" i="40"/>
  <c r="P198" i="40"/>
  <c r="T187" i="40"/>
  <c r="V97" i="40"/>
  <c r="U108" i="40"/>
  <c r="U98" i="40"/>
  <c r="U103" i="40" s="1"/>
  <c r="G41" i="41"/>
  <c r="P34" i="40"/>
  <c r="P40" i="40"/>
  <c r="T83" i="40"/>
  <c r="AB25" i="35"/>
  <c r="T26" i="35"/>
  <c r="T186" i="41"/>
  <c r="T183" i="40"/>
  <c r="T200" i="40" s="1"/>
  <c r="T180" i="40"/>
  <c r="T188" i="40" s="1"/>
  <c r="F188" i="40"/>
  <c r="F181" i="40"/>
  <c r="G42" i="41"/>
  <c r="G45" i="41"/>
  <c r="G33" i="41"/>
  <c r="M188" i="40"/>
  <c r="M181" i="40"/>
  <c r="R32" i="40"/>
  <c r="Q35" i="40"/>
  <c r="V171" i="41"/>
  <c r="V173" i="41" s="1"/>
  <c r="V239" i="41"/>
  <c r="V100" i="41"/>
  <c r="V58" i="41"/>
  <c r="V79" i="41"/>
  <c r="V175" i="41"/>
  <c r="Q42" i="41"/>
  <c r="Q45" i="41"/>
  <c r="Q33" i="41"/>
  <c r="L188" i="40"/>
  <c r="L181" i="40"/>
  <c r="T415" i="38"/>
  <c r="T425" i="38"/>
  <c r="T434" i="38"/>
  <c r="T406" i="38" s="1"/>
  <c r="T414" i="38"/>
  <c r="T430" i="38"/>
  <c r="T403" i="38" s="1"/>
  <c r="T416" i="38" s="1"/>
  <c r="K41" i="41"/>
  <c r="I188" i="40"/>
  <c r="I181" i="40"/>
  <c r="U176" i="41"/>
  <c r="U177" i="41" s="1"/>
  <c r="U66" i="40"/>
  <c r="V55" i="40"/>
  <c r="U56" i="40"/>
  <c r="U170" i="40"/>
  <c r="V169" i="40"/>
  <c r="U178" i="40"/>
  <c r="O188" i="40"/>
  <c r="O181" i="40"/>
  <c r="Z95" i="41"/>
  <c r="Z96" i="41" s="1"/>
  <c r="Y96" i="41"/>
  <c r="X7" i="41"/>
  <c r="W3" i="41"/>
  <c r="W6" i="41"/>
  <c r="W8" i="41"/>
  <c r="W2" i="41"/>
  <c r="Q41" i="41"/>
  <c r="K42" i="41"/>
  <c r="K33" i="41"/>
  <c r="K45" i="41"/>
  <c r="S35" i="41"/>
  <c r="T32" i="41"/>
  <c r="O41" i="41"/>
  <c r="AI25" i="35"/>
  <c r="Q188" i="40"/>
  <c r="Q181" i="40"/>
  <c r="U108" i="41"/>
  <c r="V97" i="41"/>
  <c r="R29" i="35"/>
  <c r="S28" i="35"/>
  <c r="R40" i="41"/>
  <c r="R34" i="41"/>
  <c r="O33" i="41"/>
  <c r="O42" i="41"/>
  <c r="O45" i="41"/>
  <c r="U66" i="41"/>
  <c r="V55" i="41"/>
  <c r="U4" i="47"/>
  <c r="U6" i="47"/>
  <c r="U5" i="47"/>
  <c r="V3" i="47"/>
  <c r="H188" i="40"/>
  <c r="H181" i="40"/>
  <c r="X399" i="41"/>
  <c r="W411" i="41"/>
  <c r="W419" i="41"/>
  <c r="W120" i="41"/>
  <c r="K188" i="40"/>
  <c r="K181" i="40"/>
  <c r="O41" i="40"/>
  <c r="N188" i="40"/>
  <c r="N181" i="40"/>
  <c r="E33" i="35"/>
  <c r="J188" i="40"/>
  <c r="J181" i="40"/>
  <c r="F42" i="41"/>
  <c r="F45" i="41"/>
  <c r="F33" i="41"/>
  <c r="S121" i="40"/>
  <c r="T120" i="40"/>
  <c r="X359" i="41"/>
  <c r="W379" i="41"/>
  <c r="W371" i="41"/>
  <c r="I41" i="41"/>
  <c r="U77" i="40"/>
  <c r="U82" i="40" s="1"/>
  <c r="Y13" i="47" s="1"/>
  <c r="U87" i="40"/>
  <c r="V76" i="40"/>
  <c r="V357" i="38"/>
  <c r="W338" i="38"/>
  <c r="I42" i="41"/>
  <c r="I33" i="41"/>
  <c r="I45" i="41"/>
  <c r="V2" i="42"/>
  <c r="U47" i="42"/>
  <c r="U1" i="42"/>
  <c r="T182" i="41"/>
  <c r="T199" i="41" s="1"/>
  <c r="T179" i="41"/>
  <c r="T187" i="41" s="1"/>
  <c r="J41" i="41"/>
  <c r="V238" i="40"/>
  <c r="U249" i="40"/>
  <c r="R126" i="40"/>
  <c r="V168" i="41"/>
  <c r="U169" i="41"/>
  <c r="J33" i="41"/>
  <c r="J42" i="41"/>
  <c r="J45" i="41"/>
  <c r="G188" i="40"/>
  <c r="G181" i="40"/>
  <c r="X376" i="40"/>
  <c r="Y364" i="40"/>
  <c r="X384" i="40"/>
  <c r="U394" i="38"/>
  <c r="U366" i="38" s="1"/>
  <c r="U397" i="38"/>
  <c r="U385" i="38"/>
  <c r="U375" i="38"/>
  <c r="U390" i="38"/>
  <c r="U391" i="38"/>
  <c r="U431" i="38" s="1"/>
  <c r="U374" i="38"/>
  <c r="H45" i="41"/>
  <c r="H42" i="41"/>
  <c r="H33" i="41"/>
  <c r="T104" i="40"/>
  <c r="F41" i="41"/>
  <c r="S77" i="38" l="1"/>
  <c r="X310" i="40"/>
  <c r="X412" i="40"/>
  <c r="X426" i="40" s="1"/>
  <c r="X441" i="40" s="1"/>
  <c r="Y272" i="40"/>
  <c r="Y328" i="40"/>
  <c r="X230" i="40"/>
  <c r="J119" i="40"/>
  <c r="F22" i="42"/>
  <c r="U61" i="40"/>
  <c r="U67" i="40"/>
  <c r="W87" i="41"/>
  <c r="F77" i="38"/>
  <c r="G77" i="38"/>
  <c r="I77" i="38"/>
  <c r="H77" i="38"/>
  <c r="K77" i="38"/>
  <c r="J77" i="38"/>
  <c r="M77" i="38"/>
  <c r="N77" i="38"/>
  <c r="L77" i="38"/>
  <c r="O77" i="38"/>
  <c r="P77" i="38"/>
  <c r="Q77" i="38"/>
  <c r="T77" i="38"/>
  <c r="U77" i="38"/>
  <c r="R77" i="38"/>
  <c r="I33" i="40"/>
  <c r="Q43" i="41"/>
  <c r="U40" i="38"/>
  <c r="U41" i="38" s="1"/>
  <c r="U247" i="41"/>
  <c r="U237" i="41"/>
  <c r="U242" i="41" s="1"/>
  <c r="U243" i="41" s="1"/>
  <c r="V236" i="41"/>
  <c r="X121" i="38"/>
  <c r="X119" i="38" s="1"/>
  <c r="Q121" i="38"/>
  <c r="Q119" i="38" s="1"/>
  <c r="Q130" i="38" s="1"/>
  <c r="V121" i="41"/>
  <c r="U87" i="38"/>
  <c r="V76" i="38"/>
  <c r="V77" i="38" s="1"/>
  <c r="U98" i="38"/>
  <c r="U103" i="38" s="1"/>
  <c r="U104" i="38" s="1"/>
  <c r="U108" i="38"/>
  <c r="V97" i="38"/>
  <c r="M179" i="41"/>
  <c r="M180" i="41" s="1"/>
  <c r="O45" i="40"/>
  <c r="Z359" i="38"/>
  <c r="Y371" i="38"/>
  <c r="Y379" i="38"/>
  <c r="R121" i="41"/>
  <c r="R126" i="41" s="1"/>
  <c r="Y290" i="41"/>
  <c r="Y334" i="41" s="1"/>
  <c r="Y288" i="41"/>
  <c r="Y332" i="41" s="1"/>
  <c r="Y286" i="41"/>
  <c r="Y330" i="41" s="1"/>
  <c r="Z284" i="41"/>
  <c r="Y285" i="41"/>
  <c r="Y289" i="41"/>
  <c r="Y287" i="41"/>
  <c r="Y331" i="41" s="1"/>
  <c r="Y291" i="41"/>
  <c r="Y335" i="41" s="1"/>
  <c r="X292" i="41"/>
  <c r="X329" i="41"/>
  <c r="X336" i="41" s="1"/>
  <c r="X294" i="38"/>
  <c r="W328" i="38"/>
  <c r="W323" i="38"/>
  <c r="W317" i="38"/>
  <c r="U325" i="41"/>
  <c r="U326" i="41" s="1"/>
  <c r="S196" i="40"/>
  <c r="Q34" i="38"/>
  <c r="Q42" i="38" s="1"/>
  <c r="Q43" i="38" s="1"/>
  <c r="I179" i="41"/>
  <c r="I180" i="41" s="1"/>
  <c r="L121" i="38"/>
  <c r="L119" i="38" s="1"/>
  <c r="U121" i="38"/>
  <c r="U126" i="38" s="1"/>
  <c r="U127" i="38" s="1"/>
  <c r="U128" i="38" s="1"/>
  <c r="W177" i="40"/>
  <c r="R121" i="38"/>
  <c r="R126" i="38" s="1"/>
  <c r="R127" i="38" s="1"/>
  <c r="R128" i="38" s="1"/>
  <c r="Y336" i="40"/>
  <c r="K182" i="41"/>
  <c r="K199" i="41" s="1"/>
  <c r="K179" i="41"/>
  <c r="G179" i="41"/>
  <c r="G182" i="41"/>
  <c r="G199" i="41" s="1"/>
  <c r="N179" i="41"/>
  <c r="N182" i="41"/>
  <c r="N199" i="41" s="1"/>
  <c r="Z294" i="40"/>
  <c r="Z340" i="40" s="1"/>
  <c r="Z293" i="40"/>
  <c r="Z339" i="40" s="1"/>
  <c r="Z292" i="40"/>
  <c r="Z289" i="40"/>
  <c r="Z335" i="40" s="1"/>
  <c r="Z290" i="40"/>
  <c r="Z336" i="40" s="1"/>
  <c r="Z288" i="40"/>
  <c r="Z291" i="40"/>
  <c r="Z337" i="40" s="1"/>
  <c r="T121" i="38"/>
  <c r="F121" i="38"/>
  <c r="S121" i="38"/>
  <c r="W121" i="38"/>
  <c r="F41" i="42"/>
  <c r="F42" i="42"/>
  <c r="L126" i="38"/>
  <c r="L127" i="38" s="1"/>
  <c r="L128" i="38" s="1"/>
  <c r="Q126" i="38"/>
  <c r="Q127" i="38" s="1"/>
  <c r="Q128" i="38" s="1"/>
  <c r="R182" i="41"/>
  <c r="R199" i="41" s="1"/>
  <c r="R179" i="41"/>
  <c r="N239" i="40"/>
  <c r="N244" i="40" s="1"/>
  <c r="V169" i="38"/>
  <c r="V179" i="38" s="1"/>
  <c r="P182" i="41"/>
  <c r="P199" i="41" s="1"/>
  <c r="P179" i="41"/>
  <c r="Y334" i="40"/>
  <c r="Y295" i="40"/>
  <c r="P121" i="38"/>
  <c r="H121" i="38"/>
  <c r="P82" i="38"/>
  <c r="S82" i="38"/>
  <c r="F82" i="38"/>
  <c r="I82" i="38"/>
  <c r="Q82" i="38"/>
  <c r="G82" i="38"/>
  <c r="L82" i="38"/>
  <c r="T82" i="38"/>
  <c r="O82" i="38"/>
  <c r="M82" i="38"/>
  <c r="K82" i="38"/>
  <c r="J82" i="38"/>
  <c r="R82" i="38"/>
  <c r="N82" i="38"/>
  <c r="H82" i="38"/>
  <c r="J121" i="38"/>
  <c r="N121" i="38"/>
  <c r="L182" i="41"/>
  <c r="L199" i="41" s="1"/>
  <c r="L179" i="41"/>
  <c r="U82" i="38"/>
  <c r="U83" i="38" s="1"/>
  <c r="F31" i="42"/>
  <c r="Y339" i="40"/>
  <c r="I121" i="38"/>
  <c r="V121" i="38"/>
  <c r="S182" i="41"/>
  <c r="S199" i="41" s="1"/>
  <c r="S179" i="41"/>
  <c r="Y335" i="40"/>
  <c r="O179" i="41"/>
  <c r="O182" i="41"/>
  <c r="O199" i="41" s="1"/>
  <c r="O121" i="38"/>
  <c r="K121" i="38"/>
  <c r="Q179" i="41"/>
  <c r="Q182" i="41"/>
  <c r="Q199" i="41" s="1"/>
  <c r="O121" i="41"/>
  <c r="O126" i="41" s="1"/>
  <c r="O127" i="41" s="1"/>
  <c r="O128" i="41" s="1"/>
  <c r="H182" i="41"/>
  <c r="H199" i="41" s="1"/>
  <c r="H179" i="41"/>
  <c r="J179" i="41"/>
  <c r="J182" i="41"/>
  <c r="J199" i="41" s="1"/>
  <c r="G121" i="38"/>
  <c r="M121" i="38"/>
  <c r="F182" i="41"/>
  <c r="F199" i="41" s="1"/>
  <c r="F179" i="41"/>
  <c r="S193" i="40"/>
  <c r="T40" i="38"/>
  <c r="T41" i="38" s="1"/>
  <c r="T34" i="38"/>
  <c r="J40" i="38"/>
  <c r="J41" i="38" s="1"/>
  <c r="J34" i="38"/>
  <c r="J43" i="41"/>
  <c r="S190" i="40"/>
  <c r="S206" i="40"/>
  <c r="Z32" i="38"/>
  <c r="Z35" i="38" s="1"/>
  <c r="Y35" i="38"/>
  <c r="L34" i="38"/>
  <c r="L40" i="38"/>
  <c r="L41" i="38" s="1"/>
  <c r="W34" i="38"/>
  <c r="W40" i="38"/>
  <c r="W41" i="38" s="1"/>
  <c r="V368" i="40"/>
  <c r="V381" i="40" s="1"/>
  <c r="R98" i="41"/>
  <c r="R103" i="41" s="1"/>
  <c r="R104" i="41" s="1"/>
  <c r="S194" i="40"/>
  <c r="S195" i="40"/>
  <c r="X40" i="38"/>
  <c r="X41" i="38" s="1"/>
  <c r="X34" i="38"/>
  <c r="I34" i="38"/>
  <c r="I40" i="38"/>
  <c r="I41" i="38" s="1"/>
  <c r="G34" i="38"/>
  <c r="G40" i="38"/>
  <c r="G41" i="38" s="1"/>
  <c r="N34" i="38"/>
  <c r="N40" i="38"/>
  <c r="N41" i="38" s="1"/>
  <c r="S191" i="40"/>
  <c r="S34" i="38"/>
  <c r="S40" i="38"/>
  <c r="S41" i="38" s="1"/>
  <c r="H40" i="38"/>
  <c r="H41" i="38" s="1"/>
  <c r="H34" i="38"/>
  <c r="U45" i="38"/>
  <c r="U42" i="38"/>
  <c r="U43" i="38" s="1"/>
  <c r="S192" i="40"/>
  <c r="P121" i="41"/>
  <c r="P119" i="41" s="1"/>
  <c r="F40" i="38"/>
  <c r="F41" i="38" s="1"/>
  <c r="M34" i="38"/>
  <c r="M40" i="38"/>
  <c r="M41" i="38" s="1"/>
  <c r="W402" i="40"/>
  <c r="W442" i="40" s="1"/>
  <c r="W380" i="40"/>
  <c r="W396" i="40"/>
  <c r="W438" i="40" s="1"/>
  <c r="W395" i="40"/>
  <c r="W399" i="40"/>
  <c r="W371" i="40" s="1"/>
  <c r="W379" i="40"/>
  <c r="W390" i="40"/>
  <c r="S184" i="40"/>
  <c r="T121" i="41"/>
  <c r="T119" i="41" s="1"/>
  <c r="V34" i="38"/>
  <c r="V40" i="38"/>
  <c r="P34" i="38"/>
  <c r="P40" i="38"/>
  <c r="R40" i="38"/>
  <c r="R41" i="38" s="1"/>
  <c r="R34" i="38"/>
  <c r="V421" i="40"/>
  <c r="V411" i="40"/>
  <c r="V432" i="40"/>
  <c r="V420" i="40"/>
  <c r="V437" i="40"/>
  <c r="V408" i="40" s="1"/>
  <c r="V422" i="40" s="1"/>
  <c r="X362" i="40"/>
  <c r="Y343" i="40"/>
  <c r="K40" i="38"/>
  <c r="K41" i="38" s="1"/>
  <c r="K34" i="38"/>
  <c r="O34" i="38"/>
  <c r="O40" i="38"/>
  <c r="O41" i="38" s="1"/>
  <c r="W6" i="38"/>
  <c r="W3" i="38"/>
  <c r="X7" i="38"/>
  <c r="W2" i="38"/>
  <c r="W8" i="38"/>
  <c r="X277" i="38"/>
  <c r="X308" i="38" s="1"/>
  <c r="R239" i="40"/>
  <c r="R244" i="40" s="1"/>
  <c r="V324" i="41"/>
  <c r="V271" i="41"/>
  <c r="W275" i="41"/>
  <c r="W155" i="41"/>
  <c r="W157" i="41" s="1"/>
  <c r="X140" i="41"/>
  <c r="W212" i="41"/>
  <c r="W220" i="41" s="1"/>
  <c r="W350" i="41"/>
  <c r="W230" i="41"/>
  <c r="W404" i="41"/>
  <c r="W227" i="41"/>
  <c r="W270" i="41"/>
  <c r="W257" i="41"/>
  <c r="W265" i="41" s="1"/>
  <c r="W225" i="41"/>
  <c r="W364" i="41"/>
  <c r="W162" i="41"/>
  <c r="W142" i="41"/>
  <c r="W150" i="41" s="1"/>
  <c r="W272" i="41"/>
  <c r="W156" i="41"/>
  <c r="W158" i="41"/>
  <c r="W405" i="41"/>
  <c r="W418" i="41" s="1"/>
  <c r="W365" i="41"/>
  <c r="X158" i="40"/>
  <c r="X160" i="40" s="1"/>
  <c r="X393" i="38"/>
  <c r="X378" i="38"/>
  <c r="X392" i="38"/>
  <c r="X377" i="38"/>
  <c r="V157" i="41"/>
  <c r="V159" i="41" s="1"/>
  <c r="V377" i="41"/>
  <c r="V392" i="41"/>
  <c r="X382" i="40"/>
  <c r="X397" i="40"/>
  <c r="Y74" i="41"/>
  <c r="X75" i="41"/>
  <c r="X76" i="41" s="1"/>
  <c r="X228" i="38"/>
  <c r="Y275" i="38"/>
  <c r="Z140" i="38"/>
  <c r="Y162" i="38"/>
  <c r="Y350" i="38"/>
  <c r="Y270" i="38"/>
  <c r="Y156" i="38"/>
  <c r="Y155" i="38"/>
  <c r="Y157" i="38" s="1"/>
  <c r="Y272" i="38"/>
  <c r="Y212" i="38"/>
  <c r="Y220" i="38" s="1"/>
  <c r="Y225" i="38"/>
  <c r="Y226" i="38" s="1"/>
  <c r="Y404" i="38"/>
  <c r="Y227" i="38"/>
  <c r="Y230" i="38"/>
  <c r="Y142" i="38"/>
  <c r="Y150" i="38" s="1"/>
  <c r="Y257" i="38"/>
  <c r="Y265" i="38" s="1"/>
  <c r="Y158" i="38"/>
  <c r="Y405" i="38"/>
  <c r="Y418" i="38" s="1"/>
  <c r="Y365" i="38"/>
  <c r="Y364" i="38"/>
  <c r="W330" i="40"/>
  <c r="W331" i="40" s="1"/>
  <c r="W440" i="40"/>
  <c r="O43" i="41"/>
  <c r="V226" i="41"/>
  <c r="V228" i="41" s="1"/>
  <c r="X159" i="38"/>
  <c r="Q121" i="41"/>
  <c r="Q126" i="41" s="1"/>
  <c r="V393" i="41"/>
  <c r="V378" i="41"/>
  <c r="X383" i="40"/>
  <c r="X398" i="40"/>
  <c r="Y273" i="40"/>
  <c r="Y409" i="40"/>
  <c r="Y355" i="40"/>
  <c r="Y142" i="40"/>
  <c r="Y150" i="40" s="1"/>
  <c r="Y370" i="40"/>
  <c r="Y410" i="40"/>
  <c r="Y424" i="40" s="1"/>
  <c r="Y229" i="40"/>
  <c r="Y156" i="40"/>
  <c r="Y213" i="40"/>
  <c r="Y221" i="40" s="1"/>
  <c r="Y278" i="40"/>
  <c r="Y369" i="40"/>
  <c r="Y163" i="40"/>
  <c r="Y275" i="40"/>
  <c r="Y227" i="40"/>
  <c r="Z140" i="40"/>
  <c r="Y259" i="40"/>
  <c r="Y267" i="40" s="1"/>
  <c r="Y157" i="40"/>
  <c r="Y232" i="40"/>
  <c r="Y159" i="40"/>
  <c r="V175" i="38"/>
  <c r="V239" i="38"/>
  <c r="V171" i="38"/>
  <c r="V173" i="38" s="1"/>
  <c r="V79" i="38"/>
  <c r="V58" i="38"/>
  <c r="V100" i="38"/>
  <c r="X324" i="38"/>
  <c r="X271" i="38"/>
  <c r="V277" i="41"/>
  <c r="V308" i="41" s="1"/>
  <c r="U98" i="41"/>
  <c r="U103" i="41" s="1"/>
  <c r="U104" i="41" s="1"/>
  <c r="U273" i="41"/>
  <c r="U433" i="41" s="1"/>
  <c r="V417" i="41"/>
  <c r="V432" i="41"/>
  <c r="X280" i="40"/>
  <c r="X312" i="40" s="1"/>
  <c r="W433" i="38"/>
  <c r="M239" i="40"/>
  <c r="M244" i="40" s="1"/>
  <c r="U176" i="38"/>
  <c r="U177" i="38" s="1"/>
  <c r="U186" i="38" s="1"/>
  <c r="X329" i="40"/>
  <c r="X274" i="40"/>
  <c r="X276" i="40" s="1"/>
  <c r="X439" i="40"/>
  <c r="X423" i="40"/>
  <c r="W325" i="38"/>
  <c r="W326" i="38" s="1"/>
  <c r="X432" i="38"/>
  <c r="X417" i="38"/>
  <c r="T239" i="40"/>
  <c r="T244" i="40" s="1"/>
  <c r="O126" i="40"/>
  <c r="O127" i="40" s="1"/>
  <c r="O128" i="40" s="1"/>
  <c r="O119" i="40"/>
  <c r="Y3" i="40"/>
  <c r="Y8" i="40"/>
  <c r="Y6" i="40"/>
  <c r="Y2" i="40"/>
  <c r="Z7" i="40"/>
  <c r="W425" i="41"/>
  <c r="W434" i="41"/>
  <c r="W406" i="41" s="1"/>
  <c r="W415" i="41"/>
  <c r="W414" i="41"/>
  <c r="W430" i="41"/>
  <c r="W403" i="41" s="1"/>
  <c r="W416" i="41" s="1"/>
  <c r="G239" i="40"/>
  <c r="G244" i="40" s="1"/>
  <c r="F239" i="40"/>
  <c r="F244" i="40" s="1"/>
  <c r="L239" i="40"/>
  <c r="L244" i="40" s="1"/>
  <c r="H239" i="40"/>
  <c r="H244" i="40" s="1"/>
  <c r="J239" i="40"/>
  <c r="J244" i="40" s="1"/>
  <c r="I239" i="40"/>
  <c r="I244" i="40" s="1"/>
  <c r="O239" i="40"/>
  <c r="O244" i="40" s="1"/>
  <c r="K239" i="40"/>
  <c r="K244" i="40" s="1"/>
  <c r="P239" i="40"/>
  <c r="P244" i="40" s="1"/>
  <c r="V236" i="38"/>
  <c r="U247" i="38"/>
  <c r="I119" i="40"/>
  <c r="I126" i="40"/>
  <c r="X234" i="38"/>
  <c r="W235" i="38"/>
  <c r="W169" i="38"/>
  <c r="X168" i="38"/>
  <c r="G45" i="40"/>
  <c r="G33" i="40"/>
  <c r="G42" i="40"/>
  <c r="G43" i="40" s="1"/>
  <c r="P126" i="40"/>
  <c r="P119" i="40"/>
  <c r="N119" i="40"/>
  <c r="N126" i="40"/>
  <c r="K126" i="40"/>
  <c r="K119" i="40"/>
  <c r="L118" i="40" s="1"/>
  <c r="H43" i="41"/>
  <c r="AH30" i="35"/>
  <c r="AG31" i="35"/>
  <c r="U169" i="38"/>
  <c r="S169" i="38"/>
  <c r="R169" i="38"/>
  <c r="T169" i="38"/>
  <c r="K45" i="40"/>
  <c r="K42" i="40"/>
  <c r="K43" i="40" s="1"/>
  <c r="K33" i="40"/>
  <c r="Z294" i="41"/>
  <c r="Y317" i="41"/>
  <c r="Y323" i="41"/>
  <c r="Y328" i="41"/>
  <c r="G126" i="40"/>
  <c r="G119" i="40"/>
  <c r="Y334" i="38"/>
  <c r="W363" i="41"/>
  <c r="W376" i="41" s="1"/>
  <c r="O43" i="40"/>
  <c r="F43" i="41"/>
  <c r="U239" i="40"/>
  <c r="U244" i="40" s="1"/>
  <c r="G169" i="38"/>
  <c r="F169" i="38"/>
  <c r="H169" i="38"/>
  <c r="I169" i="38"/>
  <c r="K169" i="38"/>
  <c r="J169" i="38"/>
  <c r="L169" i="38"/>
  <c r="M169" i="38"/>
  <c r="O169" i="38"/>
  <c r="N169" i="38"/>
  <c r="Q169" i="38"/>
  <c r="P169" i="38"/>
  <c r="Y53" i="41"/>
  <c r="X54" i="41"/>
  <c r="C41" i="35"/>
  <c r="B42" i="35"/>
  <c r="F119" i="40"/>
  <c r="F126" i="40"/>
  <c r="Z290" i="38"/>
  <c r="Z334" i="38" s="1"/>
  <c r="Z285" i="38"/>
  <c r="Z286" i="38"/>
  <c r="Z330" i="38" s="1"/>
  <c r="D330" i="38" s="1"/>
  <c r="Z289" i="38"/>
  <c r="Z287" i="38"/>
  <c r="Z288" i="38"/>
  <c r="Z332" i="38" s="1"/>
  <c r="X374" i="41"/>
  <c r="X385" i="41"/>
  <c r="X375" i="41"/>
  <c r="X391" i="41"/>
  <c r="X431" i="41" s="1"/>
  <c r="X394" i="41"/>
  <c r="X366" i="41" s="1"/>
  <c r="X390" i="41"/>
  <c r="X397" i="41"/>
  <c r="H126" i="40"/>
  <c r="H119" i="40"/>
  <c r="R119" i="41"/>
  <c r="X53" i="38"/>
  <c r="W54" i="38"/>
  <c r="X176" i="40"/>
  <c r="X100" i="40"/>
  <c r="X79" i="40"/>
  <c r="X58" i="40"/>
  <c r="X241" i="40"/>
  <c r="X172" i="40"/>
  <c r="X174" i="40" s="1"/>
  <c r="N33" i="40"/>
  <c r="N45" i="40"/>
  <c r="N42" i="40"/>
  <c r="N43" i="40" s="1"/>
  <c r="J42" i="40"/>
  <c r="J43" i="40" s="1"/>
  <c r="J33" i="40"/>
  <c r="J45" i="40"/>
  <c r="L127" i="40"/>
  <c r="L128" i="40" s="1"/>
  <c r="H45" i="40"/>
  <c r="H42" i="40"/>
  <c r="H33" i="40"/>
  <c r="Z338" i="41"/>
  <c r="Z357" i="41" s="1"/>
  <c r="Y357" i="41"/>
  <c r="Q239" i="40"/>
  <c r="Q244" i="40" s="1"/>
  <c r="J130" i="40"/>
  <c r="Q119" i="40"/>
  <c r="R118" i="40" s="1"/>
  <c r="Q126" i="40"/>
  <c r="F42" i="40"/>
  <c r="F43" i="40" s="1"/>
  <c r="F33" i="40"/>
  <c r="F45" i="40"/>
  <c r="Y329" i="38"/>
  <c r="H121" i="41"/>
  <c r="G121" i="41"/>
  <c r="F121" i="41"/>
  <c r="I121" i="41"/>
  <c r="J121" i="41"/>
  <c r="L121" i="41"/>
  <c r="K121" i="41"/>
  <c r="M121" i="41"/>
  <c r="N121" i="41"/>
  <c r="L45" i="40"/>
  <c r="L42" i="40"/>
  <c r="L43" i="40" s="1"/>
  <c r="L33" i="40"/>
  <c r="L130" i="40"/>
  <c r="G43" i="41"/>
  <c r="H41" i="40"/>
  <c r="S239" i="40"/>
  <c r="S244" i="40" s="1"/>
  <c r="J127" i="40"/>
  <c r="J128" i="40" s="1"/>
  <c r="M119" i="40"/>
  <c r="M126" i="40"/>
  <c r="U121" i="41"/>
  <c r="S121" i="41"/>
  <c r="V176" i="41"/>
  <c r="V177" i="41" s="1"/>
  <c r="K43" i="41"/>
  <c r="I43" i="41"/>
  <c r="W76" i="40"/>
  <c r="V87" i="40"/>
  <c r="V77" i="40"/>
  <c r="V82" i="40" s="1"/>
  <c r="Z13" i="47" s="1"/>
  <c r="R41" i="41"/>
  <c r="Q195" i="40"/>
  <c r="Q193" i="40"/>
  <c r="Q191" i="40"/>
  <c r="Q206" i="40"/>
  <c r="Q190" i="40"/>
  <c r="Q194" i="40"/>
  <c r="Q184" i="40"/>
  <c r="Q192" i="40"/>
  <c r="Q196" i="40"/>
  <c r="Q198" i="40"/>
  <c r="V56" i="40"/>
  <c r="V66" i="40"/>
  <c r="W55" i="40"/>
  <c r="AB26" i="35"/>
  <c r="T27" i="35"/>
  <c r="G193" i="40"/>
  <c r="G191" i="40"/>
  <c r="G195" i="40"/>
  <c r="G196" i="40"/>
  <c r="G192" i="40"/>
  <c r="G190" i="40"/>
  <c r="G184" i="40"/>
  <c r="G198" i="40"/>
  <c r="G194" i="40"/>
  <c r="G206" i="40"/>
  <c r="Y399" i="41"/>
  <c r="X411" i="41"/>
  <c r="X419" i="41"/>
  <c r="U83" i="40"/>
  <c r="U120" i="40"/>
  <c r="T121" i="40"/>
  <c r="K193" i="40"/>
  <c r="K191" i="40"/>
  <c r="K196" i="40"/>
  <c r="K198" i="40"/>
  <c r="K190" i="40"/>
  <c r="K194" i="40"/>
  <c r="K192" i="40"/>
  <c r="K206" i="40"/>
  <c r="K195" i="40"/>
  <c r="K184" i="40"/>
  <c r="W97" i="41"/>
  <c r="V108" i="41"/>
  <c r="V98" i="41"/>
  <c r="V103" i="41" s="1"/>
  <c r="W79" i="41"/>
  <c r="W175" i="41"/>
  <c r="W239" i="41"/>
  <c r="W58" i="41"/>
  <c r="W171" i="41"/>
  <c r="W173" i="41" s="1"/>
  <c r="W100" i="41"/>
  <c r="S98" i="41"/>
  <c r="S103" i="41" s="1"/>
  <c r="O192" i="40"/>
  <c r="O184" i="40"/>
  <c r="O193" i="40"/>
  <c r="O196" i="40"/>
  <c r="O206" i="40"/>
  <c r="O191" i="40"/>
  <c r="O195" i="40"/>
  <c r="O198" i="40"/>
  <c r="O194" i="40"/>
  <c r="O190" i="40"/>
  <c r="T98" i="41"/>
  <c r="T103" i="41" s="1"/>
  <c r="N191" i="40"/>
  <c r="N184" i="40"/>
  <c r="N206" i="40"/>
  <c r="N195" i="40"/>
  <c r="N198" i="40"/>
  <c r="N193" i="40"/>
  <c r="N192" i="40"/>
  <c r="N190" i="40"/>
  <c r="N194" i="40"/>
  <c r="N196" i="40"/>
  <c r="V47" i="42"/>
  <c r="V1" i="42"/>
  <c r="W2" i="42"/>
  <c r="Y121" i="38"/>
  <c r="Z120" i="38"/>
  <c r="Z121" i="38" s="1"/>
  <c r="V5" i="47"/>
  <c r="W3" i="47"/>
  <c r="V4" i="47"/>
  <c r="V6" i="47"/>
  <c r="R30" i="35"/>
  <c r="S29" i="35"/>
  <c r="F98" i="41"/>
  <c r="F103" i="41" s="1"/>
  <c r="G98" i="41"/>
  <c r="G103" i="41" s="1"/>
  <c r="I98" i="41"/>
  <c r="I103" i="41" s="1"/>
  <c r="H98" i="41"/>
  <c r="H103" i="41" s="1"/>
  <c r="J98" i="41"/>
  <c r="J103" i="41" s="1"/>
  <c r="N98" i="41"/>
  <c r="N103" i="41" s="1"/>
  <c r="K98" i="41"/>
  <c r="K103" i="41" s="1"/>
  <c r="M98" i="41"/>
  <c r="M103" i="41" s="1"/>
  <c r="P98" i="41"/>
  <c r="P103" i="41" s="1"/>
  <c r="L98" i="41"/>
  <c r="L103" i="41" s="1"/>
  <c r="O98" i="41"/>
  <c r="O103" i="41" s="1"/>
  <c r="T180" i="41"/>
  <c r="U104" i="40"/>
  <c r="V66" i="41"/>
  <c r="W55" i="41"/>
  <c r="S40" i="41"/>
  <c r="S34" i="41"/>
  <c r="P45" i="40"/>
  <c r="P33" i="40"/>
  <c r="P42" i="40"/>
  <c r="W357" i="38"/>
  <c r="X338" i="38"/>
  <c r="V390" i="38"/>
  <c r="V397" i="38"/>
  <c r="V385" i="38"/>
  <c r="V375" i="38"/>
  <c r="V374" i="38"/>
  <c r="V394" i="38"/>
  <c r="V366" i="38" s="1"/>
  <c r="V391" i="38"/>
  <c r="V431" i="38" s="1"/>
  <c r="V119" i="41"/>
  <c r="V126" i="41"/>
  <c r="U187" i="40"/>
  <c r="Q34" i="40"/>
  <c r="Q40" i="40"/>
  <c r="M193" i="40"/>
  <c r="M198" i="40"/>
  <c r="M184" i="40"/>
  <c r="M191" i="40"/>
  <c r="M190" i="40"/>
  <c r="M195" i="40"/>
  <c r="M196" i="40"/>
  <c r="M192" i="40"/>
  <c r="M194" i="40"/>
  <c r="M206" i="40"/>
  <c r="U62" i="40"/>
  <c r="V249" i="40"/>
  <c r="W238" i="40"/>
  <c r="V239" i="40"/>
  <c r="V244" i="40" s="1"/>
  <c r="Z17" i="47" s="1"/>
  <c r="Z18" i="47" s="1"/>
  <c r="R127" i="40"/>
  <c r="R128" i="40" s="1"/>
  <c r="S119" i="40"/>
  <c r="S126" i="40"/>
  <c r="U363" i="38"/>
  <c r="U376" i="38" s="1"/>
  <c r="R130" i="40"/>
  <c r="Z364" i="40"/>
  <c r="Y384" i="40"/>
  <c r="Y376" i="40"/>
  <c r="X120" i="41"/>
  <c r="W121" i="41"/>
  <c r="AI26" i="35"/>
  <c r="V170" i="40"/>
  <c r="W169" i="40"/>
  <c r="V178" i="40"/>
  <c r="U186" i="41"/>
  <c r="S32" i="40"/>
  <c r="R35" i="40"/>
  <c r="V108" i="40"/>
  <c r="V98" i="40"/>
  <c r="V103" i="40" s="1"/>
  <c r="W97" i="40"/>
  <c r="E34" i="35"/>
  <c r="H193" i="40"/>
  <c r="H195" i="40"/>
  <c r="H194" i="40"/>
  <c r="H191" i="40"/>
  <c r="H184" i="40"/>
  <c r="H198" i="40"/>
  <c r="H190" i="40"/>
  <c r="H196" i="40"/>
  <c r="H206" i="40"/>
  <c r="H192" i="40"/>
  <c r="X8" i="41"/>
  <c r="X3" i="41"/>
  <c r="Y7" i="41"/>
  <c r="X6" i="41"/>
  <c r="X2" i="41"/>
  <c r="U183" i="40"/>
  <c r="U200" i="40" s="1"/>
  <c r="U180" i="40"/>
  <c r="U188" i="40" s="1"/>
  <c r="I192" i="40"/>
  <c r="I191" i="40"/>
  <c r="I194" i="40"/>
  <c r="I206" i="40"/>
  <c r="I195" i="40"/>
  <c r="I198" i="40"/>
  <c r="I184" i="40"/>
  <c r="I196" i="40"/>
  <c r="I193" i="40"/>
  <c r="I190" i="40"/>
  <c r="L193" i="40"/>
  <c r="L191" i="40"/>
  <c r="L194" i="40"/>
  <c r="L190" i="40"/>
  <c r="L195" i="40"/>
  <c r="L184" i="40"/>
  <c r="L192" i="40"/>
  <c r="L196" i="40"/>
  <c r="L198" i="40"/>
  <c r="L206" i="40"/>
  <c r="F206" i="40"/>
  <c r="F194" i="40"/>
  <c r="F196" i="40"/>
  <c r="F184" i="40"/>
  <c r="F195" i="40"/>
  <c r="F190" i="40"/>
  <c r="F191" i="40"/>
  <c r="F193" i="40"/>
  <c r="F192" i="40"/>
  <c r="F198" i="40"/>
  <c r="T181" i="40"/>
  <c r="V169" i="41"/>
  <c r="W168" i="41"/>
  <c r="U414" i="38"/>
  <c r="U425" i="38"/>
  <c r="U430" i="38"/>
  <c r="U403" i="38" s="1"/>
  <c r="U416" i="38" s="1"/>
  <c r="U415" i="38"/>
  <c r="U434" i="38"/>
  <c r="U406" i="38" s="1"/>
  <c r="U179" i="41"/>
  <c r="U187" i="41" s="1"/>
  <c r="U182" i="41"/>
  <c r="U199" i="41" s="1"/>
  <c r="Y359" i="41"/>
  <c r="X371" i="41"/>
  <c r="X379" i="41"/>
  <c r="J195" i="40"/>
  <c r="J184" i="40"/>
  <c r="J196" i="40"/>
  <c r="J193" i="40"/>
  <c r="J190" i="40"/>
  <c r="J194" i="40"/>
  <c r="J192" i="40"/>
  <c r="J206" i="40"/>
  <c r="J198" i="40"/>
  <c r="J191" i="40"/>
  <c r="R42" i="41"/>
  <c r="R33" i="41"/>
  <c r="R45" i="41"/>
  <c r="T35" i="41"/>
  <c r="U32" i="41"/>
  <c r="Q98" i="41"/>
  <c r="Q103" i="41" s="1"/>
  <c r="P41" i="40"/>
  <c r="K245" i="40" l="1"/>
  <c r="O17" i="47"/>
  <c r="O18" i="47" s="1"/>
  <c r="H245" i="40"/>
  <c r="L17" i="47"/>
  <c r="L18" i="47" s="1"/>
  <c r="T245" i="40"/>
  <c r="X17" i="47"/>
  <c r="X18" i="47" s="1"/>
  <c r="U245" i="40"/>
  <c r="Y17" i="47"/>
  <c r="Y18" i="47" s="1"/>
  <c r="O245" i="40"/>
  <c r="S17" i="47"/>
  <c r="S18" i="47" s="1"/>
  <c r="L245" i="40"/>
  <c r="P17" i="47"/>
  <c r="P18" i="47" s="1"/>
  <c r="M245" i="40"/>
  <c r="Q17" i="47"/>
  <c r="Q18" i="47" s="1"/>
  <c r="Q245" i="40"/>
  <c r="U17" i="47"/>
  <c r="U18" i="47" s="1"/>
  <c r="I245" i="40"/>
  <c r="M17" i="47"/>
  <c r="M18" i="47" s="1"/>
  <c r="F245" i="40"/>
  <c r="J17" i="47"/>
  <c r="J18" i="47" s="1"/>
  <c r="S245" i="40"/>
  <c r="W17" i="47"/>
  <c r="W18" i="47" s="1"/>
  <c r="P245" i="40"/>
  <c r="T17" i="47"/>
  <c r="T18" i="47" s="1"/>
  <c r="J245" i="40"/>
  <c r="N17" i="47"/>
  <c r="N18" i="47" s="1"/>
  <c r="G245" i="40"/>
  <c r="K17" i="47"/>
  <c r="K18" i="47" s="1"/>
  <c r="R245" i="40"/>
  <c r="V17" i="47"/>
  <c r="V18" i="47" s="1"/>
  <c r="N245" i="40"/>
  <c r="R17" i="47"/>
  <c r="R18" i="47" s="1"/>
  <c r="Y310" i="40"/>
  <c r="Y412" i="40"/>
  <c r="Y426" i="40" s="1"/>
  <c r="Y441" i="40" s="1"/>
  <c r="Z272" i="40"/>
  <c r="Z328" i="40"/>
  <c r="J118" i="40"/>
  <c r="V61" i="40"/>
  <c r="V67" i="40"/>
  <c r="X87" i="41"/>
  <c r="X126" i="38"/>
  <c r="V247" i="41"/>
  <c r="V237" i="41"/>
  <c r="V242" i="41" s="1"/>
  <c r="V243" i="41" s="1"/>
  <c r="W236" i="41"/>
  <c r="T126" i="41"/>
  <c r="T127" i="41" s="1"/>
  <c r="T128" i="41" s="1"/>
  <c r="M187" i="41"/>
  <c r="V87" i="38"/>
  <c r="W76" i="38"/>
  <c r="W77" i="38" s="1"/>
  <c r="V98" i="38"/>
  <c r="V103" i="38" s="1"/>
  <c r="V104" i="38" s="1"/>
  <c r="V108" i="38"/>
  <c r="W97" i="38"/>
  <c r="Q45" i="38"/>
  <c r="G5" i="42"/>
  <c r="G43" i="42" s="1"/>
  <c r="V182" i="38"/>
  <c r="V199" i="38" s="1"/>
  <c r="F32" i="42"/>
  <c r="Z371" i="38"/>
  <c r="Z379" i="38"/>
  <c r="G23" i="42"/>
  <c r="P126" i="41"/>
  <c r="P127" i="41" s="1"/>
  <c r="P128" i="41" s="1"/>
  <c r="F14" i="42"/>
  <c r="R43" i="41"/>
  <c r="D289" i="40"/>
  <c r="Y329" i="41"/>
  <c r="Y336" i="41" s="1"/>
  <c r="Y292" i="41"/>
  <c r="F5" i="42"/>
  <c r="Z285" i="41"/>
  <c r="Z290" i="41"/>
  <c r="Z289" i="41"/>
  <c r="F23" i="42"/>
  <c r="Z291" i="41"/>
  <c r="Z335" i="41" s="1"/>
  <c r="Z286" i="41"/>
  <c r="Z288" i="41"/>
  <c r="Z332" i="41" s="1"/>
  <c r="Z287" i="41"/>
  <c r="Z331" i="41" s="1"/>
  <c r="G32" i="42"/>
  <c r="G44" i="42"/>
  <c r="G14" i="42"/>
  <c r="X177" i="40"/>
  <c r="I187" i="41"/>
  <c r="X328" i="38"/>
  <c r="Y294" i="38"/>
  <c r="X317" i="38"/>
  <c r="X323" i="38"/>
  <c r="O119" i="41"/>
  <c r="P118" i="41" s="1"/>
  <c r="V82" i="38"/>
  <c r="V83" i="38" s="1"/>
  <c r="U119" i="38"/>
  <c r="U130" i="38" s="1"/>
  <c r="Q33" i="38"/>
  <c r="V176" i="38"/>
  <c r="V177" i="38" s="1"/>
  <c r="V186" i="38" s="1"/>
  <c r="Q119" i="41"/>
  <c r="R119" i="38"/>
  <c r="R130" i="38" s="1"/>
  <c r="Y228" i="38"/>
  <c r="J187" i="41"/>
  <c r="J180" i="41"/>
  <c r="Q187" i="41"/>
  <c r="Q180" i="41"/>
  <c r="M205" i="41"/>
  <c r="M192" i="41"/>
  <c r="M190" i="41"/>
  <c r="M195" i="41"/>
  <c r="M193" i="41"/>
  <c r="M189" i="41"/>
  <c r="M191" i="41"/>
  <c r="M183" i="41"/>
  <c r="M194" i="41"/>
  <c r="M197" i="41"/>
  <c r="J83" i="38"/>
  <c r="Q83" i="38"/>
  <c r="F49" i="42"/>
  <c r="D335" i="40"/>
  <c r="K119" i="38"/>
  <c r="L118" i="38" s="1"/>
  <c r="K126" i="38"/>
  <c r="K127" i="38" s="1"/>
  <c r="K128" i="38" s="1"/>
  <c r="V126" i="38"/>
  <c r="V127" i="38" s="1"/>
  <c r="V128" i="38" s="1"/>
  <c r="V119" i="38"/>
  <c r="L180" i="41"/>
  <c r="L187" i="41"/>
  <c r="K83" i="38"/>
  <c r="I83" i="38"/>
  <c r="Y341" i="40"/>
  <c r="W119" i="38"/>
  <c r="X118" i="38" s="1"/>
  <c r="W126" i="38"/>
  <c r="W127" i="38" s="1"/>
  <c r="W128" i="38" s="1"/>
  <c r="G187" i="41"/>
  <c r="G180" i="41"/>
  <c r="H180" i="41"/>
  <c r="H187" i="41"/>
  <c r="O119" i="38"/>
  <c r="O126" i="38"/>
  <c r="O127" i="38" s="1"/>
  <c r="O128" i="38" s="1"/>
  <c r="I119" i="38"/>
  <c r="I126" i="38"/>
  <c r="I127" i="38" s="1"/>
  <c r="I128" i="38" s="1"/>
  <c r="M83" i="38"/>
  <c r="F83" i="38"/>
  <c r="S126" i="38"/>
  <c r="S127" i="38" s="1"/>
  <c r="S128" i="38" s="1"/>
  <c r="S119" i="38"/>
  <c r="K180" i="41"/>
  <c r="K187" i="41"/>
  <c r="F187" i="41"/>
  <c r="F180" i="41"/>
  <c r="N126" i="38"/>
  <c r="N127" i="38" s="1"/>
  <c r="N128" i="38" s="1"/>
  <c r="N119" i="38"/>
  <c r="O83" i="38"/>
  <c r="S83" i="38"/>
  <c r="P187" i="41"/>
  <c r="P180" i="41"/>
  <c r="F126" i="38"/>
  <c r="F127" i="38" s="1"/>
  <c r="F128" i="38" s="1"/>
  <c r="F119" i="38"/>
  <c r="O187" i="41"/>
  <c r="O180" i="41"/>
  <c r="J119" i="38"/>
  <c r="J126" i="38"/>
  <c r="J127" i="38" s="1"/>
  <c r="J128" i="38" s="1"/>
  <c r="T83" i="38"/>
  <c r="P83" i="38"/>
  <c r="T126" i="38"/>
  <c r="T127" i="38" s="1"/>
  <c r="T128" i="38" s="1"/>
  <c r="T119" i="38"/>
  <c r="M119" i="38"/>
  <c r="M126" i="38"/>
  <c r="M127" i="38" s="1"/>
  <c r="M128" i="38" s="1"/>
  <c r="I191" i="41"/>
  <c r="I183" i="41"/>
  <c r="I193" i="41"/>
  <c r="I194" i="41"/>
  <c r="I189" i="41"/>
  <c r="I197" i="41"/>
  <c r="I192" i="41"/>
  <c r="I190" i="41"/>
  <c r="I195" i="41"/>
  <c r="I205" i="41"/>
  <c r="H83" i="38"/>
  <c r="H126" i="38"/>
  <c r="H127" i="38" s="1"/>
  <c r="H128" i="38" s="1"/>
  <c r="H119" i="38"/>
  <c r="L130" i="38"/>
  <c r="G126" i="38"/>
  <c r="G127" i="38" s="1"/>
  <c r="G128" i="38" s="1"/>
  <c r="G119" i="38"/>
  <c r="N83" i="38"/>
  <c r="L83" i="38"/>
  <c r="P126" i="38"/>
  <c r="P127" i="38" s="1"/>
  <c r="P128" i="38" s="1"/>
  <c r="P119" i="38"/>
  <c r="Z334" i="40"/>
  <c r="Z341" i="40" s="1"/>
  <c r="Z295" i="40"/>
  <c r="P43" i="40"/>
  <c r="S187" i="41"/>
  <c r="S180" i="41"/>
  <c r="R83" i="38"/>
  <c r="G83" i="38"/>
  <c r="D288" i="40"/>
  <c r="R187" i="41"/>
  <c r="R180" i="41"/>
  <c r="N187" i="41"/>
  <c r="N180" i="41"/>
  <c r="X402" i="40"/>
  <c r="X442" i="40" s="1"/>
  <c r="X380" i="40"/>
  <c r="X379" i="40"/>
  <c r="X390" i="40"/>
  <c r="X399" i="40"/>
  <c r="X371" i="40" s="1"/>
  <c r="X396" i="40"/>
  <c r="X438" i="40" s="1"/>
  <c r="X395" i="40"/>
  <c r="P41" i="38"/>
  <c r="H42" i="38"/>
  <c r="H43" i="38" s="1"/>
  <c r="H33" i="38"/>
  <c r="H45" i="38"/>
  <c r="P45" i="38"/>
  <c r="P42" i="38"/>
  <c r="P33" i="38"/>
  <c r="W368" i="40"/>
  <c r="W381" i="40" s="1"/>
  <c r="G45" i="38"/>
  <c r="G33" i="38"/>
  <c r="G42" i="38"/>
  <c r="G43" i="38" s="1"/>
  <c r="V325" i="41"/>
  <c r="V326" i="41" s="1"/>
  <c r="V41" i="38"/>
  <c r="I33" i="38"/>
  <c r="I45" i="38"/>
  <c r="I42" i="38"/>
  <c r="I43" i="38" s="1"/>
  <c r="W33" i="38"/>
  <c r="W42" i="38"/>
  <c r="W43" i="38" s="1"/>
  <c r="W45" i="38"/>
  <c r="V45" i="38"/>
  <c r="V42" i="38"/>
  <c r="V33" i="38"/>
  <c r="S33" i="38"/>
  <c r="S45" i="38"/>
  <c r="S42" i="38"/>
  <c r="S43" i="38" s="1"/>
  <c r="X42" i="38"/>
  <c r="X43" i="38" s="1"/>
  <c r="X33" i="38"/>
  <c r="X45" i="38"/>
  <c r="J33" i="38"/>
  <c r="J42" i="38"/>
  <c r="J43" i="38" s="1"/>
  <c r="J45" i="38"/>
  <c r="O33" i="38"/>
  <c r="O45" i="38"/>
  <c r="O42" i="38"/>
  <c r="O43" i="38" s="1"/>
  <c r="W420" i="40"/>
  <c r="W421" i="40"/>
  <c r="W411" i="40"/>
  <c r="W432" i="40"/>
  <c r="W437" i="40"/>
  <c r="W408" i="40" s="1"/>
  <c r="W422" i="40" s="1"/>
  <c r="L42" i="38"/>
  <c r="L43" i="38" s="1"/>
  <c r="L33" i="38"/>
  <c r="L45" i="38"/>
  <c r="K45" i="38"/>
  <c r="K33" i="38"/>
  <c r="K42" i="38"/>
  <c r="K43" i="38" s="1"/>
  <c r="Y34" i="38"/>
  <c r="Y40" i="38"/>
  <c r="Y41" i="38" s="1"/>
  <c r="U33" i="38"/>
  <c r="T42" i="38"/>
  <c r="T43" i="38" s="1"/>
  <c r="T45" i="38"/>
  <c r="T33" i="38"/>
  <c r="R42" i="38"/>
  <c r="R43" i="38" s="1"/>
  <c r="R33" i="38"/>
  <c r="R45" i="38"/>
  <c r="M42" i="38"/>
  <c r="M43" i="38" s="1"/>
  <c r="M33" i="38"/>
  <c r="M45" i="38"/>
  <c r="N45" i="38"/>
  <c r="N33" i="38"/>
  <c r="N42" i="38"/>
  <c r="N43" i="38" s="1"/>
  <c r="Z34" i="38"/>
  <c r="Z40" i="38"/>
  <c r="Z41" i="38" s="1"/>
  <c r="Y362" i="40"/>
  <c r="Z343" i="40"/>
  <c r="Z362" i="40" s="1"/>
  <c r="F45" i="38"/>
  <c r="F42" i="38"/>
  <c r="F43" i="38" s="1"/>
  <c r="Z259" i="40"/>
  <c r="Z267" i="40" s="1"/>
  <c r="Z369" i="40"/>
  <c r="Z409" i="40"/>
  <c r="Z156" i="40"/>
  <c r="Z142" i="40"/>
  <c r="Z150" i="40" s="1"/>
  <c r="Z278" i="40"/>
  <c r="Z355" i="40"/>
  <c r="Z227" i="40"/>
  <c r="Z159" i="40"/>
  <c r="Z370" i="40"/>
  <c r="Z157" i="40"/>
  <c r="Z232" i="40"/>
  <c r="Z229" i="40"/>
  <c r="Z163" i="40"/>
  <c r="Z275" i="40"/>
  <c r="Z273" i="40"/>
  <c r="Z213" i="40"/>
  <c r="Z221" i="40" s="1"/>
  <c r="Z410" i="40"/>
  <c r="Z424" i="40" s="1"/>
  <c r="Y159" i="38"/>
  <c r="Y228" i="40"/>
  <c r="Y230" i="40" s="1"/>
  <c r="Z74" i="41"/>
  <c r="Y75" i="41"/>
  <c r="W377" i="41"/>
  <c r="W392" i="41"/>
  <c r="H43" i="40"/>
  <c r="X363" i="41"/>
  <c r="X376" i="41" s="1"/>
  <c r="Y398" i="40"/>
  <c r="Y383" i="40"/>
  <c r="Y324" i="38"/>
  <c r="Y271" i="38"/>
  <c r="W393" i="41"/>
  <c r="W378" i="41"/>
  <c r="W226" i="41"/>
  <c r="W228" i="41" s="1"/>
  <c r="X350" i="41"/>
  <c r="X162" i="41"/>
  <c r="X158" i="41"/>
  <c r="X227" i="41"/>
  <c r="X272" i="41"/>
  <c r="Y140" i="41"/>
  <c r="X212" i="41"/>
  <c r="X220" i="41" s="1"/>
  <c r="X155" i="41"/>
  <c r="X157" i="41" s="1"/>
  <c r="X230" i="41"/>
  <c r="X270" i="41"/>
  <c r="X156" i="41"/>
  <c r="X275" i="41"/>
  <c r="X257" i="41"/>
  <c r="X265" i="41" s="1"/>
  <c r="X225" i="41"/>
  <c r="X226" i="41" s="1"/>
  <c r="X364" i="41"/>
  <c r="X142" i="41"/>
  <c r="X150" i="41" s="1"/>
  <c r="X404" i="41"/>
  <c r="X405" i="41"/>
  <c r="X418" i="41" s="1"/>
  <c r="X365" i="41"/>
  <c r="W159" i="41"/>
  <c r="X330" i="40"/>
  <c r="X331" i="40" s="1"/>
  <c r="X440" i="40"/>
  <c r="X273" i="38"/>
  <c r="X433" i="38" s="1"/>
  <c r="X325" i="38"/>
  <c r="X326" i="38" s="1"/>
  <c r="Y382" i="40"/>
  <c r="Y397" i="40"/>
  <c r="Y392" i="38"/>
  <c r="Y377" i="38"/>
  <c r="Y432" i="38"/>
  <c r="Y417" i="38"/>
  <c r="W271" i="41"/>
  <c r="W324" i="41"/>
  <c r="W277" i="41"/>
  <c r="W308" i="41" s="1"/>
  <c r="W100" i="38"/>
  <c r="W171" i="38"/>
  <c r="W173" i="38" s="1"/>
  <c r="W79" i="38"/>
  <c r="W58" i="38"/>
  <c r="W175" i="38"/>
  <c r="W239" i="38"/>
  <c r="Y280" i="40"/>
  <c r="Y312" i="40" s="1"/>
  <c r="Y439" i="40"/>
  <c r="Y423" i="40"/>
  <c r="Y393" i="38"/>
  <c r="Y378" i="38"/>
  <c r="Z142" i="38"/>
  <c r="Z150" i="38" s="1"/>
  <c r="Z257" i="38"/>
  <c r="Z265" i="38" s="1"/>
  <c r="Z270" i="38"/>
  <c r="Z158" i="38"/>
  <c r="Z365" i="38"/>
  <c r="Z405" i="38"/>
  <c r="Z418" i="38" s="1"/>
  <c r="Z230" i="38"/>
  <c r="Z162" i="38"/>
  <c r="Z227" i="38"/>
  <c r="Z404" i="38"/>
  <c r="Z275" i="38"/>
  <c r="Z212" i="38"/>
  <c r="Z220" i="38" s="1"/>
  <c r="Z350" i="38"/>
  <c r="Z272" i="38"/>
  <c r="Z155" i="38"/>
  <c r="Z157" i="38" s="1"/>
  <c r="Z225" i="38"/>
  <c r="Z226" i="38" s="1"/>
  <c r="Z156" i="38"/>
  <c r="Z364" i="38"/>
  <c r="X3" i="38"/>
  <c r="X2" i="38"/>
  <c r="Y7" i="38"/>
  <c r="X8" i="38"/>
  <c r="X6" i="38"/>
  <c r="Y329" i="40"/>
  <c r="Y274" i="40"/>
  <c r="Y276" i="40" s="1"/>
  <c r="Y277" i="38"/>
  <c r="Y308" i="38" s="1"/>
  <c r="W417" i="41"/>
  <c r="W432" i="41"/>
  <c r="Y158" i="40"/>
  <c r="Y160" i="40" s="1"/>
  <c r="V273" i="41"/>
  <c r="V433" i="41" s="1"/>
  <c r="S126" i="41"/>
  <c r="S127" i="41" s="1"/>
  <c r="S128" i="41" s="1"/>
  <c r="S119" i="41"/>
  <c r="T118" i="41" s="1"/>
  <c r="M127" i="40"/>
  <c r="M128" i="40" s="1"/>
  <c r="J119" i="41"/>
  <c r="J126" i="41"/>
  <c r="P182" i="38"/>
  <c r="P199" i="38" s="1"/>
  <c r="P179" i="38"/>
  <c r="I182" i="38"/>
  <c r="I199" i="38" s="1"/>
  <c r="I179" i="38"/>
  <c r="K118" i="40"/>
  <c r="K130" i="40"/>
  <c r="Y234" i="38"/>
  <c r="X235" i="38"/>
  <c r="M118" i="40"/>
  <c r="M130" i="40"/>
  <c r="I119" i="41"/>
  <c r="I126" i="41"/>
  <c r="I127" i="41" s="1"/>
  <c r="I128" i="41" s="1"/>
  <c r="H118" i="40"/>
  <c r="H130" i="40"/>
  <c r="Q182" i="38"/>
  <c r="Q199" i="38" s="1"/>
  <c r="Q179" i="38"/>
  <c r="H182" i="38"/>
  <c r="H199" i="38" s="1"/>
  <c r="H179" i="38"/>
  <c r="K127" i="40"/>
  <c r="K128" i="40" s="1"/>
  <c r="X169" i="38"/>
  <c r="Y168" i="38"/>
  <c r="O118" i="40"/>
  <c r="O130" i="40"/>
  <c r="F119" i="41"/>
  <c r="F126" i="41"/>
  <c r="H127" i="40"/>
  <c r="H128" i="40" s="1"/>
  <c r="Z329" i="38"/>
  <c r="F127" i="40"/>
  <c r="F128" i="40" s="1"/>
  <c r="B43" i="35"/>
  <c r="C42" i="35"/>
  <c r="N182" i="38"/>
  <c r="N199" i="38" s="1"/>
  <c r="N179" i="38"/>
  <c r="F182" i="38"/>
  <c r="F199" i="38" s="1"/>
  <c r="F179" i="38"/>
  <c r="T182" i="38"/>
  <c r="T199" i="38" s="1"/>
  <c r="T179" i="38"/>
  <c r="N127" i="40"/>
  <c r="N128" i="40" s="1"/>
  <c r="W182" i="38"/>
  <c r="W199" i="38" s="1"/>
  <c r="W179" i="38"/>
  <c r="W187" i="38" s="1"/>
  <c r="V187" i="38"/>
  <c r="G126" i="41"/>
  <c r="G119" i="41"/>
  <c r="Y391" i="41"/>
  <c r="Y431" i="41" s="1"/>
  <c r="Y397" i="41"/>
  <c r="Y374" i="41"/>
  <c r="Y375" i="41"/>
  <c r="Y385" i="41"/>
  <c r="Y394" i="41"/>
  <c r="Y366" i="41" s="1"/>
  <c r="Y390" i="41"/>
  <c r="X54" i="38"/>
  <c r="Y53" i="38"/>
  <c r="F130" i="40"/>
  <c r="F118" i="40"/>
  <c r="O182" i="38"/>
  <c r="O199" i="38" s="1"/>
  <c r="O179" i="38"/>
  <c r="G182" i="38"/>
  <c r="G199" i="38" s="1"/>
  <c r="G179" i="38"/>
  <c r="Z317" i="41"/>
  <c r="Z328" i="41"/>
  <c r="Z323" i="41"/>
  <c r="R182" i="38"/>
  <c r="R199" i="38" s="1"/>
  <c r="R179" i="38"/>
  <c r="T130" i="41"/>
  <c r="N118" i="40"/>
  <c r="N130" i="40"/>
  <c r="P130" i="41"/>
  <c r="Q130" i="41"/>
  <c r="Q118" i="41"/>
  <c r="U180" i="41"/>
  <c r="U192" i="41" s="1"/>
  <c r="N126" i="41"/>
  <c r="N119" i="41"/>
  <c r="H119" i="41"/>
  <c r="H126" i="41"/>
  <c r="Z397" i="41"/>
  <c r="Z374" i="41"/>
  <c r="Z390" i="41"/>
  <c r="Z391" i="41"/>
  <c r="Z431" i="41" s="1"/>
  <c r="Z394" i="41"/>
  <c r="Z366" i="41" s="1"/>
  <c r="Z375" i="41"/>
  <c r="Z385" i="41"/>
  <c r="M182" i="38"/>
  <c r="M199" i="38" s="1"/>
  <c r="M179" i="38"/>
  <c r="S182" i="38"/>
  <c r="S199" i="38" s="1"/>
  <c r="S179" i="38"/>
  <c r="P130" i="40"/>
  <c r="P118" i="40"/>
  <c r="I127" i="40"/>
  <c r="I128" i="40" s="1"/>
  <c r="Z2" i="40"/>
  <c r="Z6" i="40"/>
  <c r="Z8" i="40"/>
  <c r="Z3" i="40"/>
  <c r="Q127" i="41"/>
  <c r="Q128" i="41" s="1"/>
  <c r="M126" i="41"/>
  <c r="M127" i="41" s="1"/>
  <c r="M128" i="41" s="1"/>
  <c r="M119" i="41"/>
  <c r="R130" i="41"/>
  <c r="R118" i="41"/>
  <c r="Z53" i="41"/>
  <c r="Z54" i="41" s="1"/>
  <c r="Y54" i="41"/>
  <c r="L182" i="38"/>
  <c r="L199" i="38" s="1"/>
  <c r="L179" i="38"/>
  <c r="U182" i="38"/>
  <c r="U199" i="38" s="1"/>
  <c r="U179" i="38"/>
  <c r="P127" i="40"/>
  <c r="P128" i="40" s="1"/>
  <c r="I130" i="40"/>
  <c r="I118" i="40"/>
  <c r="Y172" i="40"/>
  <c r="Y174" i="40" s="1"/>
  <c r="Y58" i="40"/>
  <c r="Y241" i="40"/>
  <c r="Y176" i="40"/>
  <c r="Y79" i="40"/>
  <c r="Y100" i="40"/>
  <c r="K119" i="41"/>
  <c r="K126" i="41"/>
  <c r="K127" i="41" s="1"/>
  <c r="K128" i="41" s="1"/>
  <c r="Q127" i="40"/>
  <c r="Q128" i="40" s="1"/>
  <c r="R127" i="41"/>
  <c r="R128" i="41" s="1"/>
  <c r="J182" i="38"/>
  <c r="J199" i="38" s="1"/>
  <c r="J179" i="38"/>
  <c r="G130" i="40"/>
  <c r="G118" i="40"/>
  <c r="AG32" i="35"/>
  <c r="AH31" i="35"/>
  <c r="V363" i="38"/>
  <c r="V376" i="38" s="1"/>
  <c r="U119" i="41"/>
  <c r="U126" i="41"/>
  <c r="U127" i="41" s="1"/>
  <c r="U128" i="41" s="1"/>
  <c r="D286" i="38"/>
  <c r="L126" i="41"/>
  <c r="L119" i="41"/>
  <c r="Q130" i="40"/>
  <c r="Q118" i="40"/>
  <c r="X425" i="41"/>
  <c r="X430" i="41"/>
  <c r="X403" i="41" s="1"/>
  <c r="X416" i="41" s="1"/>
  <c r="X414" i="41"/>
  <c r="X434" i="41"/>
  <c r="X406" i="41" s="1"/>
  <c r="X415" i="41"/>
  <c r="Z331" i="38"/>
  <c r="D331" i="38" s="1"/>
  <c r="D287" i="38"/>
  <c r="K182" i="38"/>
  <c r="K199" i="38" s="1"/>
  <c r="K179" i="38"/>
  <c r="G127" i="40"/>
  <c r="G128" i="40" s="1"/>
  <c r="W236" i="38"/>
  <c r="V247" i="38"/>
  <c r="Q41" i="40"/>
  <c r="S33" i="41"/>
  <c r="S45" i="41"/>
  <c r="S42" i="41"/>
  <c r="Z119" i="38"/>
  <c r="Z126" i="38"/>
  <c r="X127" i="38"/>
  <c r="X128" i="38" s="1"/>
  <c r="V83" i="40"/>
  <c r="Q104" i="41"/>
  <c r="X239" i="41"/>
  <c r="X58" i="41"/>
  <c r="X79" i="41"/>
  <c r="X175" i="41"/>
  <c r="X100" i="41"/>
  <c r="X171" i="41"/>
  <c r="X173" i="41" s="1"/>
  <c r="Q45" i="40"/>
  <c r="Q42" i="40"/>
  <c r="Q33" i="40"/>
  <c r="U181" i="40"/>
  <c r="S41" i="41"/>
  <c r="T191" i="41"/>
  <c r="T192" i="41"/>
  <c r="T183" i="41"/>
  <c r="T197" i="41"/>
  <c r="T189" i="41"/>
  <c r="T194" i="41"/>
  <c r="T205" i="41"/>
  <c r="T193" i="41"/>
  <c r="T195" i="41"/>
  <c r="T190" i="41"/>
  <c r="N104" i="41"/>
  <c r="Y126" i="38"/>
  <c r="Y119" i="38"/>
  <c r="W47" i="42"/>
  <c r="X2" i="42"/>
  <c r="W1" i="42"/>
  <c r="W176" i="41"/>
  <c r="W177" i="41" s="1"/>
  <c r="X130" i="38"/>
  <c r="V62" i="40"/>
  <c r="AI27" i="35"/>
  <c r="X97" i="40"/>
  <c r="W98" i="40"/>
  <c r="W103" i="40" s="1"/>
  <c r="W108" i="40"/>
  <c r="V187" i="40"/>
  <c r="V415" i="38"/>
  <c r="V430" i="38"/>
  <c r="V403" i="38" s="1"/>
  <c r="V416" i="38" s="1"/>
  <c r="V434" i="38"/>
  <c r="V406" i="38" s="1"/>
  <c r="V414" i="38"/>
  <c r="V425" i="38"/>
  <c r="J104" i="41"/>
  <c r="T104" i="41"/>
  <c r="AB27" i="35"/>
  <c r="T28" i="35"/>
  <c r="W77" i="40"/>
  <c r="W82" i="40" s="1"/>
  <c r="AA13" i="47" s="1"/>
  <c r="X76" i="40"/>
  <c r="W87" i="40"/>
  <c r="Z7" i="41"/>
  <c r="Y3" i="41"/>
  <c r="Y8" i="41"/>
  <c r="Y6" i="41"/>
  <c r="Y2" i="41"/>
  <c r="V104" i="40"/>
  <c r="R40" i="40"/>
  <c r="R34" i="40"/>
  <c r="X169" i="40"/>
  <c r="W170" i="40"/>
  <c r="W178" i="40"/>
  <c r="V245" i="40"/>
  <c r="V127" i="41"/>
  <c r="V128" i="41" s="1"/>
  <c r="H104" i="41"/>
  <c r="V104" i="41"/>
  <c r="Z384" i="40"/>
  <c r="Z376" i="40"/>
  <c r="K104" i="41"/>
  <c r="T206" i="40"/>
  <c r="T198" i="40"/>
  <c r="T194" i="40"/>
  <c r="T195" i="40"/>
  <c r="T193" i="40"/>
  <c r="T190" i="40"/>
  <c r="T196" i="40"/>
  <c r="T192" i="40"/>
  <c r="T184" i="40"/>
  <c r="T191" i="40"/>
  <c r="E35" i="35"/>
  <c r="T32" i="40"/>
  <c r="S35" i="40"/>
  <c r="V183" i="40"/>
  <c r="V200" i="40" s="1"/>
  <c r="V180" i="40"/>
  <c r="V188" i="40" s="1"/>
  <c r="W249" i="40"/>
  <c r="X238" i="40"/>
  <c r="W239" i="40"/>
  <c r="W244" i="40" s="1"/>
  <c r="AA17" i="47" s="1"/>
  <c r="AA18" i="47" s="1"/>
  <c r="V130" i="41"/>
  <c r="X55" i="41"/>
  <c r="W66" i="41"/>
  <c r="O104" i="41"/>
  <c r="I104" i="41"/>
  <c r="Z399" i="41"/>
  <c r="Y411" i="41"/>
  <c r="Y419" i="41"/>
  <c r="Y371" i="41"/>
  <c r="Z359" i="41"/>
  <c r="Y379" i="41"/>
  <c r="W169" i="41"/>
  <c r="X168" i="41"/>
  <c r="S127" i="40"/>
  <c r="S128" i="40" s="1"/>
  <c r="L104" i="41"/>
  <c r="G104" i="41"/>
  <c r="S104" i="41"/>
  <c r="W108" i="41"/>
  <c r="X97" i="41"/>
  <c r="W98" i="41"/>
  <c r="W103" i="41" s="1"/>
  <c r="V182" i="41"/>
  <c r="V199" i="41" s="1"/>
  <c r="V179" i="41"/>
  <c r="V187" i="41" s="1"/>
  <c r="W126" i="41"/>
  <c r="W119" i="41"/>
  <c r="S130" i="40"/>
  <c r="S118" i="40"/>
  <c r="X357" i="38"/>
  <c r="Y338" i="38"/>
  <c r="V186" i="41"/>
  <c r="P104" i="41"/>
  <c r="F104" i="41"/>
  <c r="R31" i="35"/>
  <c r="S30" i="35"/>
  <c r="X3" i="47"/>
  <c r="W5" i="47"/>
  <c r="W4" i="47"/>
  <c r="W6" i="47"/>
  <c r="T126" i="40"/>
  <c r="T119" i="40"/>
  <c r="U35" i="41"/>
  <c r="V32" i="41"/>
  <c r="T40" i="41"/>
  <c r="T34" i="41"/>
  <c r="Y120" i="41"/>
  <c r="X121" i="41"/>
  <c r="W391" i="38"/>
  <c r="W431" i="38" s="1"/>
  <c r="W385" i="38"/>
  <c r="W397" i="38"/>
  <c r="W394" i="38"/>
  <c r="W366" i="38" s="1"/>
  <c r="W390" i="38"/>
  <c r="W374" i="38"/>
  <c r="W375" i="38"/>
  <c r="M104" i="41"/>
  <c r="U121" i="40"/>
  <c r="V120" i="40"/>
  <c r="W66" i="40"/>
  <c r="W56" i="40"/>
  <c r="X55" i="40"/>
  <c r="Z310" i="40" l="1"/>
  <c r="D310" i="40" s="1"/>
  <c r="Z412" i="40"/>
  <c r="Z426" i="40" s="1"/>
  <c r="Z441" i="40" s="1"/>
  <c r="D441" i="40" s="1"/>
  <c r="W61" i="40"/>
  <c r="W67" i="40"/>
  <c r="X236" i="41"/>
  <c r="W247" i="41"/>
  <c r="W237" i="41"/>
  <c r="W242" i="41" s="1"/>
  <c r="W243" i="41" s="1"/>
  <c r="O118" i="41"/>
  <c r="V180" i="38"/>
  <c r="O130" i="41"/>
  <c r="X76" i="38"/>
  <c r="X77" i="38" s="1"/>
  <c r="W87" i="38"/>
  <c r="X97" i="38"/>
  <c r="W108" i="38"/>
  <c r="W98" i="38"/>
  <c r="W103" i="38" s="1"/>
  <c r="W104" i="38" s="1"/>
  <c r="W82" i="38"/>
  <c r="W83" i="38" s="1"/>
  <c r="Z334" i="41"/>
  <c r="Z329" i="41"/>
  <c r="Z292" i="41"/>
  <c r="D285" i="41"/>
  <c r="Z330" i="41"/>
  <c r="D330" i="41" s="1"/>
  <c r="D286" i="41"/>
  <c r="F43" i="42"/>
  <c r="F44" i="42"/>
  <c r="Y323" i="38"/>
  <c r="Y328" i="38"/>
  <c r="Y317" i="38"/>
  <c r="Z294" i="38"/>
  <c r="R118" i="38"/>
  <c r="U183" i="41"/>
  <c r="U205" i="41"/>
  <c r="Y177" i="40"/>
  <c r="W56" i="41"/>
  <c r="W61" i="41" s="1"/>
  <c r="W62" i="41" s="1"/>
  <c r="P43" i="38"/>
  <c r="N183" i="41"/>
  <c r="N197" i="41"/>
  <c r="N191" i="41"/>
  <c r="N192" i="41"/>
  <c r="N193" i="41"/>
  <c r="N195" i="41"/>
  <c r="N189" i="41"/>
  <c r="N190" i="41"/>
  <c r="N205" i="41"/>
  <c r="N194" i="41"/>
  <c r="Q118" i="38"/>
  <c r="P130" i="38"/>
  <c r="P118" i="38"/>
  <c r="P197" i="41"/>
  <c r="P192" i="41"/>
  <c r="P190" i="41"/>
  <c r="P194" i="41"/>
  <c r="P193" i="41"/>
  <c r="P195" i="41"/>
  <c r="P189" i="41"/>
  <c r="P183" i="41"/>
  <c r="P205" i="41"/>
  <c r="P191" i="41"/>
  <c r="H183" i="41"/>
  <c r="H191" i="41"/>
  <c r="H192" i="41"/>
  <c r="H205" i="41"/>
  <c r="H194" i="41"/>
  <c r="H193" i="41"/>
  <c r="H190" i="41"/>
  <c r="H189" i="41"/>
  <c r="H195" i="41"/>
  <c r="H197" i="41"/>
  <c r="K130" i="38"/>
  <c r="K118" i="38"/>
  <c r="S191" i="41"/>
  <c r="S190" i="41"/>
  <c r="S197" i="41"/>
  <c r="S195" i="41"/>
  <c r="S193" i="41"/>
  <c r="S205" i="41"/>
  <c r="S192" i="41"/>
  <c r="S189" i="41"/>
  <c r="S183" i="41"/>
  <c r="S194" i="41"/>
  <c r="M130" i="38"/>
  <c r="M118" i="38"/>
  <c r="F194" i="41"/>
  <c r="F193" i="41"/>
  <c r="F192" i="41"/>
  <c r="F183" i="41"/>
  <c r="F191" i="41"/>
  <c r="F189" i="41"/>
  <c r="F205" i="41"/>
  <c r="F195" i="41"/>
  <c r="F197" i="41"/>
  <c r="F190" i="41"/>
  <c r="G205" i="41"/>
  <c r="G183" i="41"/>
  <c r="G190" i="41"/>
  <c r="G193" i="41"/>
  <c r="G191" i="41"/>
  <c r="G194" i="41"/>
  <c r="G189" i="41"/>
  <c r="G197" i="41"/>
  <c r="G192" i="41"/>
  <c r="G195" i="41"/>
  <c r="V43" i="38"/>
  <c r="R191" i="41"/>
  <c r="R183" i="41"/>
  <c r="R193" i="41"/>
  <c r="R194" i="41"/>
  <c r="R190" i="41"/>
  <c r="R205" i="41"/>
  <c r="R189" i="41"/>
  <c r="R192" i="41"/>
  <c r="R195" i="41"/>
  <c r="R197" i="41"/>
  <c r="H118" i="38"/>
  <c r="H130" i="38"/>
  <c r="J130" i="38"/>
  <c r="J118" i="38"/>
  <c r="Q189" i="41"/>
  <c r="Q192" i="41"/>
  <c r="Q205" i="41"/>
  <c r="Q191" i="41"/>
  <c r="Q197" i="41"/>
  <c r="Q183" i="41"/>
  <c r="Q190" i="41"/>
  <c r="Q193" i="41"/>
  <c r="Q194" i="41"/>
  <c r="Q195" i="41"/>
  <c r="U118" i="38"/>
  <c r="T130" i="38"/>
  <c r="T118" i="38"/>
  <c r="O192" i="41"/>
  <c r="O195" i="41"/>
  <c r="O197" i="41"/>
  <c r="O193" i="41"/>
  <c r="O183" i="41"/>
  <c r="O191" i="41"/>
  <c r="O190" i="41"/>
  <c r="O189" i="41"/>
  <c r="O194" i="41"/>
  <c r="O205" i="41"/>
  <c r="K189" i="41"/>
  <c r="K197" i="41"/>
  <c r="K183" i="41"/>
  <c r="K191" i="41"/>
  <c r="K192" i="41"/>
  <c r="K194" i="41"/>
  <c r="K195" i="41"/>
  <c r="K205" i="41"/>
  <c r="K193" i="41"/>
  <c r="K190" i="41"/>
  <c r="I130" i="38"/>
  <c r="I118" i="38"/>
  <c r="W130" i="38"/>
  <c r="W118" i="38"/>
  <c r="L189" i="41"/>
  <c r="L193" i="41"/>
  <c r="L190" i="41"/>
  <c r="L192" i="41"/>
  <c r="L197" i="41"/>
  <c r="L195" i="41"/>
  <c r="L183" i="41"/>
  <c r="L191" i="41"/>
  <c r="L205" i="41"/>
  <c r="L194" i="41"/>
  <c r="J189" i="41"/>
  <c r="J191" i="41"/>
  <c r="J197" i="41"/>
  <c r="J195" i="41"/>
  <c r="J183" i="41"/>
  <c r="J190" i="41"/>
  <c r="J192" i="41"/>
  <c r="J194" i="41"/>
  <c r="J193" i="41"/>
  <c r="J205" i="41"/>
  <c r="S130" i="38"/>
  <c r="S118" i="38"/>
  <c r="D334" i="40"/>
  <c r="V130" i="38"/>
  <c r="V118" i="38"/>
  <c r="X159" i="41"/>
  <c r="G130" i="38"/>
  <c r="G118" i="38"/>
  <c r="F130" i="38"/>
  <c r="F118" i="38"/>
  <c r="N118" i="38"/>
  <c r="N130" i="38"/>
  <c r="O130" i="38"/>
  <c r="O118" i="38"/>
  <c r="U193" i="41"/>
  <c r="Q56" i="41"/>
  <c r="Q61" i="41" s="1"/>
  <c r="Q62" i="41" s="1"/>
  <c r="Z363" i="41"/>
  <c r="Z376" i="41" s="1"/>
  <c r="X228" i="41"/>
  <c r="Y399" i="40"/>
  <c r="Y371" i="40" s="1"/>
  <c r="Y390" i="40"/>
  <c r="Y380" i="40"/>
  <c r="Y379" i="40"/>
  <c r="Y402" i="40"/>
  <c r="Y442" i="40" s="1"/>
  <c r="Y396" i="40"/>
  <c r="Y438" i="40" s="1"/>
  <c r="Y395" i="40"/>
  <c r="X368" i="40"/>
  <c r="X381" i="40" s="1"/>
  <c r="Z402" i="40"/>
  <c r="Z442" i="40" s="1"/>
  <c r="Z396" i="40"/>
  <c r="Z438" i="40" s="1"/>
  <c r="Z399" i="40"/>
  <c r="Z371" i="40" s="1"/>
  <c r="Z379" i="40"/>
  <c r="Z380" i="40"/>
  <c r="Z395" i="40"/>
  <c r="Z390" i="40"/>
  <c r="U194" i="41"/>
  <c r="Y42" i="38"/>
  <c r="Y43" i="38" s="1"/>
  <c r="Y33" i="38"/>
  <c r="Y45" i="38"/>
  <c r="U190" i="41"/>
  <c r="Z45" i="38"/>
  <c r="Z42" i="38"/>
  <c r="Z43" i="38" s="1"/>
  <c r="Z33" i="38"/>
  <c r="U189" i="41"/>
  <c r="S43" i="41"/>
  <c r="U197" i="41"/>
  <c r="U195" i="41"/>
  <c r="Y363" i="41"/>
  <c r="Y376" i="41" s="1"/>
  <c r="U191" i="41"/>
  <c r="W325" i="41"/>
  <c r="W326" i="41" s="1"/>
  <c r="X420" i="40"/>
  <c r="X421" i="40"/>
  <c r="X411" i="40"/>
  <c r="X437" i="40"/>
  <c r="X408" i="40" s="1"/>
  <c r="X422" i="40" s="1"/>
  <c r="X432" i="40"/>
  <c r="Z277" i="38"/>
  <c r="Z308" i="38" s="1"/>
  <c r="Z324" i="38"/>
  <c r="Z271" i="38"/>
  <c r="W273" i="41"/>
  <c r="W433" i="41" s="1"/>
  <c r="X271" i="41"/>
  <c r="X324" i="41"/>
  <c r="Z274" i="40"/>
  <c r="Z276" i="40" s="1"/>
  <c r="Z329" i="40"/>
  <c r="Z228" i="40"/>
  <c r="Z230" i="40" s="1"/>
  <c r="Z392" i="38"/>
  <c r="Z377" i="38"/>
  <c r="Z432" i="38"/>
  <c r="Z417" i="38"/>
  <c r="X432" i="41"/>
  <c r="X417" i="41"/>
  <c r="Z280" i="40"/>
  <c r="Z312" i="40" s="1"/>
  <c r="Y3" i="38"/>
  <c r="Y8" i="38"/>
  <c r="Y6" i="38"/>
  <c r="Z7" i="38"/>
  <c r="Y2" i="38"/>
  <c r="Z228" i="38"/>
  <c r="X377" i="41"/>
  <c r="X392" i="41"/>
  <c r="X171" i="38"/>
  <c r="X173" i="38" s="1"/>
  <c r="X239" i="38"/>
  <c r="X58" i="38"/>
  <c r="X79" i="38"/>
  <c r="X175" i="38"/>
  <c r="X100" i="38"/>
  <c r="Z159" i="38"/>
  <c r="Y275" i="41"/>
  <c r="Y350" i="41"/>
  <c r="Y162" i="41"/>
  <c r="Y365" i="41"/>
  <c r="Y405" i="41"/>
  <c r="Y418" i="41" s="1"/>
  <c r="Y230" i="41"/>
  <c r="Y404" i="41"/>
  <c r="Z140" i="41"/>
  <c r="Y364" i="41"/>
  <c r="Y156" i="41"/>
  <c r="Y155" i="41"/>
  <c r="Y225" i="41"/>
  <c r="Y257" i="41"/>
  <c r="Y265" i="41" s="1"/>
  <c r="Y270" i="41"/>
  <c r="Y212" i="41"/>
  <c r="Y220" i="41" s="1"/>
  <c r="Y272" i="41"/>
  <c r="Y142" i="41"/>
  <c r="Y150" i="41" s="1"/>
  <c r="Y158" i="41"/>
  <c r="Y227" i="41"/>
  <c r="Z158" i="40"/>
  <c r="Z160" i="40" s="1"/>
  <c r="W176" i="38"/>
  <c r="W177" i="38" s="1"/>
  <c r="W186" i="38" s="1"/>
  <c r="Z439" i="40"/>
  <c r="Z423" i="40"/>
  <c r="Y330" i="40"/>
  <c r="Y331" i="40" s="1"/>
  <c r="Y440" i="40"/>
  <c r="Z378" i="38"/>
  <c r="Z393" i="38"/>
  <c r="X277" i="41"/>
  <c r="X308" i="41" s="1"/>
  <c r="Y273" i="38"/>
  <c r="Y433" i="38" s="1"/>
  <c r="Y325" i="38"/>
  <c r="Y326" i="38" s="1"/>
  <c r="Y76" i="41"/>
  <c r="Z383" i="40"/>
  <c r="Z398" i="40"/>
  <c r="Z382" i="40"/>
  <c r="Z397" i="40"/>
  <c r="X378" i="41"/>
  <c r="X393" i="41"/>
  <c r="Z75" i="41"/>
  <c r="G14" i="47"/>
  <c r="G7" i="47" s="1"/>
  <c r="H14" i="47"/>
  <c r="H7" i="47" s="1"/>
  <c r="L187" i="38"/>
  <c r="L180" i="38"/>
  <c r="M130" i="41"/>
  <c r="M118" i="41"/>
  <c r="S187" i="38"/>
  <c r="S180" i="38"/>
  <c r="H118" i="41"/>
  <c r="H130" i="41"/>
  <c r="I187" i="38"/>
  <c r="I180" i="38"/>
  <c r="J130" i="41"/>
  <c r="J118" i="41"/>
  <c r="U118" i="41"/>
  <c r="U130" i="41"/>
  <c r="N118" i="41"/>
  <c r="N130" i="41"/>
  <c r="Y414" i="41"/>
  <c r="Y425" i="41"/>
  <c r="Y430" i="41"/>
  <c r="Y403" i="41" s="1"/>
  <c r="Y416" i="41" s="1"/>
  <c r="Y415" i="41"/>
  <c r="Y434" i="41"/>
  <c r="Y406" i="41" s="1"/>
  <c r="N187" i="38"/>
  <c r="N180" i="38"/>
  <c r="Q187" i="38"/>
  <c r="Q180" i="38"/>
  <c r="Q43" i="40"/>
  <c r="J187" i="38"/>
  <c r="J180" i="38"/>
  <c r="K130" i="41"/>
  <c r="K118" i="41"/>
  <c r="R56" i="41"/>
  <c r="R61" i="41" s="1"/>
  <c r="R62" i="41" s="1"/>
  <c r="U56" i="41"/>
  <c r="U61" i="41" s="1"/>
  <c r="U62" i="41" s="1"/>
  <c r="T56" i="41"/>
  <c r="T61" i="41" s="1"/>
  <c r="T62" i="41" s="1"/>
  <c r="V56" i="41"/>
  <c r="V61" i="41" s="1"/>
  <c r="V62" i="41" s="1"/>
  <c r="N127" i="41"/>
  <c r="N128" i="41" s="1"/>
  <c r="Y54" i="38"/>
  <c r="Z53" i="38"/>
  <c r="Z54" i="38" s="1"/>
  <c r="P187" i="38"/>
  <c r="P180" i="38"/>
  <c r="F56" i="41"/>
  <c r="F61" i="41" s="1"/>
  <c r="F62" i="41" s="1"/>
  <c r="G56" i="41"/>
  <c r="G61" i="41" s="1"/>
  <c r="G62" i="41" s="1"/>
  <c r="H56" i="41"/>
  <c r="H61" i="41" s="1"/>
  <c r="H62" i="41" s="1"/>
  <c r="J56" i="41"/>
  <c r="J61" i="41" s="1"/>
  <c r="J62" i="41" s="1"/>
  <c r="I56" i="41"/>
  <c r="I61" i="41" s="1"/>
  <c r="I62" i="41" s="1"/>
  <c r="N56" i="41"/>
  <c r="N61" i="41" s="1"/>
  <c r="N62" i="41" s="1"/>
  <c r="K56" i="41"/>
  <c r="K61" i="41" s="1"/>
  <c r="K62" i="41" s="1"/>
  <c r="L56" i="41"/>
  <c r="L61" i="41" s="1"/>
  <c r="L62" i="41" s="1"/>
  <c r="P56" i="41"/>
  <c r="P61" i="41" s="1"/>
  <c r="P62" i="41" s="1"/>
  <c r="O56" i="41"/>
  <c r="O61" i="41" s="1"/>
  <c r="O62" i="41" s="1"/>
  <c r="M56" i="41"/>
  <c r="M61" i="41" s="1"/>
  <c r="M62" i="41" s="1"/>
  <c r="Z241" i="40"/>
  <c r="Z79" i="40"/>
  <c r="Z100" i="40"/>
  <c r="Z58" i="40"/>
  <c r="Z172" i="40"/>
  <c r="Z174" i="40" s="1"/>
  <c r="Z176" i="40"/>
  <c r="M187" i="38"/>
  <c r="M180" i="38"/>
  <c r="G118" i="41"/>
  <c r="G130" i="41"/>
  <c r="Z168" i="38"/>
  <c r="Z169" i="38" s="1"/>
  <c r="Y169" i="38"/>
  <c r="W363" i="38"/>
  <c r="W376" i="38" s="1"/>
  <c r="W247" i="38"/>
  <c r="X236" i="38"/>
  <c r="G187" i="38"/>
  <c r="G180" i="38"/>
  <c r="G127" i="41"/>
  <c r="G128" i="41" s="1"/>
  <c r="C43" i="35"/>
  <c r="B44" i="35"/>
  <c r="X179" i="38"/>
  <c r="X187" i="38" s="1"/>
  <c r="X182" i="38"/>
  <c r="X199" i="38" s="1"/>
  <c r="Y235" i="38"/>
  <c r="Z234" i="38"/>
  <c r="Z235" i="38" s="1"/>
  <c r="S118" i="41"/>
  <c r="S130" i="41"/>
  <c r="L118" i="41"/>
  <c r="L130" i="41"/>
  <c r="T187" i="38"/>
  <c r="T180" i="38"/>
  <c r="K187" i="38"/>
  <c r="K180" i="38"/>
  <c r="L127" i="41"/>
  <c r="L128" i="41" s="1"/>
  <c r="U187" i="38"/>
  <c r="U180" i="38"/>
  <c r="Z425" i="41"/>
  <c r="Z430" i="41"/>
  <c r="Z403" i="41" s="1"/>
  <c r="Z416" i="41" s="1"/>
  <c r="Z415" i="41"/>
  <c r="Z414" i="41"/>
  <c r="Z434" i="41"/>
  <c r="Z406" i="41" s="1"/>
  <c r="O187" i="38"/>
  <c r="O180" i="38"/>
  <c r="V205" i="38"/>
  <c r="V195" i="38"/>
  <c r="V190" i="38"/>
  <c r="V189" i="38"/>
  <c r="V191" i="38"/>
  <c r="V194" i="38"/>
  <c r="V183" i="38"/>
  <c r="V197" i="38"/>
  <c r="V193" i="38"/>
  <c r="V192" i="38"/>
  <c r="F127" i="41"/>
  <c r="F128" i="41" s="1"/>
  <c r="I130" i="41"/>
  <c r="I118" i="41"/>
  <c r="S56" i="41"/>
  <c r="S61" i="41" s="1"/>
  <c r="S62" i="41" s="1"/>
  <c r="V118" i="41"/>
  <c r="AH32" i="35"/>
  <c r="AG33" i="35"/>
  <c r="H127" i="41"/>
  <c r="H128" i="41" s="1"/>
  <c r="R187" i="38"/>
  <c r="R180" i="38"/>
  <c r="F180" i="38"/>
  <c r="F187" i="38"/>
  <c r="F130" i="41"/>
  <c r="F118" i="41"/>
  <c r="H187" i="38"/>
  <c r="H180" i="38"/>
  <c r="J127" i="41"/>
  <c r="J128" i="41" s="1"/>
  <c r="X176" i="41"/>
  <c r="X177" i="41" s="1"/>
  <c r="X186" i="41" s="1"/>
  <c r="U193" i="40"/>
  <c r="U206" i="40"/>
  <c r="U184" i="40"/>
  <c r="U195" i="40"/>
  <c r="U196" i="40"/>
  <c r="U198" i="40"/>
  <c r="U191" i="40"/>
  <c r="U192" i="40"/>
  <c r="U194" i="40"/>
  <c r="U190" i="40"/>
  <c r="W32" i="41"/>
  <c r="V35" i="41"/>
  <c r="X4" i="47"/>
  <c r="Y3" i="47"/>
  <c r="X5" i="47"/>
  <c r="X6" i="47"/>
  <c r="V180" i="41"/>
  <c r="X108" i="41"/>
  <c r="Y97" i="41"/>
  <c r="X98" i="41"/>
  <c r="X103" i="41" s="1"/>
  <c r="Y169" i="40"/>
  <c r="X170" i="40"/>
  <c r="X178" i="40"/>
  <c r="W120" i="40"/>
  <c r="V121" i="40"/>
  <c r="W104" i="41"/>
  <c r="U119" i="40"/>
  <c r="U126" i="40"/>
  <c r="X66" i="40"/>
  <c r="Y55" i="40"/>
  <c r="X56" i="40"/>
  <c r="U40" i="41"/>
  <c r="U34" i="41"/>
  <c r="Y168" i="41"/>
  <c r="X169" i="41"/>
  <c r="R33" i="40"/>
  <c r="R45" i="40"/>
  <c r="R42" i="40"/>
  <c r="W414" i="38"/>
  <c r="W430" i="38"/>
  <c r="W403" i="38" s="1"/>
  <c r="W416" i="38" s="1"/>
  <c r="W434" i="38"/>
  <c r="W406" i="38" s="1"/>
  <c r="W415" i="38"/>
  <c r="W425" i="38"/>
  <c r="W62" i="40"/>
  <c r="X119" i="41"/>
  <c r="X126" i="41"/>
  <c r="T130" i="40"/>
  <c r="T118" i="40"/>
  <c r="W182" i="41"/>
  <c r="W199" i="41" s="1"/>
  <c r="W179" i="41"/>
  <c r="W187" i="41" s="1"/>
  <c r="S34" i="40"/>
  <c r="S40" i="40"/>
  <c r="R41" i="40"/>
  <c r="Z2" i="41"/>
  <c r="Z3" i="41"/>
  <c r="Z6" i="41"/>
  <c r="D51" i="28" s="1"/>
  <c r="Z8" i="41"/>
  <c r="AB28" i="35"/>
  <c r="T29" i="35"/>
  <c r="V181" i="40"/>
  <c r="AI28" i="35"/>
  <c r="Y2" i="42"/>
  <c r="X47" i="42"/>
  <c r="X1" i="42"/>
  <c r="S31" i="35"/>
  <c r="R32" i="35"/>
  <c r="U32" i="40"/>
  <c r="T35" i="40"/>
  <c r="W83" i="40"/>
  <c r="Z120" i="41"/>
  <c r="Z121" i="41" s="1"/>
  <c r="Y121" i="41"/>
  <c r="T127" i="40"/>
  <c r="T128" i="40" s="1"/>
  <c r="Z338" i="38"/>
  <c r="Z357" i="38" s="1"/>
  <c r="Y357" i="38"/>
  <c r="Z371" i="41"/>
  <c r="Z379" i="41"/>
  <c r="W186" i="41"/>
  <c r="Y130" i="38"/>
  <c r="Y118" i="38"/>
  <c r="E36" i="35"/>
  <c r="W183" i="40"/>
  <c r="W200" i="40" s="1"/>
  <c r="W180" i="40"/>
  <c r="W188" i="40" s="1"/>
  <c r="Z130" i="38"/>
  <c r="Z118" i="38"/>
  <c r="X374" i="38"/>
  <c r="X397" i="38"/>
  <c r="X375" i="38"/>
  <c r="X385" i="38"/>
  <c r="X394" i="38"/>
  <c r="X366" i="38" s="1"/>
  <c r="X391" i="38"/>
  <c r="X431" i="38" s="1"/>
  <c r="X390" i="38"/>
  <c r="W118" i="41"/>
  <c r="W130" i="41"/>
  <c r="W245" i="40"/>
  <c r="W104" i="40"/>
  <c r="Y127" i="38"/>
  <c r="Y128" i="38" s="1"/>
  <c r="X66" i="41"/>
  <c r="X56" i="41"/>
  <c r="X61" i="41" s="1"/>
  <c r="Y55" i="41"/>
  <c r="T33" i="41"/>
  <c r="T45" i="41"/>
  <c r="T42" i="41"/>
  <c r="T41" i="41"/>
  <c r="W127" i="41"/>
  <c r="W128" i="41" s="1"/>
  <c r="Z411" i="41"/>
  <c r="Z419" i="41"/>
  <c r="X239" i="40"/>
  <c r="X244" i="40" s="1"/>
  <c r="Y238" i="40"/>
  <c r="X249" i="40"/>
  <c r="W187" i="40"/>
  <c r="Y58" i="41"/>
  <c r="Y239" i="41"/>
  <c r="Y175" i="41"/>
  <c r="Y100" i="41"/>
  <c r="Y79" i="41"/>
  <c r="Y171" i="41"/>
  <c r="Y173" i="41" s="1"/>
  <c r="X87" i="40"/>
  <c r="Y76" i="40"/>
  <c r="X77" i="40"/>
  <c r="X82" i="40" s="1"/>
  <c r="X108" i="40"/>
  <c r="Y97" i="40"/>
  <c r="X98" i="40"/>
  <c r="X103" i="40" s="1"/>
  <c r="Z127" i="38"/>
  <c r="Z128" i="38" s="1"/>
  <c r="X61" i="40" l="1"/>
  <c r="X67" i="40"/>
  <c r="F77" i="41"/>
  <c r="F82" i="41" s="1"/>
  <c r="G77" i="41"/>
  <c r="G82" i="41" s="1"/>
  <c r="H77" i="41"/>
  <c r="J77" i="41"/>
  <c r="I77" i="41"/>
  <c r="K77" i="41"/>
  <c r="L77" i="41"/>
  <c r="M77" i="41"/>
  <c r="N77" i="41"/>
  <c r="O77" i="41"/>
  <c r="O82" i="41" s="1"/>
  <c r="P77" i="41"/>
  <c r="Q77" i="41"/>
  <c r="R77" i="41"/>
  <c r="S77" i="41"/>
  <c r="S82" i="41" s="1"/>
  <c r="T77" i="41"/>
  <c r="V77" i="41"/>
  <c r="U77" i="41"/>
  <c r="W77" i="41"/>
  <c r="W82" i="41" s="1"/>
  <c r="W83" i="41" s="1"/>
  <c r="Y77" i="41"/>
  <c r="X77" i="41"/>
  <c r="X237" i="41"/>
  <c r="X242" i="41" s="1"/>
  <c r="X243" i="41" s="1"/>
  <c r="Y236" i="41"/>
  <c r="X247" i="41"/>
  <c r="X82" i="38"/>
  <c r="X87" i="38"/>
  <c r="Y76" i="38"/>
  <c r="Y77" i="38" s="1"/>
  <c r="Y97" i="38"/>
  <c r="X98" i="38"/>
  <c r="X103" i="38" s="1"/>
  <c r="X104" i="38" s="1"/>
  <c r="X108" i="38"/>
  <c r="W181" i="40"/>
  <c r="W184" i="40" s="1"/>
  <c r="Z336" i="41"/>
  <c r="D329" i="41"/>
  <c r="F50" i="42"/>
  <c r="G50" i="42"/>
  <c r="Z323" i="38"/>
  <c r="Z328" i="38"/>
  <c r="Z317" i="38"/>
  <c r="W180" i="41"/>
  <c r="W195" i="41" s="1"/>
  <c r="T43" i="41"/>
  <c r="R43" i="40"/>
  <c r="W180" i="38"/>
  <c r="W195" i="38" s="1"/>
  <c r="S237" i="38"/>
  <c r="S242" i="38" s="1"/>
  <c r="S243" i="38" s="1"/>
  <c r="U237" i="38"/>
  <c r="U242" i="38" s="1"/>
  <c r="U243" i="38" s="1"/>
  <c r="Z177" i="40"/>
  <c r="Z420" i="40"/>
  <c r="Z437" i="40"/>
  <c r="Z408" i="40" s="1"/>
  <c r="Z422" i="40" s="1"/>
  <c r="Z432" i="40"/>
  <c r="Z411" i="40"/>
  <c r="Z421" i="40"/>
  <c r="X176" i="38"/>
  <c r="X177" i="38" s="1"/>
  <c r="Y368" i="40"/>
  <c r="Y381" i="40" s="1"/>
  <c r="Z368" i="40"/>
  <c r="Z381" i="40" s="1"/>
  <c r="Y432" i="40"/>
  <c r="Y421" i="40"/>
  <c r="Y420" i="40"/>
  <c r="Y437" i="40"/>
  <c r="Y408" i="40" s="1"/>
  <c r="Y422" i="40" s="1"/>
  <c r="Y411" i="40"/>
  <c r="U82" i="41"/>
  <c r="U83" i="41" s="1"/>
  <c r="M82" i="41"/>
  <c r="J82" i="41"/>
  <c r="Q82" i="41"/>
  <c r="I14" i="47"/>
  <c r="I7" i="47" s="1"/>
  <c r="H82" i="41"/>
  <c r="N82" i="41"/>
  <c r="I82" i="41"/>
  <c r="T82" i="41"/>
  <c r="T83" i="41" s="1"/>
  <c r="P82" i="41"/>
  <c r="K82" i="41"/>
  <c r="L82" i="41"/>
  <c r="R82" i="41"/>
  <c r="Z3" i="38"/>
  <c r="Z8" i="38"/>
  <c r="Z6" i="38"/>
  <c r="Z2" i="38"/>
  <c r="X82" i="41"/>
  <c r="X83" i="41" s="1"/>
  <c r="Y226" i="41"/>
  <c r="Y228" i="41" s="1"/>
  <c r="Y378" i="41"/>
  <c r="Y393" i="41"/>
  <c r="X273" i="41"/>
  <c r="X433" i="41" s="1"/>
  <c r="X325" i="41"/>
  <c r="X326" i="41" s="1"/>
  <c r="Z76" i="41"/>
  <c r="Z77" i="41" s="1"/>
  <c r="Y82" i="41"/>
  <c r="Y83" i="41" s="1"/>
  <c r="Y87" i="41"/>
  <c r="Y157" i="41"/>
  <c r="Y159" i="41" s="1"/>
  <c r="Z273" i="38"/>
  <c r="Z433" i="38" s="1"/>
  <c r="Z325" i="38"/>
  <c r="Z326" i="38" s="1"/>
  <c r="V82" i="41"/>
  <c r="V83" i="41" s="1"/>
  <c r="Y377" i="41"/>
  <c r="Y392" i="41"/>
  <c r="Y277" i="41"/>
  <c r="Y308" i="41" s="1"/>
  <c r="Z275" i="41"/>
  <c r="Z212" i="41"/>
  <c r="Z220" i="41" s="1"/>
  <c r="Z158" i="41"/>
  <c r="Z365" i="41"/>
  <c r="Z270" i="41"/>
  <c r="Z350" i="41"/>
  <c r="Z404" i="41"/>
  <c r="Z405" i="41"/>
  <c r="Z418" i="41" s="1"/>
  <c r="Z227" i="41"/>
  <c r="Z225" i="41"/>
  <c r="Z226" i="41" s="1"/>
  <c r="Z230" i="41"/>
  <c r="Z272" i="41"/>
  <c r="Z142" i="41"/>
  <c r="Z150" i="41" s="1"/>
  <c r="Z257" i="41"/>
  <c r="Z265" i="41" s="1"/>
  <c r="Z364" i="41"/>
  <c r="Z155" i="41"/>
  <c r="Z156" i="41"/>
  <c r="Z162" i="41"/>
  <c r="Q237" i="38"/>
  <c r="Q242" i="38" s="1"/>
  <c r="Q243" i="38" s="1"/>
  <c r="Y432" i="41"/>
  <c r="Y417" i="41"/>
  <c r="Y271" i="41"/>
  <c r="Y324" i="41"/>
  <c r="Y171" i="38"/>
  <c r="Y173" i="38" s="1"/>
  <c r="Y175" i="38"/>
  <c r="Y79" i="38"/>
  <c r="Y100" i="38"/>
  <c r="Y58" i="38"/>
  <c r="Y239" i="38"/>
  <c r="Z440" i="40"/>
  <c r="Z330" i="40"/>
  <c r="Z331" i="40" s="1"/>
  <c r="L191" i="38"/>
  <c r="L192" i="38"/>
  <c r="L193" i="38"/>
  <c r="L205" i="38"/>
  <c r="L194" i="38"/>
  <c r="L195" i="38"/>
  <c r="L183" i="38"/>
  <c r="L197" i="38"/>
  <c r="L189" i="38"/>
  <c r="L190" i="38"/>
  <c r="K193" i="38"/>
  <c r="K190" i="38"/>
  <c r="K183" i="38"/>
  <c r="K205" i="38"/>
  <c r="K197" i="38"/>
  <c r="K192" i="38"/>
  <c r="K194" i="38"/>
  <c r="K189" i="38"/>
  <c r="K195" i="38"/>
  <c r="K191" i="38"/>
  <c r="J195" i="38"/>
  <c r="J192" i="38"/>
  <c r="J190" i="38"/>
  <c r="J183" i="38"/>
  <c r="J189" i="38"/>
  <c r="J191" i="38"/>
  <c r="J197" i="38"/>
  <c r="J194" i="38"/>
  <c r="J193" i="38"/>
  <c r="J205" i="38"/>
  <c r="Q205" i="38"/>
  <c r="Q192" i="38"/>
  <c r="Q191" i="38"/>
  <c r="Q193" i="38"/>
  <c r="Q195" i="38"/>
  <c r="Q190" i="38"/>
  <c r="Q189" i="38"/>
  <c r="Q197" i="38"/>
  <c r="Q183" i="38"/>
  <c r="Q194" i="38"/>
  <c r="C44" i="35"/>
  <c r="B45" i="35"/>
  <c r="S193" i="38"/>
  <c r="S191" i="38"/>
  <c r="S189" i="38"/>
  <c r="S195" i="38"/>
  <c r="S183" i="38"/>
  <c r="S205" i="38"/>
  <c r="S192" i="38"/>
  <c r="S194" i="38"/>
  <c r="S190" i="38"/>
  <c r="S197" i="38"/>
  <c r="W194" i="38"/>
  <c r="W183" i="38"/>
  <c r="U192" i="38"/>
  <c r="U194" i="38"/>
  <c r="U191" i="38"/>
  <c r="U205" i="38"/>
  <c r="U189" i="38"/>
  <c r="U195" i="38"/>
  <c r="U193" i="38"/>
  <c r="U190" i="38"/>
  <c r="U183" i="38"/>
  <c r="U197" i="38"/>
  <c r="F190" i="38"/>
  <c r="F191" i="38"/>
  <c r="F194" i="38"/>
  <c r="F192" i="38"/>
  <c r="F195" i="38"/>
  <c r="F197" i="38"/>
  <c r="F183" i="38"/>
  <c r="F205" i="38"/>
  <c r="F189" i="38"/>
  <c r="F193" i="38"/>
  <c r="AH33" i="35"/>
  <c r="AG34" i="35"/>
  <c r="F237" i="38"/>
  <c r="F242" i="38" s="1"/>
  <c r="F243" i="38" s="1"/>
  <c r="I237" i="38"/>
  <c r="I242" i="38" s="1"/>
  <c r="I243" i="38" s="1"/>
  <c r="G237" i="38"/>
  <c r="G242" i="38" s="1"/>
  <c r="G243" i="38" s="1"/>
  <c r="H237" i="38"/>
  <c r="H242" i="38" s="1"/>
  <c r="H243" i="38" s="1"/>
  <c r="J237" i="38"/>
  <c r="J242" i="38" s="1"/>
  <c r="J243" i="38" s="1"/>
  <c r="L237" i="38"/>
  <c r="L242" i="38" s="1"/>
  <c r="L243" i="38" s="1"/>
  <c r="K237" i="38"/>
  <c r="K242" i="38" s="1"/>
  <c r="K243" i="38" s="1"/>
  <c r="M237" i="38"/>
  <c r="M242" i="38" s="1"/>
  <c r="M243" i="38" s="1"/>
  <c r="N237" i="38"/>
  <c r="N242" i="38" s="1"/>
  <c r="N243" i="38" s="1"/>
  <c r="O237" i="38"/>
  <c r="O242" i="38" s="1"/>
  <c r="O243" i="38" s="1"/>
  <c r="P237" i="38"/>
  <c r="P242" i="38" s="1"/>
  <c r="P243" i="38" s="1"/>
  <c r="R237" i="38"/>
  <c r="R242" i="38" s="1"/>
  <c r="R243" i="38" s="1"/>
  <c r="X247" i="38"/>
  <c r="X237" i="38"/>
  <c r="X242" i="38" s="1"/>
  <c r="X243" i="38" s="1"/>
  <c r="Y236" i="38"/>
  <c r="Y182" i="38"/>
  <c r="Y199" i="38" s="1"/>
  <c r="Y179" i="38"/>
  <c r="M205" i="38"/>
  <c r="M189" i="38"/>
  <c r="M183" i="38"/>
  <c r="M191" i="38"/>
  <c r="M190" i="38"/>
  <c r="M193" i="38"/>
  <c r="M197" i="38"/>
  <c r="M195" i="38"/>
  <c r="M194" i="38"/>
  <c r="M192" i="38"/>
  <c r="P193" i="38"/>
  <c r="P183" i="38"/>
  <c r="P189" i="38"/>
  <c r="P197" i="38"/>
  <c r="P192" i="38"/>
  <c r="P195" i="38"/>
  <c r="P190" i="38"/>
  <c r="P191" i="38"/>
  <c r="P194" i="38"/>
  <c r="P205" i="38"/>
  <c r="N191" i="38"/>
  <c r="N205" i="38"/>
  <c r="N193" i="38"/>
  <c r="N190" i="38"/>
  <c r="N189" i="38"/>
  <c r="N195" i="38"/>
  <c r="N192" i="38"/>
  <c r="N183" i="38"/>
  <c r="N194" i="38"/>
  <c r="N197" i="38"/>
  <c r="H183" i="38"/>
  <c r="H192" i="38"/>
  <c r="H197" i="38"/>
  <c r="H194" i="38"/>
  <c r="H189" i="38"/>
  <c r="H190" i="38"/>
  <c r="H191" i="38"/>
  <c r="H195" i="38"/>
  <c r="H193" i="38"/>
  <c r="H205" i="38"/>
  <c r="R192" i="38"/>
  <c r="R197" i="38"/>
  <c r="R205" i="38"/>
  <c r="R193" i="38"/>
  <c r="R191" i="38"/>
  <c r="R189" i="38"/>
  <c r="R190" i="38"/>
  <c r="R194" i="38"/>
  <c r="R183" i="38"/>
  <c r="R195" i="38"/>
  <c r="O190" i="38"/>
  <c r="O192" i="38"/>
  <c r="O197" i="38"/>
  <c r="O195" i="38"/>
  <c r="O194" i="38"/>
  <c r="O183" i="38"/>
  <c r="O205" i="38"/>
  <c r="O189" i="38"/>
  <c r="O193" i="38"/>
  <c r="O191" i="38"/>
  <c r="T193" i="38"/>
  <c r="T205" i="38"/>
  <c r="T189" i="38"/>
  <c r="T197" i="38"/>
  <c r="T190" i="38"/>
  <c r="T194" i="38"/>
  <c r="T192" i="38"/>
  <c r="T191" i="38"/>
  <c r="T183" i="38"/>
  <c r="T195" i="38"/>
  <c r="T237" i="38"/>
  <c r="T242" i="38" s="1"/>
  <c r="T243" i="38" s="1"/>
  <c r="V237" i="38"/>
  <c r="V242" i="38" s="1"/>
  <c r="V243" i="38" s="1"/>
  <c r="G205" i="38"/>
  <c r="G192" i="38"/>
  <c r="G194" i="38"/>
  <c r="G190" i="38"/>
  <c r="G197" i="38"/>
  <c r="G191" i="38"/>
  <c r="G183" i="38"/>
  <c r="G193" i="38"/>
  <c r="G195" i="38"/>
  <c r="G189" i="38"/>
  <c r="W237" i="38"/>
  <c r="W242" i="38" s="1"/>
  <c r="W243" i="38" s="1"/>
  <c r="Z182" i="38"/>
  <c r="Z199" i="38" s="1"/>
  <c r="Z179" i="38"/>
  <c r="Z187" i="38" s="1"/>
  <c r="I194" i="38"/>
  <c r="I197" i="38"/>
  <c r="I191" i="38"/>
  <c r="I192" i="38"/>
  <c r="I183" i="38"/>
  <c r="I189" i="38"/>
  <c r="I193" i="38"/>
  <c r="I195" i="38"/>
  <c r="I205" i="38"/>
  <c r="I190" i="38"/>
  <c r="Y176" i="41"/>
  <c r="Y177" i="41" s="1"/>
  <c r="X245" i="40"/>
  <c r="Y66" i="41"/>
  <c r="Z55" i="41"/>
  <c r="Y56" i="41"/>
  <c r="Y61" i="41" s="1"/>
  <c r="Y391" i="38"/>
  <c r="Y431" i="38" s="1"/>
  <c r="Y374" i="38"/>
  <c r="Y397" i="38"/>
  <c r="Y375" i="38"/>
  <c r="Y390" i="38"/>
  <c r="Y394" i="38"/>
  <c r="Y366" i="38" s="1"/>
  <c r="Y385" i="38"/>
  <c r="AI29" i="35"/>
  <c r="S41" i="40"/>
  <c r="U41" i="41"/>
  <c r="Y126" i="41"/>
  <c r="Y119" i="41"/>
  <c r="X183" i="40"/>
  <c r="X200" i="40" s="1"/>
  <c r="X180" i="40"/>
  <c r="X188" i="40" s="1"/>
  <c r="U118" i="40"/>
  <c r="U130" i="40"/>
  <c r="X104" i="40"/>
  <c r="X62" i="41"/>
  <c r="Z394" i="38"/>
  <c r="Z390" i="38"/>
  <c r="Z397" i="38"/>
  <c r="Z374" i="38"/>
  <c r="Z391" i="38"/>
  <c r="Z431" i="38" s="1"/>
  <c r="Z375" i="38"/>
  <c r="Z385" i="38"/>
  <c r="S33" i="40"/>
  <c r="S45" i="40"/>
  <c r="S42" i="40"/>
  <c r="V126" i="40"/>
  <c r="V119" i="40"/>
  <c r="Y4" i="47"/>
  <c r="Z3" i="47"/>
  <c r="Y5" i="47"/>
  <c r="Y6" i="47"/>
  <c r="R33" i="35"/>
  <c r="S32" i="35"/>
  <c r="X415" i="38"/>
  <c r="X430" i="38"/>
  <c r="X403" i="38" s="1"/>
  <c r="X416" i="38" s="1"/>
  <c r="X425" i="38"/>
  <c r="X414" i="38"/>
  <c r="X434" i="38"/>
  <c r="X406" i="38" s="1"/>
  <c r="E37" i="35"/>
  <c r="T40" i="40"/>
  <c r="T34" i="40"/>
  <c r="G78" i="28"/>
  <c r="X62" i="40"/>
  <c r="X120" i="40"/>
  <c r="W121" i="40"/>
  <c r="U45" i="41"/>
  <c r="U33" i="41"/>
  <c r="U42" i="41"/>
  <c r="Z169" i="40"/>
  <c r="Y170" i="40"/>
  <c r="Y178" i="40"/>
  <c r="Z97" i="40"/>
  <c r="Y98" i="40"/>
  <c r="Y103" i="40" s="1"/>
  <c r="Y108" i="40"/>
  <c r="V32" i="40"/>
  <c r="U35" i="40"/>
  <c r="X127" i="41"/>
  <c r="X128" i="41" s="1"/>
  <c r="Y66" i="40"/>
  <c r="Y56" i="40"/>
  <c r="Z55" i="40"/>
  <c r="V194" i="41"/>
  <c r="V195" i="41"/>
  <c r="V197" i="41"/>
  <c r="V192" i="41"/>
  <c r="V183" i="41"/>
  <c r="V193" i="41"/>
  <c r="V190" i="41"/>
  <c r="V191" i="41"/>
  <c r="V205" i="41"/>
  <c r="V189" i="41"/>
  <c r="V198" i="40"/>
  <c r="V191" i="40"/>
  <c r="V193" i="40"/>
  <c r="V190" i="40"/>
  <c r="V184" i="40"/>
  <c r="V194" i="40"/>
  <c r="V206" i="40"/>
  <c r="V196" i="40"/>
  <c r="V192" i="40"/>
  <c r="V195" i="40"/>
  <c r="AB29" i="35"/>
  <c r="T30" i="35"/>
  <c r="X83" i="40"/>
  <c r="Z79" i="41"/>
  <c r="Z100" i="41"/>
  <c r="Z171" i="41"/>
  <c r="Z173" i="41" s="1"/>
  <c r="Z58" i="41"/>
  <c r="Z239" i="41"/>
  <c r="Z175" i="41"/>
  <c r="X118" i="41"/>
  <c r="X130" i="41"/>
  <c r="X104" i="41"/>
  <c r="V34" i="41"/>
  <c r="V40" i="41"/>
  <c r="Y169" i="41"/>
  <c r="Z168" i="41"/>
  <c r="Z169" i="41" s="1"/>
  <c r="U127" i="40"/>
  <c r="U128" i="40" s="1"/>
  <c r="Z238" i="40"/>
  <c r="Y239" i="40"/>
  <c r="Y244" i="40" s="1"/>
  <c r="Y249" i="40"/>
  <c r="Z126" i="41"/>
  <c r="Z119" i="41"/>
  <c r="Y87" i="40"/>
  <c r="Z76" i="40"/>
  <c r="Y77" i="40"/>
  <c r="Y82" i="40" s="1"/>
  <c r="X363" i="38"/>
  <c r="X376" i="38" s="1"/>
  <c r="Z2" i="42"/>
  <c r="Y47" i="42"/>
  <c r="Y1" i="42"/>
  <c r="X179" i="41"/>
  <c r="X182" i="41"/>
  <c r="X199" i="41" s="1"/>
  <c r="K88" i="28"/>
  <c r="K102" i="28" s="1"/>
  <c r="X187" i="40"/>
  <c r="Y98" i="41"/>
  <c r="Y103" i="41" s="1"/>
  <c r="Z97" i="41"/>
  <c r="Y108" i="41"/>
  <c r="X32" i="41"/>
  <c r="W35" i="41"/>
  <c r="Y61" i="40" l="1"/>
  <c r="Y67" i="40"/>
  <c r="W190" i="41"/>
  <c r="W205" i="41"/>
  <c r="Z236" i="41"/>
  <c r="Y237" i="41"/>
  <c r="Y242" i="41" s="1"/>
  <c r="Y243" i="41" s="1"/>
  <c r="Y247" i="41"/>
  <c r="W195" i="40"/>
  <c r="W193" i="40"/>
  <c r="W192" i="40"/>
  <c r="W191" i="40"/>
  <c r="W198" i="40"/>
  <c r="W206" i="40"/>
  <c r="W196" i="40"/>
  <c r="W194" i="40"/>
  <c r="W190" i="40"/>
  <c r="W197" i="38"/>
  <c r="W190" i="38"/>
  <c r="W205" i="38"/>
  <c r="W192" i="38"/>
  <c r="X181" i="40"/>
  <c r="W193" i="38"/>
  <c r="W191" i="38"/>
  <c r="W189" i="38"/>
  <c r="Y325" i="41"/>
  <c r="Y326" i="41" s="1"/>
  <c r="X83" i="38"/>
  <c r="Y87" i="38"/>
  <c r="Z76" i="38"/>
  <c r="Z77" i="38" s="1"/>
  <c r="Y82" i="38"/>
  <c r="Z97" i="38"/>
  <c r="Y98" i="38"/>
  <c r="Y103" i="38" s="1"/>
  <c r="Y104" i="38" s="1"/>
  <c r="Y108" i="38"/>
  <c r="W197" i="41"/>
  <c r="W193" i="41"/>
  <c r="Y14" i="47"/>
  <c r="Y7" i="47" s="1"/>
  <c r="W194" i="41"/>
  <c r="W191" i="41"/>
  <c r="W189" i="41"/>
  <c r="J14" i="47"/>
  <c r="J7" i="47" s="1"/>
  <c r="W183" i="41"/>
  <c r="W192" i="41"/>
  <c r="U43" i="41"/>
  <c r="E99" i="28"/>
  <c r="L88" i="28"/>
  <c r="L102" i="28" s="1"/>
  <c r="I104" i="28"/>
  <c r="M104" i="28"/>
  <c r="K86" i="28"/>
  <c r="K100" i="28" s="1"/>
  <c r="I97" i="28"/>
  <c r="N88" i="28"/>
  <c r="N102" i="28" s="1"/>
  <c r="N51" i="28"/>
  <c r="N60" i="28" s="1"/>
  <c r="G104" i="28"/>
  <c r="F87" i="28"/>
  <c r="F101" i="28" s="1"/>
  <c r="D26" i="28"/>
  <c r="D56" i="28" s="1"/>
  <c r="M45" i="28"/>
  <c r="H97" i="28"/>
  <c r="F78" i="28"/>
  <c r="I78" i="28"/>
  <c r="G99" i="28"/>
  <c r="I99" i="28"/>
  <c r="J104" i="28"/>
  <c r="J99" i="28"/>
  <c r="D46" i="28"/>
  <c r="J46" i="28"/>
  <c r="E92" i="28"/>
  <c r="K46" i="28"/>
  <c r="L87" i="28"/>
  <c r="L101" i="28" s="1"/>
  <c r="G98" i="28"/>
  <c r="G87" i="28"/>
  <c r="G101" i="28" s="1"/>
  <c r="N45" i="28"/>
  <c r="G95" i="28"/>
  <c r="J45" i="28"/>
  <c r="N47" i="28"/>
  <c r="I27" i="28"/>
  <c r="I57" i="28" s="1"/>
  <c r="G56" i="28"/>
  <c r="H86" i="28"/>
  <c r="H100" i="28" s="1"/>
  <c r="N87" i="28"/>
  <c r="N101" i="28" s="1"/>
  <c r="N78" i="28"/>
  <c r="E46" i="28"/>
  <c r="F86" i="28"/>
  <c r="F100" i="28" s="1"/>
  <c r="E27" i="28"/>
  <c r="E57" i="28" s="1"/>
  <c r="L26" i="28"/>
  <c r="L56" i="28" s="1"/>
  <c r="F104" i="28"/>
  <c r="H92" i="28"/>
  <c r="H104" i="28"/>
  <c r="J87" i="28"/>
  <c r="J101" i="28" s="1"/>
  <c r="J92" i="28"/>
  <c r="J86" i="28"/>
  <c r="J100" i="28" s="1"/>
  <c r="L86" i="28"/>
  <c r="L100" i="28" s="1"/>
  <c r="I87" i="28"/>
  <c r="I101" i="28" s="1"/>
  <c r="K26" i="28"/>
  <c r="K56" i="28" s="1"/>
  <c r="N98" i="28"/>
  <c r="H46" i="28"/>
  <c r="I86" i="28"/>
  <c r="I100" i="28" s="1"/>
  <c r="H99" i="28"/>
  <c r="H27" i="28"/>
  <c r="H57" i="28" s="1"/>
  <c r="F27" i="28"/>
  <c r="F57" i="28" s="1"/>
  <c r="H78" i="28"/>
  <c r="M87" i="28"/>
  <c r="M101" i="28" s="1"/>
  <c r="K99" i="28"/>
  <c r="M78" i="28"/>
  <c r="Y273" i="41"/>
  <c r="Y433" i="41" s="1"/>
  <c r="X180" i="38"/>
  <c r="X186" i="38"/>
  <c r="Z271" i="41"/>
  <c r="Z273" i="41" s="1"/>
  <c r="Z324" i="41"/>
  <c r="R83" i="41"/>
  <c r="W14" i="47"/>
  <c r="W7" i="47" s="1"/>
  <c r="N83" i="41"/>
  <c r="S14" i="47"/>
  <c r="S7" i="47" s="1"/>
  <c r="Z378" i="41"/>
  <c r="Z393" i="41"/>
  <c r="L83" i="41"/>
  <c r="Q14" i="47"/>
  <c r="Q7" i="47" s="1"/>
  <c r="H83" i="41"/>
  <c r="M7" i="47"/>
  <c r="Y176" i="38"/>
  <c r="Y177" i="38" s="1"/>
  <c r="Y186" i="38" s="1"/>
  <c r="S83" i="41"/>
  <c r="X14" i="47"/>
  <c r="X7" i="47" s="1"/>
  <c r="O83" i="41"/>
  <c r="T14" i="47"/>
  <c r="T7" i="47" s="1"/>
  <c r="Z228" i="41"/>
  <c r="Z87" i="41"/>
  <c r="Z82" i="41"/>
  <c r="Z83" i="41" s="1"/>
  <c r="K83" i="41"/>
  <c r="P14" i="47"/>
  <c r="P7" i="47" s="1"/>
  <c r="F83" i="41"/>
  <c r="K14" i="47"/>
  <c r="K7" i="47" s="1"/>
  <c r="Z277" i="41"/>
  <c r="Z308" i="41" s="1"/>
  <c r="Z171" i="38"/>
  <c r="Z173" i="38" s="1"/>
  <c r="Z100" i="38"/>
  <c r="Z79" i="38"/>
  <c r="Z58" i="38"/>
  <c r="Z239" i="38"/>
  <c r="Z175" i="38"/>
  <c r="P83" i="41"/>
  <c r="U14" i="47"/>
  <c r="U7" i="47" s="1"/>
  <c r="Q83" i="41"/>
  <c r="V14" i="47"/>
  <c r="V7" i="47" s="1"/>
  <c r="Z157" i="41"/>
  <c r="Z159" i="41" s="1"/>
  <c r="M97" i="28"/>
  <c r="G46" i="28"/>
  <c r="I26" i="28"/>
  <c r="I56" i="28" s="1"/>
  <c r="N99" i="28"/>
  <c r="F88" i="28"/>
  <c r="F102" i="28" s="1"/>
  <c r="D60" i="28"/>
  <c r="K104" i="28"/>
  <c r="H88" i="28"/>
  <c r="H102" i="28" s="1"/>
  <c r="J26" i="28"/>
  <c r="J56" i="28" s="1"/>
  <c r="E88" i="28"/>
  <c r="E102" i="28" s="1"/>
  <c r="N104" i="28"/>
  <c r="F97" i="28"/>
  <c r="L46" i="28"/>
  <c r="L97" i="28"/>
  <c r="M99" i="28"/>
  <c r="F99" i="28"/>
  <c r="J27" i="28"/>
  <c r="J57" i="28" s="1"/>
  <c r="E98" i="28"/>
  <c r="K78" i="28"/>
  <c r="K27" i="28"/>
  <c r="K57" i="28" s="1"/>
  <c r="L99" i="28"/>
  <c r="E97" i="28"/>
  <c r="I88" i="28"/>
  <c r="I102" i="28" s="1"/>
  <c r="E86" i="28"/>
  <c r="E100" i="28" s="1"/>
  <c r="G92" i="28"/>
  <c r="E104" i="28"/>
  <c r="M88" i="28"/>
  <c r="M102" i="28" s="1"/>
  <c r="K97" i="28"/>
  <c r="J78" i="28"/>
  <c r="L98" i="28"/>
  <c r="N97" i="28"/>
  <c r="M92" i="28"/>
  <c r="J88" i="28"/>
  <c r="J102" i="28" s="1"/>
  <c r="K92" i="28"/>
  <c r="E95" i="28"/>
  <c r="D27" i="28"/>
  <c r="D57" i="28" s="1"/>
  <c r="H56" i="28"/>
  <c r="M46" i="28"/>
  <c r="K87" i="28"/>
  <c r="K101" i="28" s="1"/>
  <c r="L78" i="28"/>
  <c r="J97" i="28"/>
  <c r="N86" i="28"/>
  <c r="N100" i="28" s="1"/>
  <c r="I92" i="28"/>
  <c r="L92" i="28"/>
  <c r="G27" i="28"/>
  <c r="G57" i="28" s="1"/>
  <c r="E78" i="28"/>
  <c r="M86" i="28"/>
  <c r="M100" i="28" s="1"/>
  <c r="I46" i="28"/>
  <c r="M98" i="28"/>
  <c r="I45" i="28"/>
  <c r="N92" i="28"/>
  <c r="F26" i="28"/>
  <c r="F56" i="28" s="1"/>
  <c r="F46" i="28"/>
  <c r="F95" i="28"/>
  <c r="K98" i="28"/>
  <c r="G88" i="28"/>
  <c r="G102" i="28" s="1"/>
  <c r="K45" i="28"/>
  <c r="F92" i="28"/>
  <c r="F98" i="28"/>
  <c r="L27" i="28"/>
  <c r="L57" i="28" s="1"/>
  <c r="L45" i="28"/>
  <c r="H87" i="28"/>
  <c r="H101" i="28" s="1"/>
  <c r="E26" i="28"/>
  <c r="E56" i="28" s="1"/>
  <c r="G86" i="28"/>
  <c r="G100" i="28" s="1"/>
  <c r="E87" i="28"/>
  <c r="E101" i="28" s="1"/>
  <c r="N46" i="28"/>
  <c r="L104" i="28"/>
  <c r="G97" i="28"/>
  <c r="G83" i="41"/>
  <c r="L14" i="47"/>
  <c r="L7" i="47" s="1"/>
  <c r="O14" i="47"/>
  <c r="O7" i="47" s="1"/>
  <c r="J83" i="41"/>
  <c r="Z392" i="41"/>
  <c r="Z377" i="41"/>
  <c r="Z432" i="41"/>
  <c r="Z417" i="41"/>
  <c r="M83" i="41"/>
  <c r="R14" i="47"/>
  <c r="R7" i="47" s="1"/>
  <c r="N14" i="47"/>
  <c r="N7" i="47" s="1"/>
  <c r="I83" i="41"/>
  <c r="C45" i="35"/>
  <c r="Y187" i="38"/>
  <c r="Y247" i="38"/>
  <c r="Y237" i="38"/>
  <c r="Y242" i="38" s="1"/>
  <c r="Y243" i="38" s="1"/>
  <c r="Z236" i="38"/>
  <c r="AG35" i="35"/>
  <c r="AH34" i="35"/>
  <c r="S43" i="40"/>
  <c r="T31" i="35"/>
  <c r="AB30" i="35"/>
  <c r="Y187" i="40"/>
  <c r="Y62" i="41"/>
  <c r="Z108" i="40"/>
  <c r="Z98" i="40"/>
  <c r="Z103" i="40" s="1"/>
  <c r="Z127" i="41"/>
  <c r="Z128" i="41" s="1"/>
  <c r="U34" i="40"/>
  <c r="U40" i="40"/>
  <c r="Y183" i="40"/>
  <c r="Y200" i="40" s="1"/>
  <c r="Y180" i="40"/>
  <c r="Y188" i="40" s="1"/>
  <c r="T42" i="40"/>
  <c r="T45" i="40"/>
  <c r="T33" i="40"/>
  <c r="Z425" i="38"/>
  <c r="Z434" i="38"/>
  <c r="Z415" i="38"/>
  <c r="Z414" i="38"/>
  <c r="Z430" i="38"/>
  <c r="Z403" i="38" s="1"/>
  <c r="Z416" i="38" s="1"/>
  <c r="Y186" i="41"/>
  <c r="Z56" i="41"/>
  <c r="Z61" i="41" s="1"/>
  <c r="Z66" i="41"/>
  <c r="AI30" i="35"/>
  <c r="X190" i="40"/>
  <c r="X193" i="40"/>
  <c r="X198" i="40"/>
  <c r="X192" i="40"/>
  <c r="X206" i="40"/>
  <c r="X184" i="40"/>
  <c r="X191" i="40"/>
  <c r="X196" i="40"/>
  <c r="X194" i="40"/>
  <c r="X195" i="40"/>
  <c r="X187" i="41"/>
  <c r="X180" i="41"/>
  <c r="W32" i="40"/>
  <c r="V35" i="40"/>
  <c r="Z170" i="40"/>
  <c r="Z178" i="40"/>
  <c r="W126" i="40"/>
  <c r="W119" i="40"/>
  <c r="T41" i="40"/>
  <c r="Z363" i="38"/>
  <c r="Z376" i="38" s="1"/>
  <c r="Y118" i="41"/>
  <c r="Y130" i="41"/>
  <c r="E38" i="35"/>
  <c r="Z130" i="41"/>
  <c r="Z118" i="41"/>
  <c r="Y104" i="41"/>
  <c r="Y83" i="40"/>
  <c r="Z182" i="41"/>
  <c r="Z199" i="41" s="1"/>
  <c r="Z179" i="41"/>
  <c r="Z187" i="41" s="1"/>
  <c r="Z47" i="42"/>
  <c r="Z1" i="42"/>
  <c r="Z77" i="40"/>
  <c r="Z82" i="40" s="1"/>
  <c r="Z87" i="40"/>
  <c r="Y182" i="41"/>
  <c r="Y199" i="41" s="1"/>
  <c r="Y179" i="41"/>
  <c r="Y187" i="41" s="1"/>
  <c r="Y120" i="40"/>
  <c r="X121" i="40"/>
  <c r="AA3" i="47"/>
  <c r="Z5" i="47"/>
  <c r="Z6" i="47"/>
  <c r="Z14" i="47"/>
  <c r="Z7" i="47" s="1"/>
  <c r="Z4" i="47"/>
  <c r="Z366" i="38"/>
  <c r="Y127" i="41"/>
  <c r="Y128" i="41" s="1"/>
  <c r="Y363" i="38"/>
  <c r="Y376" i="38" s="1"/>
  <c r="Z108" i="41"/>
  <c r="Z98" i="41"/>
  <c r="Z103" i="41" s="1"/>
  <c r="Z176" i="41"/>
  <c r="Z177" i="41" s="1"/>
  <c r="R34" i="35"/>
  <c r="S33" i="35"/>
  <c r="V130" i="40"/>
  <c r="V118" i="40"/>
  <c r="V41" i="41"/>
  <c r="W40" i="41"/>
  <c r="W34" i="41"/>
  <c r="Y245" i="40"/>
  <c r="V45" i="41"/>
  <c r="V33" i="41"/>
  <c r="V42" i="41"/>
  <c r="V127" i="40"/>
  <c r="V128" i="40" s="1"/>
  <c r="Y415" i="38"/>
  <c r="Y425" i="38"/>
  <c r="Y434" i="38"/>
  <c r="Y406" i="38" s="1"/>
  <c r="Y430" i="38"/>
  <c r="Y403" i="38" s="1"/>
  <c r="Y416" i="38" s="1"/>
  <c r="Y414" i="38"/>
  <c r="Y62" i="40"/>
  <c r="X35" i="41"/>
  <c r="Y32" i="41"/>
  <c r="Z249" i="40"/>
  <c r="Z239" i="40"/>
  <c r="Z244" i="40" s="1"/>
  <c r="Z66" i="40"/>
  <c r="Z56" i="40"/>
  <c r="Y104" i="40"/>
  <c r="Z61" i="40" l="1"/>
  <c r="Z67" i="40"/>
  <c r="Z247" i="41"/>
  <c r="Z237" i="41"/>
  <c r="Z242" i="41" s="1"/>
  <c r="Z243" i="41" s="1"/>
  <c r="Y83" i="38"/>
  <c r="Z98" i="38"/>
  <c r="Z103" i="38" s="1"/>
  <c r="Z104" i="38" s="1"/>
  <c r="Z108" i="38"/>
  <c r="Z82" i="38"/>
  <c r="Z87" i="38"/>
  <c r="E105" i="28"/>
  <c r="Y180" i="38"/>
  <c r="Y205" i="38" s="1"/>
  <c r="T43" i="40"/>
  <c r="X205" i="38"/>
  <c r="X193" i="38"/>
  <c r="X194" i="38"/>
  <c r="X190" i="38"/>
  <c r="X195" i="38"/>
  <c r="X192" i="38"/>
  <c r="X189" i="38"/>
  <c r="X183" i="38"/>
  <c r="X197" i="38"/>
  <c r="X191" i="38"/>
  <c r="G105" i="28"/>
  <c r="Z433" i="41"/>
  <c r="F105" i="28"/>
  <c r="Z325" i="41"/>
  <c r="Z326" i="41" s="1"/>
  <c r="Z176" i="38"/>
  <c r="Z177" i="38" s="1"/>
  <c r="AG36" i="35"/>
  <c r="AH35" i="35"/>
  <c r="Z247" i="38"/>
  <c r="Z237" i="38"/>
  <c r="Z242" i="38" s="1"/>
  <c r="Z243" i="38" s="1"/>
  <c r="V43" i="41"/>
  <c r="Z186" i="41"/>
  <c r="Z180" i="41"/>
  <c r="Z183" i="40"/>
  <c r="Z200" i="40" s="1"/>
  <c r="Z180" i="40"/>
  <c r="Z188" i="40" s="1"/>
  <c r="Z406" i="38"/>
  <c r="Z83" i="40"/>
  <c r="V34" i="40"/>
  <c r="V40" i="40"/>
  <c r="AB31" i="35"/>
  <c r="T32" i="35"/>
  <c r="X32" i="40"/>
  <c r="W35" i="40"/>
  <c r="Z62" i="41"/>
  <c r="Y181" i="40"/>
  <c r="Z120" i="40"/>
  <c r="Z121" i="40" s="1"/>
  <c r="Y121" i="40"/>
  <c r="Z62" i="40"/>
  <c r="Y35" i="41"/>
  <c r="Z32" i="41"/>
  <c r="Z35" i="41" s="1"/>
  <c r="W33" i="41"/>
  <c r="W42" i="41"/>
  <c r="W45" i="41"/>
  <c r="X190" i="41"/>
  <c r="X189" i="41"/>
  <c r="X194" i="41"/>
  <c r="X191" i="41"/>
  <c r="X183" i="41"/>
  <c r="X193" i="41"/>
  <c r="X197" i="41"/>
  <c r="X205" i="41"/>
  <c r="X192" i="41"/>
  <c r="X195" i="41"/>
  <c r="Y180" i="41"/>
  <c r="AI31" i="35"/>
  <c r="Z245" i="40"/>
  <c r="Z104" i="41"/>
  <c r="X40" i="41"/>
  <c r="X34" i="41"/>
  <c r="W41" i="41"/>
  <c r="R35" i="35"/>
  <c r="S34" i="35"/>
  <c r="U41" i="40"/>
  <c r="E39" i="35"/>
  <c r="AA4" i="47"/>
  <c r="AB3" i="47"/>
  <c r="AA14" i="47"/>
  <c r="AA7" i="47" s="1"/>
  <c r="F7" i="47" s="1"/>
  <c r="G34" i="43" s="1"/>
  <c r="AA5" i="47"/>
  <c r="AA6" i="47"/>
  <c r="W130" i="40"/>
  <c r="W118" i="40"/>
  <c r="U33" i="40"/>
  <c r="U45" i="40"/>
  <c r="U42" i="40"/>
  <c r="Z104" i="40"/>
  <c r="Z187" i="40"/>
  <c r="X126" i="40"/>
  <c r="X119" i="40"/>
  <c r="W127" i="40"/>
  <c r="W128" i="40" s="1"/>
  <c r="Y195" i="38" l="1"/>
  <c r="Z83" i="38"/>
  <c r="G35" i="43"/>
  <c r="Y183" i="38"/>
  <c r="Y194" i="38"/>
  <c r="Y191" i="38"/>
  <c r="Y193" i="38"/>
  <c r="Y189" i="38"/>
  <c r="Y190" i="38"/>
  <c r="Y192" i="38"/>
  <c r="Y197" i="38"/>
  <c r="Z181" i="40"/>
  <c r="Z191" i="40" s="1"/>
  <c r="Z186" i="38"/>
  <c r="Z180" i="38"/>
  <c r="W43" i="41"/>
  <c r="AH36" i="35"/>
  <c r="AG37" i="35"/>
  <c r="U43" i="40"/>
  <c r="W34" i="40"/>
  <c r="W40" i="40"/>
  <c r="AI32" i="35"/>
  <c r="X35" i="40"/>
  <c r="Y32" i="40"/>
  <c r="R36" i="35"/>
  <c r="S35" i="35"/>
  <c r="X33" i="41"/>
  <c r="X45" i="41"/>
  <c r="X42" i="41"/>
  <c r="AB6" i="47"/>
  <c r="AB4" i="47"/>
  <c r="AC3" i="47"/>
  <c r="AB5" i="47"/>
  <c r="E40" i="35"/>
  <c r="X41" i="41"/>
  <c r="Y34" i="41"/>
  <c r="Y40" i="41"/>
  <c r="Y196" i="40"/>
  <c r="Y184" i="40"/>
  <c r="Y192" i="40"/>
  <c r="Y206" i="40"/>
  <c r="Y190" i="40"/>
  <c r="Y193" i="40"/>
  <c r="Y198" i="40"/>
  <c r="Y194" i="40"/>
  <c r="Y195" i="40"/>
  <c r="Y191" i="40"/>
  <c r="Y193" i="41"/>
  <c r="Y194" i="41"/>
  <c r="Y190" i="41"/>
  <c r="Y189" i="41"/>
  <c r="Y183" i="41"/>
  <c r="Y205" i="41"/>
  <c r="Y197" i="41"/>
  <c r="Y195" i="41"/>
  <c r="Y191" i="41"/>
  <c r="Y192" i="41"/>
  <c r="Y119" i="40"/>
  <c r="Y126" i="40"/>
  <c r="Z126" i="40"/>
  <c r="Z119" i="40"/>
  <c r="V41" i="40"/>
  <c r="AB32" i="35"/>
  <c r="T33" i="35"/>
  <c r="V33" i="40"/>
  <c r="V42" i="40"/>
  <c r="V45" i="40"/>
  <c r="X118" i="40"/>
  <c r="X130" i="40"/>
  <c r="X127" i="40"/>
  <c r="X128" i="40" s="1"/>
  <c r="Z40" i="41"/>
  <c r="Z34" i="41"/>
  <c r="Z195" i="41"/>
  <c r="Z193" i="41"/>
  <c r="Z205" i="41"/>
  <c r="Z197" i="41"/>
  <c r="Z191" i="41"/>
  <c r="Z189" i="41"/>
  <c r="Z183" i="41"/>
  <c r="Z194" i="41"/>
  <c r="Z190" i="41"/>
  <c r="Z192" i="41"/>
  <c r="Z206" i="40" l="1"/>
  <c r="Z195" i="40"/>
  <c r="Z192" i="40"/>
  <c r="Z196" i="40"/>
  <c r="Z190" i="40"/>
  <c r="Z198" i="40"/>
  <c r="Z193" i="40"/>
  <c r="Z184" i="40"/>
  <c r="Z194" i="40"/>
  <c r="Z195" i="38"/>
  <c r="Z205" i="38"/>
  <c r="Z192" i="38"/>
  <c r="Z190" i="38"/>
  <c r="Z197" i="38"/>
  <c r="Z189" i="38"/>
  <c r="Z193" i="38"/>
  <c r="Z183" i="38"/>
  <c r="Z191" i="38"/>
  <c r="Z194" i="38"/>
  <c r="V43" i="40"/>
  <c r="X43" i="41"/>
  <c r="AH37" i="35"/>
  <c r="AG38" i="35"/>
  <c r="T34" i="35"/>
  <c r="AB33" i="35"/>
  <c r="Y45" i="41"/>
  <c r="Y42" i="41"/>
  <c r="Y33" i="41"/>
  <c r="AI33" i="35"/>
  <c r="E41" i="35"/>
  <c r="Z41" i="41"/>
  <c r="Y41" i="41"/>
  <c r="W42" i="40"/>
  <c r="W33" i="40"/>
  <c r="W45" i="40"/>
  <c r="Y127" i="40"/>
  <c r="Y128" i="40" s="1"/>
  <c r="Y130" i="40"/>
  <c r="Y118" i="40"/>
  <c r="Z32" i="40"/>
  <c r="Z35" i="40" s="1"/>
  <c r="Y35" i="40"/>
  <c r="Z130" i="40"/>
  <c r="Z118" i="40"/>
  <c r="Z33" i="41"/>
  <c r="Z45" i="41"/>
  <c r="Z42" i="41"/>
  <c r="Z127" i="40"/>
  <c r="Z128" i="40" s="1"/>
  <c r="AC4" i="47"/>
  <c r="AD3" i="47"/>
  <c r="AC6" i="47"/>
  <c r="AC5" i="47"/>
  <c r="X40" i="40"/>
  <c r="X34" i="40"/>
  <c r="AB9" i="47"/>
  <c r="R37" i="35"/>
  <c r="S36" i="35"/>
  <c r="W41" i="40"/>
  <c r="Y43" i="41" l="1"/>
  <c r="AH38" i="35"/>
  <c r="AG39" i="35"/>
  <c r="Z43" i="41"/>
  <c r="W43" i="40"/>
  <c r="R38" i="35"/>
  <c r="S37" i="35"/>
  <c r="AC9" i="47"/>
  <c r="Y34" i="40"/>
  <c r="Y40" i="40"/>
  <c r="AD5" i="47"/>
  <c r="AD6" i="47"/>
  <c r="AD4" i="47"/>
  <c r="AE3" i="47"/>
  <c r="Z34" i="40"/>
  <c r="Z40" i="40"/>
  <c r="AB34" i="35"/>
  <c r="T35" i="35"/>
  <c r="E42" i="35"/>
  <c r="AI34" i="35"/>
  <c r="X45" i="40"/>
  <c r="X42" i="40"/>
  <c r="X33" i="40"/>
  <c r="X41" i="40"/>
  <c r="AH39" i="35" l="1"/>
  <c r="AG40" i="35"/>
  <c r="X43" i="40"/>
  <c r="Y41" i="40"/>
  <c r="AI35" i="35"/>
  <c r="Z41" i="40"/>
  <c r="Y33" i="40"/>
  <c r="Y45" i="40"/>
  <c r="Y42" i="40"/>
  <c r="Z42" i="40"/>
  <c r="Z33" i="40"/>
  <c r="Z45" i="40"/>
  <c r="R39" i="35"/>
  <c r="S38" i="35"/>
  <c r="E43" i="35"/>
  <c r="T36" i="35"/>
  <c r="AB35" i="35"/>
  <c r="AF3" i="47"/>
  <c r="AE6" i="47"/>
  <c r="AE4" i="47"/>
  <c r="AE5" i="47"/>
  <c r="AD9" i="47"/>
  <c r="AE9" i="47" l="1"/>
  <c r="Z43" i="40"/>
  <c r="Y43" i="40"/>
  <c r="AG41" i="35"/>
  <c r="AH40" i="35"/>
  <c r="AI36" i="35"/>
  <c r="E44" i="35"/>
  <c r="AB36" i="35"/>
  <c r="T37" i="35"/>
  <c r="AG3" i="47"/>
  <c r="AF6" i="47"/>
  <c r="AF4" i="47"/>
  <c r="AF5" i="47"/>
  <c r="R40" i="35"/>
  <c r="S39" i="35"/>
  <c r="AH41" i="35" l="1"/>
  <c r="AG42" i="35"/>
  <c r="AH3" i="47"/>
  <c r="AG6" i="47"/>
  <c r="AG4" i="47"/>
  <c r="AG5" i="47"/>
  <c r="AB37" i="35"/>
  <c r="T38" i="35"/>
  <c r="AI37" i="35"/>
  <c r="E45" i="35"/>
  <c r="S40" i="35"/>
  <c r="R41" i="35"/>
  <c r="AF9" i="47"/>
  <c r="AG9" i="47" l="1"/>
  <c r="AH42" i="35"/>
  <c r="AG43" i="35"/>
  <c r="AI38" i="35"/>
  <c r="T39" i="35"/>
  <c r="AB38" i="35"/>
  <c r="R42" i="35"/>
  <c r="S41" i="35"/>
  <c r="AH4" i="47"/>
  <c r="AH6" i="47"/>
  <c r="AH5" i="47"/>
  <c r="AI3" i="47"/>
  <c r="AH9" i="47" l="1"/>
  <c r="AG44" i="35"/>
  <c r="AH43" i="35"/>
  <c r="AJ3" i="47"/>
  <c r="AI6" i="47"/>
  <c r="AI4" i="47"/>
  <c r="AI5" i="47"/>
  <c r="S42" i="35"/>
  <c r="R43" i="35"/>
  <c r="AI39" i="35"/>
  <c r="AB39" i="35"/>
  <c r="T40" i="35"/>
  <c r="AI9" i="47" l="1"/>
  <c r="AH44" i="35"/>
  <c r="AG45" i="35"/>
  <c r="AI40" i="35"/>
  <c r="R44" i="35"/>
  <c r="S43" i="35"/>
  <c r="T41" i="35"/>
  <c r="AB40" i="35"/>
  <c r="AJ6" i="47"/>
  <c r="AK3" i="47"/>
  <c r="AJ5" i="47"/>
  <c r="AJ4" i="47"/>
  <c r="AJ9" i="47" l="1"/>
  <c r="AH45" i="35"/>
  <c r="J55" i="31"/>
  <c r="S44" i="35"/>
  <c r="R45" i="35"/>
  <c r="T42" i="35"/>
  <c r="AB41" i="35"/>
  <c r="AK6" i="47"/>
  <c r="AK5" i="47"/>
  <c r="AK4" i="47"/>
  <c r="AL3" i="47"/>
  <c r="AI41" i="35"/>
  <c r="AB42" i="35" l="1"/>
  <c r="T43" i="35"/>
  <c r="AI42" i="35"/>
  <c r="AL6" i="47"/>
  <c r="AL5" i="47"/>
  <c r="AL4" i="47"/>
  <c r="AM3" i="47"/>
  <c r="S45" i="35"/>
  <c r="I55" i="31"/>
  <c r="AK9" i="47"/>
  <c r="AI43" i="35" l="1"/>
  <c r="T44" i="35"/>
  <c r="AB43" i="35"/>
  <c r="AN3" i="47"/>
  <c r="AM5" i="47"/>
  <c r="AM6" i="47"/>
  <c r="AM4" i="47"/>
  <c r="AL9" i="47"/>
  <c r="AM9" i="47" l="1"/>
  <c r="AB44" i="35"/>
  <c r="T45" i="35"/>
  <c r="AB45" i="35" s="1"/>
  <c r="AN4" i="47"/>
  <c r="AN6" i="47"/>
  <c r="AN5" i="47"/>
  <c r="AO3" i="47"/>
  <c r="AI44" i="35"/>
  <c r="AN9" i="47" l="1"/>
  <c r="AO4" i="47"/>
  <c r="AO5" i="47"/>
  <c r="AO6" i="47"/>
  <c r="AP3" i="47"/>
  <c r="AI45" i="35"/>
  <c r="AO9" i="47" l="1"/>
  <c r="AP4" i="47"/>
  <c r="AP6" i="47"/>
  <c r="AQ3" i="47"/>
  <c r="AP5" i="47"/>
  <c r="AP9" i="47" l="1"/>
  <c r="AQ5" i="47"/>
  <c r="AQ6" i="47"/>
  <c r="AQ4" i="47"/>
  <c r="AR3" i="47"/>
  <c r="AQ9" i="47" l="1"/>
  <c r="AR5" i="47"/>
  <c r="AR4" i="47"/>
  <c r="AS3" i="47"/>
  <c r="AR6" i="47"/>
  <c r="AR9" i="47" l="1"/>
  <c r="AT3" i="47"/>
  <c r="AS5" i="47"/>
  <c r="AS4" i="47"/>
  <c r="AS6" i="47"/>
  <c r="AS9" i="47" l="1"/>
  <c r="AT6" i="47"/>
  <c r="AT5" i="47"/>
  <c r="AT4" i="47"/>
  <c r="AU3" i="47"/>
  <c r="AT9" i="47" l="1"/>
  <c r="AU5" i="47"/>
  <c r="F5" i="47" s="1"/>
  <c r="G36" i="43" s="1"/>
  <c r="AU6" i="47"/>
  <c r="F6" i="47" s="1"/>
  <c r="G33" i="43" s="1"/>
  <c r="AU4" i="47"/>
  <c r="AU9" i="47" l="1"/>
  <c r="F4" i="47"/>
  <c r="G37" i="43" s="1"/>
  <c r="L374" i="38" l="1"/>
  <c r="L375" i="38"/>
  <c r="L414" i="38"/>
  <c r="L415" i="38"/>
  <c r="J142" i="40" l="1"/>
  <c r="J150" i="40" s="1"/>
  <c r="J157" i="40"/>
  <c r="J213" i="40"/>
  <c r="J221" i="40" s="1"/>
  <c r="J259" i="40"/>
  <c r="J267" i="40" s="1"/>
  <c r="I291" i="40"/>
  <c r="I337" i="40" s="1"/>
  <c r="I292" i="40"/>
  <c r="K294" i="40"/>
  <c r="K295" i="40" s="1"/>
  <c r="J160" i="40" l="1"/>
  <c r="J440" i="40" s="1"/>
  <c r="J410" i="40" s="1"/>
  <c r="J424" i="40" s="1"/>
  <c r="K340" i="40"/>
  <c r="K341" i="40" s="1"/>
  <c r="G4" i="42" l="1"/>
  <c r="G41" i="42" s="1"/>
  <c r="H5" i="42"/>
  <c r="H43" i="42" s="1"/>
  <c r="G13" i="42"/>
  <c r="H14" i="42"/>
  <c r="G22" i="42"/>
  <c r="H23" i="42"/>
  <c r="G31" i="42"/>
  <c r="H32" i="42"/>
  <c r="O156" i="40"/>
  <c r="O159" i="40"/>
  <c r="O163" i="40"/>
  <c r="O227" i="40"/>
  <c r="O229" i="40"/>
  <c r="O232" i="40"/>
  <c r="O273" i="40"/>
  <c r="O275" i="40"/>
  <c r="O278" i="40"/>
  <c r="O355" i="40"/>
  <c r="O369" i="40"/>
  <c r="O382" i="40" s="1"/>
  <c r="O370" i="40"/>
  <c r="O383" i="40" s="1"/>
  <c r="J379" i="40"/>
  <c r="J380" i="40"/>
  <c r="O390" i="40"/>
  <c r="O395" i="40"/>
  <c r="O396" i="40"/>
  <c r="O438" i="40" s="1"/>
  <c r="O399" i="40"/>
  <c r="O371" i="40" s="1"/>
  <c r="O384" i="40" s="1"/>
  <c r="O409" i="40"/>
  <c r="O423" i="40" s="1"/>
  <c r="O410" i="40"/>
  <c r="O424" i="40" s="1"/>
  <c r="J420" i="40"/>
  <c r="J421" i="40"/>
  <c r="O432" i="40"/>
  <c r="O437" i="40"/>
  <c r="O411" i="40"/>
  <c r="O425" i="40" s="1"/>
  <c r="N155" i="41"/>
  <c r="N157" i="41" s="1"/>
  <c r="N158" i="41"/>
  <c r="N162" i="41"/>
  <c r="N225" i="41"/>
  <c r="N226" i="41" s="1"/>
  <c r="N227" i="41"/>
  <c r="N230" i="41"/>
  <c r="N270" i="41"/>
  <c r="N271" i="41" s="1"/>
  <c r="N272" i="41"/>
  <c r="N275" i="41"/>
  <c r="N350" i="41"/>
  <c r="N364" i="41"/>
  <c r="N377" i="41" s="1"/>
  <c r="N365" i="41"/>
  <c r="N378" i="41" s="1"/>
  <c r="I374" i="41"/>
  <c r="I375" i="41"/>
  <c r="N385" i="41"/>
  <c r="N390" i="41"/>
  <c r="N391" i="41"/>
  <c r="N431" i="41" s="1"/>
  <c r="N394" i="41"/>
  <c r="N366" i="41" s="1"/>
  <c r="N379" i="41" s="1"/>
  <c r="N404" i="41"/>
  <c r="N417" i="41" s="1"/>
  <c r="N405" i="41"/>
  <c r="N418" i="41" s="1"/>
  <c r="I414" i="41"/>
  <c r="I415" i="41"/>
  <c r="N425" i="41"/>
  <c r="N430" i="41"/>
  <c r="N434" i="41"/>
  <c r="N406" i="41" s="1"/>
  <c r="N419" i="41" s="1"/>
  <c r="N392" i="41" l="1"/>
  <c r="G42" i="42"/>
  <c r="G49" i="42" s="1"/>
  <c r="O274" i="40"/>
  <c r="O276" i="40" s="1"/>
  <c r="O228" i="40"/>
  <c r="O230" i="40" s="1"/>
  <c r="O158" i="40"/>
  <c r="O160" i="40" s="1"/>
  <c r="O368" i="40"/>
  <c r="O381" i="40" s="1"/>
  <c r="N393" i="41"/>
  <c r="O397" i="40"/>
  <c r="N325" i="41"/>
  <c r="O408" i="40"/>
  <c r="O422" i="40" s="1"/>
  <c r="H44" i="42"/>
  <c r="H50" i="42" s="1"/>
  <c r="N403" i="41"/>
  <c r="N416" i="41" s="1"/>
  <c r="O329" i="40"/>
  <c r="N277" i="41"/>
  <c r="N308" i="41" s="1"/>
  <c r="N363" i="41"/>
  <c r="N376" i="41" s="1"/>
  <c r="N273" i="41"/>
  <c r="O439" i="40"/>
  <c r="O280" i="40"/>
  <c r="O312" i="40" s="1"/>
  <c r="N432" i="41"/>
  <c r="N324" i="41"/>
  <c r="N228" i="41"/>
  <c r="N159" i="41"/>
  <c r="O398" i="40"/>
  <c r="O330" i="40" l="1"/>
  <c r="O331" i="40" s="1"/>
  <c r="N326" i="41"/>
  <c r="O440" i="40"/>
  <c r="N433" i="41"/>
  <c r="I5" i="42"/>
  <c r="I14" i="42"/>
  <c r="I23" i="42"/>
  <c r="I32" i="42"/>
  <c r="I43" i="42"/>
  <c r="I44" i="42"/>
  <c r="I50" i="42" s="1"/>
  <c r="M155" i="41"/>
  <c r="M157" i="41" s="1"/>
  <c r="M158" i="41"/>
  <c r="M162" i="41"/>
  <c r="M225" i="41"/>
  <c r="M226" i="41" s="1"/>
  <c r="M227" i="41"/>
  <c r="M230" i="41"/>
  <c r="M270" i="41"/>
  <c r="M272" i="41"/>
  <c r="M275" i="41"/>
  <c r="M350" i="41"/>
  <c r="M364" i="41"/>
  <c r="M377" i="41" s="1"/>
  <c r="M365" i="41"/>
  <c r="M378" i="41" s="1"/>
  <c r="H374" i="41"/>
  <c r="H375" i="41"/>
  <c r="M385" i="41"/>
  <c r="M390" i="41"/>
  <c r="M391" i="41"/>
  <c r="M431" i="41" s="1"/>
  <c r="M394" i="41"/>
  <c r="M366" i="41" s="1"/>
  <c r="M379" i="41" s="1"/>
  <c r="M404" i="41"/>
  <c r="M432" i="41" s="1"/>
  <c r="M405" i="41"/>
  <c r="M418" i="41" s="1"/>
  <c r="H414" i="41"/>
  <c r="H415" i="41"/>
  <c r="M425" i="41"/>
  <c r="M430" i="41"/>
  <c r="M434" i="41"/>
  <c r="M406" i="41" s="1"/>
  <c r="M419" i="41" s="1"/>
  <c r="M417" i="41" l="1"/>
  <c r="M363" i="41"/>
  <c r="M376" i="41" s="1"/>
  <c r="M277" i="41"/>
  <c r="M308" i="41" s="1"/>
  <c r="M393" i="41"/>
  <c r="M392" i="41"/>
  <c r="M159" i="41"/>
  <c r="M403" i="41"/>
  <c r="M416" i="41" s="1"/>
  <c r="M271" i="41"/>
  <c r="M325" i="41" s="1"/>
  <c r="M228" i="41"/>
  <c r="M324" i="41"/>
  <c r="I142" i="41"/>
  <c r="I150" i="41" s="1"/>
  <c r="I156" i="41"/>
  <c r="I159" i="41" s="1"/>
  <c r="I433" i="41" s="1"/>
  <c r="I212" i="41"/>
  <c r="I214" i="41" s="1"/>
  <c r="J211" i="41" s="1"/>
  <c r="I257" i="41"/>
  <c r="I259" i="41" s="1"/>
  <c r="J256" i="41" s="1"/>
  <c r="J391" i="41"/>
  <c r="J431" i="41" s="1"/>
  <c r="AK13" i="35"/>
  <c r="AM13" i="35" s="1"/>
  <c r="AO13" i="35" s="1"/>
  <c r="AR13" i="35" s="1"/>
  <c r="I265" i="41" l="1"/>
  <c r="I220" i="41"/>
  <c r="I216" i="41"/>
  <c r="I217" i="41" s="1"/>
  <c r="M326" i="41"/>
  <c r="M273" i="41"/>
  <c r="M433" i="41" s="1"/>
  <c r="AS13" i="35"/>
  <c r="AT13" i="35" s="1"/>
  <c r="AU13" i="35" s="1"/>
  <c r="I405" i="41"/>
  <c r="I418" i="41" s="1"/>
  <c r="I261" i="41"/>
  <c r="I262" i="41" s="1"/>
  <c r="L291" i="38" l="1"/>
  <c r="L335" i="38" s="1"/>
  <c r="L336" i="38" s="1"/>
  <c r="M291" i="38"/>
  <c r="M335" i="38" s="1"/>
  <c r="M336" i="38" s="1"/>
  <c r="N291" i="38"/>
  <c r="N292" i="38" s="1"/>
  <c r="O291" i="38"/>
  <c r="O292" i="38" s="1"/>
  <c r="P291" i="38"/>
  <c r="P335" i="38" s="1"/>
  <c r="P336" i="38" s="1"/>
  <c r="Q291" i="38"/>
  <c r="Q335" i="38" s="1"/>
  <c r="Q336" i="38" s="1"/>
  <c r="R291" i="38"/>
  <c r="R335" i="38" s="1"/>
  <c r="R336" i="38" s="1"/>
  <c r="S291" i="38"/>
  <c r="S335" i="38" s="1"/>
  <c r="S336" i="38" s="1"/>
  <c r="T291" i="38"/>
  <c r="T335" i="38" s="1"/>
  <c r="T336" i="38" s="1"/>
  <c r="U291" i="38"/>
  <c r="U292" i="38" s="1"/>
  <c r="V291" i="38"/>
  <c r="V335" i="38" s="1"/>
  <c r="V336" i="38" s="1"/>
  <c r="W291" i="38"/>
  <c r="W292" i="38" s="1"/>
  <c r="X291" i="38"/>
  <c r="X335" i="38" s="1"/>
  <c r="X336" i="38" s="1"/>
  <c r="Y291" i="38"/>
  <c r="Y292" i="38" s="1"/>
  <c r="Z291" i="38"/>
  <c r="Z292" i="38" s="1"/>
  <c r="V292" i="38" l="1"/>
  <c r="T292" i="38"/>
  <c r="R292" i="38"/>
  <c r="N335" i="38"/>
  <c r="N336" i="38" s="1"/>
  <c r="W335" i="38"/>
  <c r="W336" i="38" s="1"/>
  <c r="O335" i="38"/>
  <c r="O336" i="38" s="1"/>
  <c r="Y335" i="38"/>
  <c r="Y336" i="38" s="1"/>
  <c r="X292" i="38"/>
  <c r="M292" i="38"/>
  <c r="U335" i="38"/>
  <c r="U336" i="38" s="1"/>
  <c r="Q292" i="38"/>
  <c r="L292" i="38"/>
  <c r="P292" i="38"/>
  <c r="S292" i="38"/>
  <c r="Z335" i="38"/>
  <c r="Z336" i="38" s="1"/>
  <c r="F40" i="33"/>
  <c r="F54" i="33" s="1"/>
  <c r="F55" i="33"/>
  <c r="G55" i="33"/>
  <c r="O22" i="33" s="1"/>
  <c r="H55" i="33"/>
  <c r="P22" i="33" s="1"/>
  <c r="J8" i="38"/>
  <c r="K8" i="38"/>
  <c r="I8" i="40"/>
  <c r="K95" i="28" s="1"/>
  <c r="K105" i="28" s="1"/>
  <c r="J8" i="41"/>
  <c r="N95" i="28" s="1"/>
  <c r="N105" i="28" s="1"/>
  <c r="K8" i="41"/>
  <c r="E70" i="48"/>
  <c r="G12" i="41" l="1"/>
  <c r="G11" i="41" s="1"/>
  <c r="M95" i="28"/>
  <c r="M105" i="28" s="1"/>
  <c r="I95" i="28"/>
  <c r="H95" i="28"/>
  <c r="P31" i="33"/>
  <c r="P34" i="33"/>
  <c r="J8" i="40"/>
  <c r="L95" i="28" s="1"/>
  <c r="L105" i="28" s="1"/>
  <c r="O31" i="33"/>
  <c r="O34" i="33"/>
  <c r="F70" i="48"/>
  <c r="F12" i="41"/>
  <c r="F11" i="41" s="1"/>
  <c r="G10" i="41" s="1"/>
  <c r="I12" i="41"/>
  <c r="I11" i="41" s="1"/>
  <c r="H12" i="41"/>
  <c r="H11" i="41" s="1"/>
  <c r="H19" i="41" s="1"/>
  <c r="I12" i="38"/>
  <c r="E55" i="33"/>
  <c r="N119" i="33" s="1"/>
  <c r="F12" i="38"/>
  <c r="F11" i="38" s="1"/>
  <c r="F19" i="38" s="1"/>
  <c r="H22" i="41"/>
  <c r="G19" i="41"/>
  <c r="G22" i="41"/>
  <c r="A8" i="41"/>
  <c r="J9" i="41"/>
  <c r="I9" i="40"/>
  <c r="F22" i="38"/>
  <c r="F10" i="38"/>
  <c r="I11" i="38"/>
  <c r="H12" i="38"/>
  <c r="A8" i="38"/>
  <c r="G12" i="38"/>
  <c r="J9" i="38"/>
  <c r="J95" i="28"/>
  <c r="F57" i="33"/>
  <c r="F74" i="48" s="1"/>
  <c r="F58" i="33"/>
  <c r="E74" i="48" s="1"/>
  <c r="N120" i="33"/>
  <c r="N22" i="33"/>
  <c r="F17" i="38" l="1"/>
  <c r="P119" i="33"/>
  <c r="P120" i="33"/>
  <c r="O119" i="33"/>
  <c r="O120" i="33"/>
  <c r="H10" i="41"/>
  <c r="J11" i="31"/>
  <c r="P43" i="33"/>
  <c r="F10" i="41"/>
  <c r="I11" i="31"/>
  <c r="M34" i="33"/>
  <c r="F17" i="46" s="1"/>
  <c r="O43" i="33"/>
  <c r="H12" i="40"/>
  <c r="H11" i="40" s="1"/>
  <c r="G12" i="40"/>
  <c r="G11" i="40" s="1"/>
  <c r="A8" i="40"/>
  <c r="F12" i="40"/>
  <c r="F11" i="40" s="1"/>
  <c r="F10" i="40" s="1"/>
  <c r="F22" i="41"/>
  <c r="F19" i="41"/>
  <c r="M22" i="33"/>
  <c r="F18" i="38"/>
  <c r="F20" i="38" s="1"/>
  <c r="I18" i="38"/>
  <c r="I22" i="41"/>
  <c r="I10" i="41"/>
  <c r="I19" i="41"/>
  <c r="I12" i="40"/>
  <c r="J9" i="40"/>
  <c r="J12" i="41"/>
  <c r="K9" i="41"/>
  <c r="G40" i="33"/>
  <c r="G54" i="33" s="1"/>
  <c r="H40" i="33"/>
  <c r="H54" i="33" s="1"/>
  <c r="J12" i="38"/>
  <c r="K9" i="38"/>
  <c r="H17" i="38"/>
  <c r="H11" i="38"/>
  <c r="G11" i="38"/>
  <c r="G17" i="38"/>
  <c r="I22" i="38"/>
  <c r="I19" i="38"/>
  <c r="AU11" i="31" l="1"/>
  <c r="H155" i="39"/>
  <c r="J35" i="31"/>
  <c r="J10" i="31"/>
  <c r="M7" i="31"/>
  <c r="M43" i="33"/>
  <c r="F19" i="40"/>
  <c r="F22" i="40"/>
  <c r="H22" i="40"/>
  <c r="H19" i="40"/>
  <c r="H10" i="40"/>
  <c r="E17" i="46"/>
  <c r="E19" i="46" s="1"/>
  <c r="F19" i="46"/>
  <c r="E5" i="46" s="1"/>
  <c r="G19" i="40"/>
  <c r="G10" i="40"/>
  <c r="G22" i="40"/>
  <c r="I35" i="31"/>
  <c r="AJ11" i="31"/>
  <c r="H126" i="39"/>
  <c r="G11" i="31"/>
  <c r="I10" i="31"/>
  <c r="M6" i="31" s="1"/>
  <c r="I20" i="38"/>
  <c r="H22" i="38"/>
  <c r="H10" i="38"/>
  <c r="G81" i="28" s="1"/>
  <c r="H19" i="38"/>
  <c r="H18" i="38"/>
  <c r="I10" i="38"/>
  <c r="J11" i="38"/>
  <c r="J11" i="41"/>
  <c r="J17" i="41"/>
  <c r="H57" i="33"/>
  <c r="H58" i="33"/>
  <c r="H17" i="41"/>
  <c r="F17" i="41"/>
  <c r="G17" i="41"/>
  <c r="I17" i="41"/>
  <c r="J12" i="40"/>
  <c r="K9" i="40"/>
  <c r="G57" i="33"/>
  <c r="G58" i="33"/>
  <c r="H17" i="40"/>
  <c r="F17" i="40"/>
  <c r="G17" i="40"/>
  <c r="E54" i="33"/>
  <c r="I17" i="40"/>
  <c r="I11" i="40"/>
  <c r="G18" i="38"/>
  <c r="G10" i="38"/>
  <c r="G19" i="38"/>
  <c r="G22" i="38"/>
  <c r="L9" i="38"/>
  <c r="K12" i="38"/>
  <c r="L9" i="41"/>
  <c r="K12" i="41"/>
  <c r="F81" i="28" l="1"/>
  <c r="E81" i="28"/>
  <c r="AU35" i="31"/>
  <c r="AU44" i="31" s="1"/>
  <c r="J44" i="31"/>
  <c r="J45" i="31" s="1"/>
  <c r="J31" i="32" s="1"/>
  <c r="AU7" i="31"/>
  <c r="O7" i="31"/>
  <c r="AW7" i="31" s="1"/>
  <c r="U7" i="31"/>
  <c r="BC7" i="31" s="1"/>
  <c r="N7" i="31"/>
  <c r="AV7" i="31" s="1"/>
  <c r="P7" i="31"/>
  <c r="AX7" i="31" s="1"/>
  <c r="T7" i="31"/>
  <c r="BB7" i="31" s="1"/>
  <c r="Q7" i="31"/>
  <c r="AY7" i="31" s="1"/>
  <c r="S7" i="31"/>
  <c r="BA7" i="31" s="1"/>
  <c r="R7" i="31"/>
  <c r="AZ7" i="31" s="1"/>
  <c r="AJ6" i="31"/>
  <c r="M34" i="31"/>
  <c r="M27" i="31"/>
  <c r="M30" i="31"/>
  <c r="M29" i="31"/>
  <c r="M28" i="31"/>
  <c r="O6" i="31"/>
  <c r="N6" i="31"/>
  <c r="U6" i="31"/>
  <c r="R6" i="31"/>
  <c r="P6" i="31"/>
  <c r="T6" i="31"/>
  <c r="Q6" i="31"/>
  <c r="S6" i="31"/>
  <c r="G10" i="31"/>
  <c r="I20" i="31" s="1"/>
  <c r="AJ35" i="31"/>
  <c r="AJ44" i="31" s="1"/>
  <c r="G35" i="31"/>
  <c r="I44" i="31"/>
  <c r="H23" i="31"/>
  <c r="E11" i="46"/>
  <c r="M11" i="31"/>
  <c r="H68" i="39"/>
  <c r="G20" i="38"/>
  <c r="H20" i="38"/>
  <c r="K11" i="38"/>
  <c r="K17" i="38"/>
  <c r="I18" i="40"/>
  <c r="H18" i="40"/>
  <c r="H20" i="40" s="1"/>
  <c r="H18" i="41"/>
  <c r="H20" i="41" s="1"/>
  <c r="E57" i="33"/>
  <c r="E58" i="33"/>
  <c r="I18" i="41"/>
  <c r="I20" i="41" s="1"/>
  <c r="J19" i="41"/>
  <c r="J22" i="41"/>
  <c r="J10" i="41"/>
  <c r="J11" i="40"/>
  <c r="J17" i="40"/>
  <c r="J18" i="41"/>
  <c r="J20" i="41" s="1"/>
  <c r="M9" i="38"/>
  <c r="L12" i="38"/>
  <c r="G18" i="40"/>
  <c r="G20" i="40" s="1"/>
  <c r="G18" i="41"/>
  <c r="G20" i="41" s="1"/>
  <c r="J18" i="38"/>
  <c r="K11" i="41"/>
  <c r="K17" i="41"/>
  <c r="M9" i="41"/>
  <c r="L12" i="41"/>
  <c r="I22" i="40"/>
  <c r="I10" i="40"/>
  <c r="I19" i="40"/>
  <c r="F18" i="40"/>
  <c r="F20" i="40" s="1"/>
  <c r="L9" i="40"/>
  <c r="K12" i="40"/>
  <c r="F18" i="41"/>
  <c r="F20" i="41" s="1"/>
  <c r="J19" i="38"/>
  <c r="J22" i="38"/>
  <c r="J10" i="38"/>
  <c r="H81" i="28" l="1"/>
  <c r="I20" i="40"/>
  <c r="AZ30" i="31"/>
  <c r="AZ34" i="31"/>
  <c r="AZ45" i="31" s="1"/>
  <c r="AZ29" i="31"/>
  <c r="AZ28" i="31"/>
  <c r="AZ27" i="31"/>
  <c r="V7" i="31"/>
  <c r="BA30" i="31"/>
  <c r="BA28" i="31"/>
  <c r="BA29" i="31"/>
  <c r="BA34" i="31"/>
  <c r="BA45" i="31" s="1"/>
  <c r="BA27" i="31"/>
  <c r="AV34" i="31"/>
  <c r="AV45" i="31" s="1"/>
  <c r="AV29" i="31"/>
  <c r="AV28" i="31"/>
  <c r="AV27" i="31"/>
  <c r="AV30" i="31"/>
  <c r="AU30" i="31"/>
  <c r="AU34" i="31"/>
  <c r="AU45" i="31" s="1"/>
  <c r="AU29" i="31"/>
  <c r="AU28" i="31"/>
  <c r="AU27" i="31"/>
  <c r="AX34" i="31"/>
  <c r="AX45" i="31" s="1"/>
  <c r="AX27" i="31"/>
  <c r="AX28" i="31"/>
  <c r="AX30" i="31"/>
  <c r="AX29" i="31"/>
  <c r="AY28" i="31"/>
  <c r="AY29" i="31"/>
  <c r="AY34" i="31"/>
  <c r="AY45" i="31" s="1"/>
  <c r="AY27" i="31"/>
  <c r="AY30" i="31"/>
  <c r="BC27" i="31"/>
  <c r="BC34" i="31"/>
  <c r="BC45" i="31" s="1"/>
  <c r="BC28" i="31"/>
  <c r="BC30" i="31"/>
  <c r="BC29" i="31"/>
  <c r="T31" i="32"/>
  <c r="T100" i="48" s="1"/>
  <c r="T79" i="48"/>
  <c r="J41" i="32"/>
  <c r="AK53" i="32"/>
  <c r="BB28" i="31"/>
  <c r="BB27" i="31"/>
  <c r="BB30" i="31"/>
  <c r="BB34" i="31"/>
  <c r="BB45" i="31" s="1"/>
  <c r="BB29" i="31"/>
  <c r="AW27" i="31"/>
  <c r="AW30" i="31"/>
  <c r="AW28" i="31"/>
  <c r="AW29" i="31"/>
  <c r="AW34" i="31"/>
  <c r="AW45" i="31" s="1"/>
  <c r="AQ6" i="31"/>
  <c r="AQ23" i="31" s="1"/>
  <c r="AQ24" i="31" s="1"/>
  <c r="T28" i="31"/>
  <c r="T27" i="31"/>
  <c r="T34" i="31"/>
  <c r="T45" i="31" s="1"/>
  <c r="T29" i="31"/>
  <c r="T30" i="31"/>
  <c r="AK6" i="31"/>
  <c r="AK23" i="31" s="1"/>
  <c r="AK24" i="31" s="1"/>
  <c r="N30" i="31"/>
  <c r="N29" i="31"/>
  <c r="N28" i="31"/>
  <c r="N34" i="31"/>
  <c r="N45" i="31" s="1"/>
  <c r="N27" i="31"/>
  <c r="AJ30" i="31"/>
  <c r="AJ28" i="31"/>
  <c r="AJ27" i="31"/>
  <c r="AJ29" i="31"/>
  <c r="AJ34" i="31"/>
  <c r="AJ45" i="31" s="1"/>
  <c r="I45" i="31"/>
  <c r="I31" i="32" s="1"/>
  <c r="G44" i="31"/>
  <c r="F44" i="31" s="1"/>
  <c r="F41" i="31"/>
  <c r="J20" i="31"/>
  <c r="F61" i="31"/>
  <c r="F54" i="31"/>
  <c r="F76" i="31"/>
  <c r="F19" i="32"/>
  <c r="F51" i="31"/>
  <c r="F20" i="32"/>
  <c r="P23" i="32"/>
  <c r="F39" i="31"/>
  <c r="P30" i="32"/>
  <c r="F57" i="31"/>
  <c r="F28" i="31"/>
  <c r="F37" i="31"/>
  <c r="F30" i="32"/>
  <c r="F40" i="32"/>
  <c r="F12" i="32"/>
  <c r="F59" i="31"/>
  <c r="F11" i="32"/>
  <c r="F74" i="31"/>
  <c r="F53" i="31"/>
  <c r="F30" i="31"/>
  <c r="F31" i="31"/>
  <c r="F8" i="32"/>
  <c r="F60" i="31"/>
  <c r="F38" i="31"/>
  <c r="F52" i="31"/>
  <c r="F42" i="31"/>
  <c r="F75" i="31"/>
  <c r="P21" i="32"/>
  <c r="F21" i="32"/>
  <c r="G62" i="31"/>
  <c r="F34" i="31"/>
  <c r="F29" i="31"/>
  <c r="F36" i="31"/>
  <c r="H20" i="31"/>
  <c r="F27" i="31"/>
  <c r="F40" i="31"/>
  <c r="P22" i="32"/>
  <c r="F9" i="32"/>
  <c r="F43" i="31"/>
  <c r="AM6" i="31"/>
  <c r="P29" i="31"/>
  <c r="P27" i="31"/>
  <c r="P34" i="31"/>
  <c r="P45" i="31" s="1"/>
  <c r="P30" i="31"/>
  <c r="P28" i="31"/>
  <c r="AL6" i="31"/>
  <c r="AL23" i="31" s="1"/>
  <c r="AL24" i="31" s="1"/>
  <c r="O30" i="31"/>
  <c r="O28" i="31"/>
  <c r="O27" i="31"/>
  <c r="O34" i="31"/>
  <c r="O45" i="31" s="1"/>
  <c r="O29" i="31"/>
  <c r="M31" i="31"/>
  <c r="M35" i="31"/>
  <c r="G56" i="31"/>
  <c r="G49" i="31"/>
  <c r="F35" i="31"/>
  <c r="AP6" i="31"/>
  <c r="AP23" i="31" s="1"/>
  <c r="AP24" i="31" s="1"/>
  <c r="S27" i="31"/>
  <c r="S29" i="31"/>
  <c r="S34" i="31"/>
  <c r="S45" i="31" s="1"/>
  <c r="S86" i="31" s="1"/>
  <c r="C120" i="28" s="1"/>
  <c r="S30" i="31"/>
  <c r="S28" i="31"/>
  <c r="AO6" i="31"/>
  <c r="AO23" i="31" s="1"/>
  <c r="AO24" i="31" s="1"/>
  <c r="R28" i="31"/>
  <c r="R27" i="31"/>
  <c r="R30" i="31"/>
  <c r="R29" i="31"/>
  <c r="R34" i="31"/>
  <c r="R45" i="31" s="1"/>
  <c r="R86" i="31" s="1"/>
  <c r="C115" i="28" s="1"/>
  <c r="AN6" i="31"/>
  <c r="AN23" i="31" s="1"/>
  <c r="AN24" i="31" s="1"/>
  <c r="Q28" i="31"/>
  <c r="Q27" i="31"/>
  <c r="Q29" i="31"/>
  <c r="Q34" i="31"/>
  <c r="Q45" i="31" s="1"/>
  <c r="Q86" i="31" s="1"/>
  <c r="Q30" i="31"/>
  <c r="AR6" i="31"/>
  <c r="AR23" i="31" s="1"/>
  <c r="AR24" i="31" s="1"/>
  <c r="U28" i="31"/>
  <c r="U27" i="31"/>
  <c r="U30" i="31"/>
  <c r="U34" i="31"/>
  <c r="U45" i="31" s="1"/>
  <c r="U29" i="31"/>
  <c r="V6" i="31"/>
  <c r="D11" i="35"/>
  <c r="G23" i="31"/>
  <c r="H24" i="31"/>
  <c r="AJ23" i="31"/>
  <c r="AJ24" i="31" s="1"/>
  <c r="T23" i="31"/>
  <c r="T24" i="31" s="1"/>
  <c r="Q23" i="31"/>
  <c r="Q24" i="31" s="1"/>
  <c r="Z23" i="31"/>
  <c r="Z24" i="31" s="1"/>
  <c r="O23" i="31"/>
  <c r="O24" i="31" s="1"/>
  <c r="AB23" i="31"/>
  <c r="AB24" i="31" s="1"/>
  <c r="AE23" i="31"/>
  <c r="AE24" i="31" s="1"/>
  <c r="AG23" i="31"/>
  <c r="AG24" i="31" s="1"/>
  <c r="AD23" i="31"/>
  <c r="AD24" i="31" s="1"/>
  <c r="AA23" i="31"/>
  <c r="AA24" i="31" s="1"/>
  <c r="N23" i="31"/>
  <c r="N24" i="31" s="1"/>
  <c r="AX23" i="31"/>
  <c r="AX24" i="31" s="1"/>
  <c r="M23" i="31"/>
  <c r="M24" i="31" s="1"/>
  <c r="U23" i="31"/>
  <c r="U24" i="31" s="1"/>
  <c r="Y23" i="31"/>
  <c r="Y24" i="31" s="1"/>
  <c r="BA23" i="31"/>
  <c r="BA24" i="31" s="1"/>
  <c r="BB23" i="31"/>
  <c r="BB24" i="31" s="1"/>
  <c r="AZ23" i="31"/>
  <c r="AZ24" i="31" s="1"/>
  <c r="S23" i="31"/>
  <c r="S24" i="31" s="1"/>
  <c r="AV23" i="31"/>
  <c r="AV24" i="31" s="1"/>
  <c r="AW23" i="31"/>
  <c r="AW24" i="31" s="1"/>
  <c r="AY23" i="31"/>
  <c r="AY24" i="31" s="1"/>
  <c r="BC23" i="31"/>
  <c r="BC24" i="31" s="1"/>
  <c r="P23" i="31"/>
  <c r="P24" i="31" s="1"/>
  <c r="R23" i="31"/>
  <c r="R24" i="31" s="1"/>
  <c r="AC23" i="31"/>
  <c r="AC24" i="31" s="1"/>
  <c r="AF23" i="31"/>
  <c r="AF24" i="31" s="1"/>
  <c r="AU23" i="31"/>
  <c r="AU24" i="31" s="1"/>
  <c r="I52" i="31"/>
  <c r="I54" i="31"/>
  <c r="I74" i="31"/>
  <c r="I60" i="31"/>
  <c r="I57" i="31"/>
  <c r="I59" i="31"/>
  <c r="I75" i="31"/>
  <c r="I61" i="31"/>
  <c r="I53" i="31"/>
  <c r="I51" i="31"/>
  <c r="J20" i="38"/>
  <c r="K10" i="41"/>
  <c r="K19" i="41"/>
  <c r="K22" i="41"/>
  <c r="L17" i="38"/>
  <c r="L11" i="38"/>
  <c r="J18" i="40"/>
  <c r="L17" i="41"/>
  <c r="L11" i="41"/>
  <c r="M12" i="38"/>
  <c r="N9" i="38"/>
  <c r="J19" i="40"/>
  <c r="J22" i="40"/>
  <c r="J10" i="40"/>
  <c r="K11" i="40"/>
  <c r="K17" i="40"/>
  <c r="M12" i="41"/>
  <c r="N9" i="41"/>
  <c r="K18" i="38"/>
  <c r="M9" i="40"/>
  <c r="L12" i="40"/>
  <c r="K18" i="41"/>
  <c r="K20" i="41" s="1"/>
  <c r="K10" i="38"/>
  <c r="K19" i="38"/>
  <c r="I81" i="28" l="1"/>
  <c r="J20" i="40"/>
  <c r="BA31" i="31"/>
  <c r="AY31" i="31"/>
  <c r="O31" i="31"/>
  <c r="AV31" i="31"/>
  <c r="BC31" i="31"/>
  <c r="AT45" i="31"/>
  <c r="N31" i="31"/>
  <c r="AW31" i="31"/>
  <c r="BB31" i="31"/>
  <c r="I287" i="41"/>
  <c r="I331" i="41" s="1"/>
  <c r="H287" i="41"/>
  <c r="H331" i="41" s="1"/>
  <c r="G287" i="41"/>
  <c r="AU31" i="31"/>
  <c r="AZ31" i="31"/>
  <c r="T31" i="31"/>
  <c r="AX31" i="31"/>
  <c r="I49" i="31"/>
  <c r="J49" i="31"/>
  <c r="H49" i="31"/>
  <c r="F49" i="31"/>
  <c r="AM27" i="31"/>
  <c r="AM29" i="31"/>
  <c r="AM30" i="31"/>
  <c r="AM28" i="31"/>
  <c r="AM34" i="31"/>
  <c r="AM45" i="31" s="1"/>
  <c r="I41" i="32"/>
  <c r="S31" i="32"/>
  <c r="AJ53" i="32"/>
  <c r="R79" i="48"/>
  <c r="G31" i="32"/>
  <c r="AJ31" i="31"/>
  <c r="AM23" i="31"/>
  <c r="AM24" i="31" s="1"/>
  <c r="H7" i="32"/>
  <c r="H29" i="32"/>
  <c r="R31" i="31"/>
  <c r="AP34" i="31"/>
  <c r="AP45" i="31" s="1"/>
  <c r="AP29" i="31"/>
  <c r="AP28" i="31"/>
  <c r="AP27" i="31"/>
  <c r="AP30" i="31"/>
  <c r="I56" i="31"/>
  <c r="J56" i="31"/>
  <c r="F56" i="31"/>
  <c r="H56" i="31"/>
  <c r="P88" i="31"/>
  <c r="P86" i="31"/>
  <c r="C117" i="28" s="1"/>
  <c r="I76" i="31"/>
  <c r="I34" i="32" s="1"/>
  <c r="F130" i="28"/>
  <c r="F131" i="28" s="1"/>
  <c r="G24" i="31"/>
  <c r="F24" i="31" s="1"/>
  <c r="U88" i="31"/>
  <c r="U86" i="31"/>
  <c r="AR27" i="31"/>
  <c r="AR30" i="31"/>
  <c r="AR34" i="31"/>
  <c r="AR45" i="31" s="1"/>
  <c r="AR29" i="31"/>
  <c r="AR28" i="31"/>
  <c r="Q31" i="31"/>
  <c r="G45" i="31"/>
  <c r="M44" i="31"/>
  <c r="M45" i="31" s="1"/>
  <c r="P180" i="33"/>
  <c r="P181" i="33" s="1"/>
  <c r="J22" i="32" s="1"/>
  <c r="O180" i="33"/>
  <c r="O181" i="33" s="1"/>
  <c r="I22" i="32" s="1"/>
  <c r="N180" i="33"/>
  <c r="N181" i="33" s="1"/>
  <c r="H22" i="32" s="1"/>
  <c r="D35" i="28"/>
  <c r="E44" i="28"/>
  <c r="F37" i="28"/>
  <c r="E41" i="28"/>
  <c r="E37" i="28"/>
  <c r="D41" i="28"/>
  <c r="F38" i="28"/>
  <c r="D38" i="28"/>
  <c r="E39" i="28"/>
  <c r="L39" i="28"/>
  <c r="M32" i="28"/>
  <c r="F41" i="28"/>
  <c r="M37" i="28"/>
  <c r="L44" i="28"/>
  <c r="M39" i="28"/>
  <c r="D42" i="28"/>
  <c r="M40" i="28"/>
  <c r="D40" i="28"/>
  <c r="D39" i="28"/>
  <c r="F44" i="28"/>
  <c r="M38" i="28"/>
  <c r="F40" i="28"/>
  <c r="C116" i="28"/>
  <c r="O86" i="31"/>
  <c r="AL27" i="31"/>
  <c r="AL29" i="31"/>
  <c r="AL28" i="31"/>
  <c r="AL34" i="31"/>
  <c r="AL45" i="31" s="1"/>
  <c r="AL30" i="31"/>
  <c r="P31" i="31"/>
  <c r="H51" i="31"/>
  <c r="H75" i="31"/>
  <c r="H52" i="31"/>
  <c r="H54" i="31"/>
  <c r="H61" i="31"/>
  <c r="H59" i="31"/>
  <c r="H53" i="31"/>
  <c r="H60" i="31"/>
  <c r="H74" i="31"/>
  <c r="H57" i="31"/>
  <c r="G20" i="31"/>
  <c r="J62" i="31"/>
  <c r="I62" i="31"/>
  <c r="H62" i="31"/>
  <c r="F62" i="31"/>
  <c r="F23" i="31"/>
  <c r="AQ27" i="31"/>
  <c r="AQ30" i="31"/>
  <c r="AQ28" i="31"/>
  <c r="AQ29" i="31"/>
  <c r="AQ34" i="31"/>
  <c r="AQ45" i="31" s="1"/>
  <c r="D18" i="35"/>
  <c r="L18" i="35" s="1"/>
  <c r="D12" i="35"/>
  <c r="L12" i="35" s="1"/>
  <c r="D15" i="35"/>
  <c r="L15" i="35" s="1"/>
  <c r="D19" i="35"/>
  <c r="L19" i="35" s="1"/>
  <c r="D14" i="35"/>
  <c r="L14" i="35" s="1"/>
  <c r="D16" i="35"/>
  <c r="L16" i="35" s="1"/>
  <c r="D17" i="35"/>
  <c r="L17" i="35" s="1"/>
  <c r="L11" i="35"/>
  <c r="D13" i="35"/>
  <c r="L13" i="35" s="1"/>
  <c r="D20" i="35"/>
  <c r="L20" i="35" s="1"/>
  <c r="D21" i="35"/>
  <c r="L21" i="35" s="1"/>
  <c r="D22" i="35"/>
  <c r="L22" i="35" s="1"/>
  <c r="D23" i="35"/>
  <c r="L23" i="35" s="1"/>
  <c r="D24" i="35"/>
  <c r="L24" i="35" s="1"/>
  <c r="D25" i="35"/>
  <c r="L25" i="35" s="1"/>
  <c r="D26" i="35"/>
  <c r="L26" i="35" s="1"/>
  <c r="D27" i="35"/>
  <c r="L27" i="35" s="1"/>
  <c r="D28" i="35"/>
  <c r="L28" i="35" s="1"/>
  <c r="D29" i="35"/>
  <c r="L29" i="35" s="1"/>
  <c r="D30" i="35"/>
  <c r="L30" i="35" s="1"/>
  <c r="D31" i="35"/>
  <c r="L31" i="35" s="1"/>
  <c r="D32" i="35"/>
  <c r="L32" i="35" s="1"/>
  <c r="D33" i="35"/>
  <c r="L33" i="35" s="1"/>
  <c r="D34" i="35"/>
  <c r="L34" i="35" s="1"/>
  <c r="D35" i="35"/>
  <c r="L35" i="35" s="1"/>
  <c r="D36" i="35"/>
  <c r="L36" i="35" s="1"/>
  <c r="D37" i="35"/>
  <c r="L37" i="35" s="1"/>
  <c r="D38" i="35"/>
  <c r="L38" i="35" s="1"/>
  <c r="D39" i="35"/>
  <c r="L39" i="35" s="1"/>
  <c r="D40" i="35"/>
  <c r="L40" i="35" s="1"/>
  <c r="D41" i="35"/>
  <c r="L41" i="35" s="1"/>
  <c r="D42" i="35"/>
  <c r="L42" i="35" s="1"/>
  <c r="D43" i="35"/>
  <c r="L43" i="35" s="1"/>
  <c r="D44" i="35"/>
  <c r="L44" i="35" s="1"/>
  <c r="D45" i="35"/>
  <c r="L45" i="35" s="1"/>
  <c r="AO28" i="31"/>
  <c r="AO30" i="31"/>
  <c r="AO27" i="31"/>
  <c r="AO29" i="31"/>
  <c r="AO34" i="31"/>
  <c r="AO45" i="31" s="1"/>
  <c r="T86" i="31"/>
  <c r="T88" i="31"/>
  <c r="U31" i="31"/>
  <c r="AN34" i="31"/>
  <c r="AN45" i="31" s="1"/>
  <c r="AN28" i="31"/>
  <c r="AN29" i="31"/>
  <c r="AN27" i="31"/>
  <c r="AN30" i="31"/>
  <c r="S31" i="31"/>
  <c r="J75" i="31"/>
  <c r="J54" i="31"/>
  <c r="J51" i="31"/>
  <c r="J59" i="31"/>
  <c r="J60" i="31"/>
  <c r="J74" i="31"/>
  <c r="J52" i="31"/>
  <c r="J53" i="31"/>
  <c r="J57" i="31"/>
  <c r="J61" i="31"/>
  <c r="N88" i="31"/>
  <c r="N86" i="31"/>
  <c r="AK28" i="31"/>
  <c r="AK34" i="31"/>
  <c r="AK45" i="31" s="1"/>
  <c r="AK30" i="31"/>
  <c r="AK27" i="31"/>
  <c r="AK29" i="31"/>
  <c r="K20" i="38"/>
  <c r="M12" i="40"/>
  <c r="N9" i="40"/>
  <c r="K18" i="40"/>
  <c r="L17" i="40"/>
  <c r="L11" i="40"/>
  <c r="K10" i="40"/>
  <c r="K19" i="40"/>
  <c r="K20" i="40" s="1"/>
  <c r="K22" i="40"/>
  <c r="N12" i="41"/>
  <c r="O9" i="41"/>
  <c r="N12" i="38"/>
  <c r="O9" i="38"/>
  <c r="L22" i="41"/>
  <c r="L10" i="41"/>
  <c r="L19" i="41"/>
  <c r="L22" i="38"/>
  <c r="L10" i="38"/>
  <c r="L19" i="38"/>
  <c r="M17" i="41"/>
  <c r="M11" i="41"/>
  <c r="M17" i="38"/>
  <c r="M11" i="38"/>
  <c r="L18" i="41"/>
  <c r="L20" i="41" s="1"/>
  <c r="L18" i="38"/>
  <c r="L20" i="38" s="1"/>
  <c r="J81" i="28" l="1"/>
  <c r="E40" i="28"/>
  <c r="M42" i="28"/>
  <c r="L35" i="28"/>
  <c r="N41" i="28"/>
  <c r="D32" i="28"/>
  <c r="E38" i="28"/>
  <c r="N42" i="28"/>
  <c r="N44" i="28"/>
  <c r="M44" i="28"/>
  <c r="N32" i="28"/>
  <c r="L32" i="28"/>
  <c r="F39" i="28"/>
  <c r="L40" i="28"/>
  <c r="L41" i="28"/>
  <c r="N37" i="28"/>
  <c r="E42" i="28"/>
  <c r="E35" i="28"/>
  <c r="F35" i="28"/>
  <c r="N40" i="28"/>
  <c r="D44" i="28"/>
  <c r="F42" i="28"/>
  <c r="N39" i="28"/>
  <c r="L38" i="28"/>
  <c r="C110" i="28"/>
  <c r="L37" i="28"/>
  <c r="L42" i="28"/>
  <c r="J76" i="31"/>
  <c r="J34" i="32" s="1"/>
  <c r="T82" i="48" s="1"/>
  <c r="AI45" i="31"/>
  <c r="C119" i="28"/>
  <c r="AT31" i="31"/>
  <c r="G331" i="41"/>
  <c r="D331" i="41" s="1"/>
  <c r="D287" i="41"/>
  <c r="AN31" i="31"/>
  <c r="H76" i="31"/>
  <c r="H34" i="32" s="1"/>
  <c r="T74" i="31"/>
  <c r="AL74" i="31"/>
  <c r="AN74" i="31"/>
  <c r="AF74" i="31"/>
  <c r="AW74" i="31"/>
  <c r="R74" i="31"/>
  <c r="AP74" i="31"/>
  <c r="AQ74" i="31"/>
  <c r="AD74" i="31"/>
  <c r="AC74" i="31"/>
  <c r="BB74" i="31"/>
  <c r="AJ74" i="31"/>
  <c r="AK74" i="31"/>
  <c r="BA74" i="31"/>
  <c r="BC74" i="31"/>
  <c r="AY74" i="31"/>
  <c r="AR74" i="31"/>
  <c r="AB74" i="31"/>
  <c r="Z74" i="31"/>
  <c r="AM74" i="31"/>
  <c r="P74" i="31"/>
  <c r="O74" i="31"/>
  <c r="AV74" i="31"/>
  <c r="Q74" i="31"/>
  <c r="N74" i="31"/>
  <c r="AG74" i="31"/>
  <c r="AE74" i="31"/>
  <c r="AZ74" i="31"/>
  <c r="U74" i="31"/>
  <c r="AA74" i="31"/>
  <c r="M74" i="31"/>
  <c r="AO74" i="31"/>
  <c r="AU74" i="31"/>
  <c r="AX74" i="31"/>
  <c r="Y74" i="31"/>
  <c r="S74" i="31"/>
  <c r="U61" i="31"/>
  <c r="O61" i="31"/>
  <c r="AR61" i="31"/>
  <c r="N61" i="31"/>
  <c r="AW61" i="31"/>
  <c r="AA61" i="31"/>
  <c r="M61" i="31"/>
  <c r="AY61" i="31"/>
  <c r="BC61" i="31"/>
  <c r="AD61" i="31"/>
  <c r="Z61" i="31"/>
  <c r="R61" i="31"/>
  <c r="AO61" i="31"/>
  <c r="AL61" i="31"/>
  <c r="Q61" i="31"/>
  <c r="AQ61" i="31"/>
  <c r="AE61" i="31"/>
  <c r="AX61" i="31"/>
  <c r="AU61" i="31"/>
  <c r="AM61" i="31"/>
  <c r="BA61" i="31"/>
  <c r="AG61" i="31"/>
  <c r="AC61" i="31"/>
  <c r="S61" i="31"/>
  <c r="AB61" i="31"/>
  <c r="AK61" i="31"/>
  <c r="T61" i="31"/>
  <c r="AP61" i="31"/>
  <c r="Y61" i="31"/>
  <c r="AF61" i="31"/>
  <c r="AJ61" i="31"/>
  <c r="P61" i="31"/>
  <c r="AV61" i="31"/>
  <c r="AN61" i="31"/>
  <c r="AZ61" i="31"/>
  <c r="BB61" i="31"/>
  <c r="AQ51" i="31"/>
  <c r="AJ51" i="31"/>
  <c r="AG51" i="31"/>
  <c r="BC51" i="31"/>
  <c r="AZ51" i="31"/>
  <c r="AX51" i="31"/>
  <c r="O51" i="31"/>
  <c r="AW51" i="31"/>
  <c r="N51" i="31"/>
  <c r="T51" i="31"/>
  <c r="Q51" i="31"/>
  <c r="U51" i="31"/>
  <c r="Z51" i="31"/>
  <c r="AL51" i="31"/>
  <c r="AV51" i="31"/>
  <c r="AK51" i="31"/>
  <c r="S51" i="31"/>
  <c r="P51" i="31"/>
  <c r="AY51" i="31"/>
  <c r="BB51" i="31"/>
  <c r="AO51" i="31"/>
  <c r="AD51" i="31"/>
  <c r="AM51" i="31"/>
  <c r="R51" i="31"/>
  <c r="AN51" i="31"/>
  <c r="AU51" i="31"/>
  <c r="AP51" i="31"/>
  <c r="AE51" i="31"/>
  <c r="AR51" i="31"/>
  <c r="AF51" i="31"/>
  <c r="AC51" i="31"/>
  <c r="BA51" i="31"/>
  <c r="AA51" i="31"/>
  <c r="M51" i="31"/>
  <c r="Y51" i="31"/>
  <c r="AB51" i="31"/>
  <c r="M88" i="31"/>
  <c r="M86" i="31"/>
  <c r="R82" i="48"/>
  <c r="S34" i="32"/>
  <c r="R103" i="48" s="1"/>
  <c r="I44" i="32"/>
  <c r="AJ56" i="32"/>
  <c r="AP31" i="31"/>
  <c r="R100" i="48"/>
  <c r="Q31" i="32"/>
  <c r="P31" i="32" s="1"/>
  <c r="AZ49" i="31"/>
  <c r="AW49" i="31"/>
  <c r="AP49" i="31"/>
  <c r="AK49" i="31"/>
  <c r="AB49" i="31"/>
  <c r="AC49" i="31"/>
  <c r="AR49" i="31"/>
  <c r="AV49" i="31"/>
  <c r="AG49" i="31"/>
  <c r="R49" i="31"/>
  <c r="AU49" i="31"/>
  <c r="Z49" i="31"/>
  <c r="AQ49" i="31"/>
  <c r="BB49" i="31"/>
  <c r="AF49" i="31"/>
  <c r="P49" i="31"/>
  <c r="AM49" i="31"/>
  <c r="BA49" i="31"/>
  <c r="AO49" i="31"/>
  <c r="U49" i="31"/>
  <c r="Q49" i="31"/>
  <c r="AD49" i="31"/>
  <c r="AY49" i="31"/>
  <c r="N49" i="31"/>
  <c r="S49" i="31"/>
  <c r="AE49" i="31"/>
  <c r="AN49" i="31"/>
  <c r="AL49" i="31"/>
  <c r="AJ49" i="31"/>
  <c r="M49" i="31"/>
  <c r="BC49" i="31"/>
  <c r="Y49" i="31"/>
  <c r="AA49" i="31"/>
  <c r="T49" i="31"/>
  <c r="O49" i="31"/>
  <c r="AX49" i="31"/>
  <c r="C118" i="28"/>
  <c r="AO31" i="31"/>
  <c r="J12" i="35"/>
  <c r="N12" i="35" s="1"/>
  <c r="O12" i="35" s="1"/>
  <c r="P12" i="35" s="1"/>
  <c r="N60" i="31"/>
  <c r="AK60" i="31"/>
  <c r="AN60" i="31"/>
  <c r="BB60" i="31"/>
  <c r="AF60" i="31"/>
  <c r="AG60" i="31"/>
  <c r="M60" i="31"/>
  <c r="AZ60" i="31"/>
  <c r="AO60" i="31"/>
  <c r="AA60" i="31"/>
  <c r="AC60" i="31"/>
  <c r="Q60" i="31"/>
  <c r="AM60" i="31"/>
  <c r="AV60" i="31"/>
  <c r="AE60" i="31"/>
  <c r="Z60" i="31"/>
  <c r="P60" i="31"/>
  <c r="AW60" i="31"/>
  <c r="AB60" i="31"/>
  <c r="T60" i="31"/>
  <c r="AQ60" i="31"/>
  <c r="AY60" i="31"/>
  <c r="AP60" i="31"/>
  <c r="AL60" i="31"/>
  <c r="O60" i="31"/>
  <c r="U60" i="31"/>
  <c r="BC60" i="31"/>
  <c r="Y60" i="31"/>
  <c r="AX60" i="31"/>
  <c r="S60" i="31"/>
  <c r="AJ60" i="31"/>
  <c r="R60" i="31"/>
  <c r="AD60" i="31"/>
  <c r="BA60" i="31"/>
  <c r="AR60" i="31"/>
  <c r="AU60" i="31"/>
  <c r="AZ54" i="31"/>
  <c r="AA54" i="31"/>
  <c r="BB54" i="31"/>
  <c r="AX54" i="31"/>
  <c r="S54" i="31"/>
  <c r="P54" i="31"/>
  <c r="AW54" i="31"/>
  <c r="AO54" i="31"/>
  <c r="M54" i="31"/>
  <c r="O54" i="31"/>
  <c r="AN54" i="31"/>
  <c r="AY54" i="31"/>
  <c r="AQ54" i="31"/>
  <c r="Q54" i="31"/>
  <c r="AB54" i="31"/>
  <c r="AD54" i="31"/>
  <c r="AC54" i="31"/>
  <c r="AE54" i="31"/>
  <c r="AL54" i="31"/>
  <c r="AM54" i="31"/>
  <c r="T54" i="31"/>
  <c r="AV54" i="31"/>
  <c r="AF54" i="31"/>
  <c r="Z54" i="31"/>
  <c r="U54" i="31"/>
  <c r="AK54" i="31"/>
  <c r="N54" i="31"/>
  <c r="BA54" i="31"/>
  <c r="R54" i="31"/>
  <c r="BC54" i="31"/>
  <c r="AP54" i="31"/>
  <c r="AJ54" i="31"/>
  <c r="AU54" i="31"/>
  <c r="AR54" i="31"/>
  <c r="AG54" i="31"/>
  <c r="Y54" i="31"/>
  <c r="M41" i="28"/>
  <c r="G37" i="28"/>
  <c r="D37" i="28"/>
  <c r="G22" i="32"/>
  <c r="X57" i="32"/>
  <c r="P73" i="48"/>
  <c r="G98" i="39"/>
  <c r="G105" i="39" s="1"/>
  <c r="R24" i="32"/>
  <c r="G58" i="31"/>
  <c r="G50" i="31"/>
  <c r="F45" i="31"/>
  <c r="P77" i="48"/>
  <c r="AI51" i="32"/>
  <c r="H39" i="32"/>
  <c r="R29" i="32"/>
  <c r="G29" i="32"/>
  <c r="F31" i="32"/>
  <c r="AH53" i="32"/>
  <c r="I290" i="40"/>
  <c r="G290" i="40"/>
  <c r="H290" i="40"/>
  <c r="G41" i="32"/>
  <c r="F41" i="32" s="1"/>
  <c r="AK31" i="31"/>
  <c r="AA53" i="31"/>
  <c r="BB53" i="31"/>
  <c r="AJ53" i="31"/>
  <c r="R53" i="31"/>
  <c r="S53" i="31"/>
  <c r="Q53" i="31"/>
  <c r="P53" i="31"/>
  <c r="Y53" i="31"/>
  <c r="AP53" i="31"/>
  <c r="AL53" i="31"/>
  <c r="AV53" i="31"/>
  <c r="AC53" i="31"/>
  <c r="AY53" i="31"/>
  <c r="AN53" i="31"/>
  <c r="AF53" i="31"/>
  <c r="Z53" i="31"/>
  <c r="N53" i="31"/>
  <c r="T53" i="31"/>
  <c r="AM53" i="31"/>
  <c r="M53" i="31"/>
  <c r="AR53" i="31"/>
  <c r="AB53" i="31"/>
  <c r="BC53" i="31"/>
  <c r="AK53" i="31"/>
  <c r="AQ53" i="31"/>
  <c r="AU53" i="31"/>
  <c r="AX53" i="31"/>
  <c r="AO53" i="31"/>
  <c r="AG53" i="31"/>
  <c r="AE53" i="31"/>
  <c r="AZ53" i="31"/>
  <c r="U53" i="31"/>
  <c r="AW53" i="31"/>
  <c r="AD53" i="31"/>
  <c r="BA53" i="31"/>
  <c r="O53" i="31"/>
  <c r="AJ52" i="31"/>
  <c r="AD52" i="31"/>
  <c r="Y52" i="31"/>
  <c r="AM52" i="31"/>
  <c r="AY52" i="31"/>
  <c r="AL52" i="31"/>
  <c r="AF52" i="31"/>
  <c r="T52" i="31"/>
  <c r="BC52" i="31"/>
  <c r="AG52" i="31"/>
  <c r="AC52" i="31"/>
  <c r="AX52" i="31"/>
  <c r="AE52" i="31"/>
  <c r="AO52" i="31"/>
  <c r="AB52" i="31"/>
  <c r="AQ52" i="31"/>
  <c r="AU52" i="31"/>
  <c r="P52" i="31"/>
  <c r="O52" i="31"/>
  <c r="AN52" i="31"/>
  <c r="AP52" i="31"/>
  <c r="M52" i="31"/>
  <c r="S52" i="31"/>
  <c r="AA52" i="31"/>
  <c r="U52" i="31"/>
  <c r="N52" i="31"/>
  <c r="BA52" i="31"/>
  <c r="AZ52" i="31"/>
  <c r="BB52" i="31"/>
  <c r="AK52" i="31"/>
  <c r="AR52" i="31"/>
  <c r="AW52" i="31"/>
  <c r="Q52" i="31"/>
  <c r="AV52" i="31"/>
  <c r="Z52" i="31"/>
  <c r="R52" i="31"/>
  <c r="AL31" i="31"/>
  <c r="E32" i="28"/>
  <c r="N38" i="28"/>
  <c r="G40" i="28"/>
  <c r="G127" i="39"/>
  <c r="G134" i="39" s="1"/>
  <c r="Y57" i="32"/>
  <c r="S24" i="32"/>
  <c r="R73" i="48"/>
  <c r="F285" i="38"/>
  <c r="D45" i="28" s="1"/>
  <c r="P57" i="48"/>
  <c r="G7" i="32"/>
  <c r="F7" i="32" s="1"/>
  <c r="AM31" i="31"/>
  <c r="J11" i="35"/>
  <c r="N11" i="35" s="1"/>
  <c r="O11" i="35" s="1"/>
  <c r="P11" i="35" s="1"/>
  <c r="H55" i="31"/>
  <c r="AQ31" i="31"/>
  <c r="BC62" i="31"/>
  <c r="Z62" i="31"/>
  <c r="AE62" i="31"/>
  <c r="AF62" i="31"/>
  <c r="Y62" i="31"/>
  <c r="AJ62" i="31"/>
  <c r="AA62" i="31"/>
  <c r="Q62" i="31"/>
  <c r="AC62" i="31"/>
  <c r="T62" i="31"/>
  <c r="BA62" i="31"/>
  <c r="AP62" i="31"/>
  <c r="AM62" i="31"/>
  <c r="AQ62" i="31"/>
  <c r="AB62" i="31"/>
  <c r="P62" i="31"/>
  <c r="U62" i="31"/>
  <c r="N62" i="31"/>
  <c r="AV62" i="31"/>
  <c r="AY62" i="31"/>
  <c r="AN62" i="31"/>
  <c r="AX62" i="31"/>
  <c r="AU62" i="31"/>
  <c r="BB62" i="31"/>
  <c r="S62" i="31"/>
  <c r="R62" i="31"/>
  <c r="AR62" i="31"/>
  <c r="AL62" i="31"/>
  <c r="O62" i="31"/>
  <c r="AG62" i="31"/>
  <c r="AD62" i="31"/>
  <c r="AW62" i="31"/>
  <c r="AK62" i="31"/>
  <c r="AO62" i="31"/>
  <c r="AZ62" i="31"/>
  <c r="M62" i="31"/>
  <c r="AL57" i="31"/>
  <c r="BA57" i="31"/>
  <c r="Z57" i="31"/>
  <c r="Q57" i="31"/>
  <c r="S57" i="31"/>
  <c r="BC57" i="31"/>
  <c r="AO57" i="31"/>
  <c r="AV57" i="31"/>
  <c r="AM57" i="31"/>
  <c r="AN57" i="31"/>
  <c r="AZ57" i="31"/>
  <c r="AA57" i="31"/>
  <c r="AU57" i="31"/>
  <c r="P57" i="31"/>
  <c r="T57" i="31"/>
  <c r="AP57" i="31"/>
  <c r="AF57" i="31"/>
  <c r="R57" i="31"/>
  <c r="AE57" i="31"/>
  <c r="M57" i="31"/>
  <c r="AX57" i="31"/>
  <c r="AG57" i="31"/>
  <c r="BB57" i="31"/>
  <c r="AQ57" i="31"/>
  <c r="N57" i="31"/>
  <c r="AB57" i="31"/>
  <c r="AW57" i="31"/>
  <c r="U57" i="31"/>
  <c r="AC57" i="31"/>
  <c r="AY57" i="31"/>
  <c r="O57" i="31"/>
  <c r="AD57" i="31"/>
  <c r="AJ57" i="31"/>
  <c r="AK57" i="31"/>
  <c r="Y57" i="31"/>
  <c r="AR57" i="31"/>
  <c r="AP59" i="31"/>
  <c r="BA59" i="31"/>
  <c r="AR59" i="31"/>
  <c r="Q59" i="31"/>
  <c r="BC59" i="31"/>
  <c r="P59" i="31"/>
  <c r="Z59" i="31"/>
  <c r="S59" i="31"/>
  <c r="AK59" i="31"/>
  <c r="M59" i="31"/>
  <c r="AJ59" i="31"/>
  <c r="Y59" i="31"/>
  <c r="AO59" i="31"/>
  <c r="AF59" i="31"/>
  <c r="AV59" i="31"/>
  <c r="N59" i="31"/>
  <c r="AA59" i="31"/>
  <c r="AL59" i="31"/>
  <c r="U59" i="31"/>
  <c r="O59" i="31"/>
  <c r="T59" i="31"/>
  <c r="AD59" i="31"/>
  <c r="AB59" i="31"/>
  <c r="AX59" i="31"/>
  <c r="AN59" i="31"/>
  <c r="AQ59" i="31"/>
  <c r="AC59" i="31"/>
  <c r="AU59" i="31"/>
  <c r="R59" i="31"/>
  <c r="AG59" i="31"/>
  <c r="BB59" i="31"/>
  <c r="AM59" i="31"/>
  <c r="AE59" i="31"/>
  <c r="AZ59" i="31"/>
  <c r="AY59" i="31"/>
  <c r="AW59" i="31"/>
  <c r="AZ75" i="31"/>
  <c r="P75" i="31"/>
  <c r="AN75" i="31"/>
  <c r="Q75" i="31"/>
  <c r="AW75" i="31"/>
  <c r="AY75" i="31"/>
  <c r="AG75" i="31"/>
  <c r="AM75" i="31"/>
  <c r="AJ75" i="31"/>
  <c r="BB75" i="31"/>
  <c r="U75" i="31"/>
  <c r="AE75" i="31"/>
  <c r="AP75" i="31"/>
  <c r="N75" i="31"/>
  <c r="AU75" i="31"/>
  <c r="BA75" i="31"/>
  <c r="S75" i="31"/>
  <c r="T75" i="31"/>
  <c r="AD75" i="31"/>
  <c r="AV75" i="31"/>
  <c r="AK75" i="31"/>
  <c r="AB75" i="31"/>
  <c r="AA75" i="31"/>
  <c r="M75" i="31"/>
  <c r="Y75" i="31"/>
  <c r="O75" i="31"/>
  <c r="AF75" i="31"/>
  <c r="AX75" i="31"/>
  <c r="Z75" i="31"/>
  <c r="AR75" i="31"/>
  <c r="R75" i="31"/>
  <c r="AC75" i="31"/>
  <c r="AQ75" i="31"/>
  <c r="AL75" i="31"/>
  <c r="AO75" i="31"/>
  <c r="BC75" i="31"/>
  <c r="N35" i="28"/>
  <c r="M35" i="28"/>
  <c r="F32" i="28"/>
  <c r="Z57" i="32"/>
  <c r="T73" i="48"/>
  <c r="T24" i="32"/>
  <c r="G156" i="39"/>
  <c r="G163" i="39" s="1"/>
  <c r="AR31" i="31"/>
  <c r="AR56" i="31"/>
  <c r="AA56" i="31"/>
  <c r="Y56" i="31"/>
  <c r="AE56" i="31"/>
  <c r="BB56" i="31"/>
  <c r="AP56" i="31"/>
  <c r="M56" i="31"/>
  <c r="AY56" i="31"/>
  <c r="AD56" i="31"/>
  <c r="AU56" i="31"/>
  <c r="AB56" i="31"/>
  <c r="AN56" i="31"/>
  <c r="AC56" i="31"/>
  <c r="BC56" i="31"/>
  <c r="AO56" i="31"/>
  <c r="Q56" i="31"/>
  <c r="U56" i="31"/>
  <c r="AM56" i="31"/>
  <c r="AL56" i="31"/>
  <c r="AZ56" i="31"/>
  <c r="AV56" i="31"/>
  <c r="AF56" i="31"/>
  <c r="AX56" i="31"/>
  <c r="AG56" i="31"/>
  <c r="S56" i="31"/>
  <c r="AW56" i="31"/>
  <c r="N56" i="31"/>
  <c r="AJ56" i="31"/>
  <c r="O56" i="31"/>
  <c r="T56" i="31"/>
  <c r="R56" i="31"/>
  <c r="Z56" i="31"/>
  <c r="BA56" i="31"/>
  <c r="AK56" i="31"/>
  <c r="P56" i="31"/>
  <c r="AQ56" i="31"/>
  <c r="N11" i="38"/>
  <c r="N17" i="38"/>
  <c r="N11" i="41"/>
  <c r="N17" i="41"/>
  <c r="M22" i="38"/>
  <c r="M10" i="38"/>
  <c r="M19" i="38"/>
  <c r="M18" i="38"/>
  <c r="L22" i="40"/>
  <c r="L10" i="40"/>
  <c r="L19" i="40"/>
  <c r="N12" i="40"/>
  <c r="O9" i="40"/>
  <c r="M22" i="41"/>
  <c r="M10" i="41"/>
  <c r="M19" i="41"/>
  <c r="L18" i="40"/>
  <c r="M17" i="40"/>
  <c r="M11" i="40"/>
  <c r="M18" i="41"/>
  <c r="M20" i="41" s="1"/>
  <c r="P9" i="38"/>
  <c r="O12" i="38"/>
  <c r="P9" i="41"/>
  <c r="O12" i="41"/>
  <c r="J44" i="32" l="1"/>
  <c r="AK56" i="32"/>
  <c r="T34" i="32"/>
  <c r="T103" i="48" s="1"/>
  <c r="H44" i="28"/>
  <c r="G32" i="28"/>
  <c r="G38" i="28"/>
  <c r="G41" i="28"/>
  <c r="G35" i="28"/>
  <c r="G44" i="28"/>
  <c r="G42" i="28"/>
  <c r="G39" i="28"/>
  <c r="K81" i="28"/>
  <c r="H42" i="28"/>
  <c r="H38" i="28"/>
  <c r="H41" i="28"/>
  <c r="H39" i="28"/>
  <c r="H40" i="28"/>
  <c r="H35" i="28"/>
  <c r="H32" i="28"/>
  <c r="H37" i="28"/>
  <c r="L20" i="40"/>
  <c r="M11" i="35"/>
  <c r="M12" i="35"/>
  <c r="N48" i="28"/>
  <c r="AI31" i="31"/>
  <c r="AX76" i="31"/>
  <c r="AA76" i="31"/>
  <c r="AG76" i="31"/>
  <c r="BA76" i="31"/>
  <c r="AC76" i="31"/>
  <c r="R76" i="31"/>
  <c r="F329" i="38"/>
  <c r="G336" i="40"/>
  <c r="D290" i="40"/>
  <c r="I42" i="28"/>
  <c r="I44" i="28"/>
  <c r="I38" i="28"/>
  <c r="I40" i="28"/>
  <c r="I41" i="28"/>
  <c r="I32" i="28"/>
  <c r="I35" i="28"/>
  <c r="I39" i="28"/>
  <c r="I37" i="28"/>
  <c r="AH51" i="32"/>
  <c r="F29" i="32"/>
  <c r="AC57" i="32"/>
  <c r="Q24" i="32"/>
  <c r="P94" i="48"/>
  <c r="K129" i="28"/>
  <c r="G69" i="39"/>
  <c r="G76" i="39" s="1"/>
  <c r="F22" i="32"/>
  <c r="I293" i="40"/>
  <c r="I339" i="40" s="1"/>
  <c r="H293" i="40"/>
  <c r="H339" i="40" s="1"/>
  <c r="G293" i="40"/>
  <c r="C113" i="28"/>
  <c r="AU76" i="31"/>
  <c r="U76" i="31"/>
  <c r="N76" i="31"/>
  <c r="P76" i="31"/>
  <c r="AR76" i="31"/>
  <c r="AK76" i="31"/>
  <c r="AD76" i="31"/>
  <c r="AW76" i="31"/>
  <c r="T76" i="31"/>
  <c r="S76" i="31"/>
  <c r="AO76" i="31"/>
  <c r="AZ76" i="31"/>
  <c r="Q76" i="31"/>
  <c r="AM76" i="31"/>
  <c r="AY76" i="31"/>
  <c r="AJ76" i="31"/>
  <c r="AQ76" i="31"/>
  <c r="AF76" i="31"/>
  <c r="R34" i="32"/>
  <c r="P82" i="48"/>
  <c r="AI56" i="32"/>
  <c r="H44" i="32"/>
  <c r="G34" i="32"/>
  <c r="T94" i="48"/>
  <c r="AE57" i="32"/>
  <c r="H336" i="40"/>
  <c r="J41" i="28"/>
  <c r="J35" i="28"/>
  <c r="J32" i="28"/>
  <c r="J44" i="28"/>
  <c r="J37" i="28"/>
  <c r="J42" i="28"/>
  <c r="J38" i="28"/>
  <c r="J40" i="28"/>
  <c r="J39" i="28"/>
  <c r="W57" i="32"/>
  <c r="O76" i="31"/>
  <c r="AB76" i="31"/>
  <c r="AL76" i="31"/>
  <c r="I336" i="40"/>
  <c r="K37" i="28"/>
  <c r="K44" i="28"/>
  <c r="K40" i="28"/>
  <c r="K35" i="28"/>
  <c r="K39" i="28"/>
  <c r="K42" i="28"/>
  <c r="K32" i="28"/>
  <c r="K41" i="28"/>
  <c r="K38" i="28"/>
  <c r="P98" i="48"/>
  <c r="Q29" i="32"/>
  <c r="P29" i="32" s="1"/>
  <c r="G55" i="31"/>
  <c r="F55" i="31" s="1"/>
  <c r="AJ55" i="31"/>
  <c r="N55" i="31"/>
  <c r="AK55" i="31"/>
  <c r="BC55" i="31"/>
  <c r="AP55" i="31"/>
  <c r="Y55" i="31"/>
  <c r="AO55" i="31"/>
  <c r="Q55" i="31"/>
  <c r="AN55" i="31"/>
  <c r="AZ55" i="31"/>
  <c r="AD55" i="31"/>
  <c r="T55" i="31"/>
  <c r="AF55" i="31"/>
  <c r="AR55" i="31"/>
  <c r="BB55" i="31"/>
  <c r="AB55" i="31"/>
  <c r="AL55" i="31"/>
  <c r="P55" i="31"/>
  <c r="AV55" i="31"/>
  <c r="AX55" i="31"/>
  <c r="AW55" i="31"/>
  <c r="M55" i="31"/>
  <c r="U55" i="31"/>
  <c r="O55" i="31"/>
  <c r="S55" i="31"/>
  <c r="Z55" i="31"/>
  <c r="AM55" i="31"/>
  <c r="AC55" i="31"/>
  <c r="BA55" i="31"/>
  <c r="AQ55" i="31"/>
  <c r="AU55" i="31"/>
  <c r="AG55" i="31"/>
  <c r="AA55" i="31"/>
  <c r="AY55" i="31"/>
  <c r="R55" i="31"/>
  <c r="AE55" i="31"/>
  <c r="R94" i="48"/>
  <c r="AD57" i="32"/>
  <c r="I290" i="41"/>
  <c r="I334" i="41" s="1"/>
  <c r="H290" i="41"/>
  <c r="H334" i="41" s="1"/>
  <c r="G290" i="41"/>
  <c r="I285" i="38"/>
  <c r="H285" i="38"/>
  <c r="G285" i="38"/>
  <c r="E45" i="28" s="1"/>
  <c r="G39" i="32"/>
  <c r="F39" i="32" s="1"/>
  <c r="J50" i="31"/>
  <c r="H50" i="31"/>
  <c r="F50" i="31"/>
  <c r="I50" i="31"/>
  <c r="Y76" i="31"/>
  <c r="M76" i="31"/>
  <c r="AE76" i="31"/>
  <c r="AV76" i="31"/>
  <c r="Z76" i="31"/>
  <c r="BC76" i="31"/>
  <c r="BB76" i="31"/>
  <c r="AP76" i="31"/>
  <c r="AN76" i="31"/>
  <c r="M20" i="38"/>
  <c r="P9" i="40"/>
  <c r="O12" i="40"/>
  <c r="Q9" i="38"/>
  <c r="P12" i="38"/>
  <c r="O11" i="41"/>
  <c r="O17" i="41"/>
  <c r="M18" i="40"/>
  <c r="N18" i="41"/>
  <c r="N20" i="41" s="1"/>
  <c r="Q9" i="41"/>
  <c r="P12" i="41"/>
  <c r="N19" i="41"/>
  <c r="N22" i="41"/>
  <c r="N10" i="41"/>
  <c r="O11" i="38"/>
  <c r="O17" i="38"/>
  <c r="N18" i="38"/>
  <c r="M22" i="40"/>
  <c r="M10" i="40"/>
  <c r="M19" i="40"/>
  <c r="N11" i="40"/>
  <c r="N17" i="40"/>
  <c r="N19" i="38"/>
  <c r="N22" i="38"/>
  <c r="N10" i="38"/>
  <c r="L81" i="28" l="1"/>
  <c r="M20" i="40"/>
  <c r="D285" i="38"/>
  <c r="I329" i="38"/>
  <c r="H45" i="28"/>
  <c r="G334" i="41"/>
  <c r="D334" i="41" s="1"/>
  <c r="D290" i="41"/>
  <c r="F34" i="32"/>
  <c r="AH56" i="32"/>
  <c r="P103" i="48"/>
  <c r="Q34" i="32"/>
  <c r="P34" i="32" s="1"/>
  <c r="G339" i="40"/>
  <c r="D339" i="40" s="1"/>
  <c r="D293" i="40"/>
  <c r="AB57" i="32"/>
  <c r="M129" i="28"/>
  <c r="P24" i="32"/>
  <c r="I290" i="38"/>
  <c r="I334" i="38" s="1"/>
  <c r="G290" i="38"/>
  <c r="H290" i="38"/>
  <c r="H334" i="38" s="1"/>
  <c r="G44" i="32"/>
  <c r="F44" i="32" s="1"/>
  <c r="D336" i="40"/>
  <c r="X76" i="31"/>
  <c r="AI76" i="31"/>
  <c r="G329" i="38"/>
  <c r="F45" i="28"/>
  <c r="AX50" i="31"/>
  <c r="U50" i="31"/>
  <c r="AL50" i="31"/>
  <c r="O50" i="31"/>
  <c r="Q50" i="31"/>
  <c r="Z50" i="31"/>
  <c r="P50" i="31"/>
  <c r="AZ50" i="31"/>
  <c r="BC50" i="31"/>
  <c r="AP50" i="31"/>
  <c r="BB50" i="31"/>
  <c r="AO50" i="31"/>
  <c r="AM50" i="31"/>
  <c r="AY50" i="31"/>
  <c r="BA50" i="31"/>
  <c r="T50" i="31"/>
  <c r="AA50" i="31"/>
  <c r="AF50" i="31"/>
  <c r="AD50" i="31"/>
  <c r="AN50" i="31"/>
  <c r="AV50" i="31"/>
  <c r="AK50" i="31"/>
  <c r="AE50" i="31"/>
  <c r="AU50" i="31"/>
  <c r="AW50" i="31"/>
  <c r="AG50" i="31"/>
  <c r="M50" i="31"/>
  <c r="R50" i="31"/>
  <c r="Y50" i="31"/>
  <c r="AC50" i="31"/>
  <c r="S50" i="31"/>
  <c r="AR50" i="31"/>
  <c r="AB50" i="31"/>
  <c r="AJ50" i="31"/>
  <c r="AQ50" i="31"/>
  <c r="N50" i="31"/>
  <c r="H329" i="38"/>
  <c r="G45" i="28"/>
  <c r="AT76" i="31"/>
  <c r="N20" i="38"/>
  <c r="O18" i="38"/>
  <c r="O10" i="41"/>
  <c r="O19" i="41"/>
  <c r="O22" i="41"/>
  <c r="Q9" i="40"/>
  <c r="P12" i="40"/>
  <c r="O10" i="38"/>
  <c r="O19" i="38"/>
  <c r="O22" i="38"/>
  <c r="P11" i="38"/>
  <c r="P17" i="41"/>
  <c r="P11" i="41"/>
  <c r="Q12" i="38"/>
  <c r="R9" i="38"/>
  <c r="N18" i="40"/>
  <c r="N19" i="40"/>
  <c r="N22" i="40"/>
  <c r="N10" i="40"/>
  <c r="Q12" i="41"/>
  <c r="R9" i="41"/>
  <c r="O18" i="41"/>
  <c r="O20" i="41"/>
  <c r="O11" i="40"/>
  <c r="O17" i="40"/>
  <c r="M81" i="28" l="1"/>
  <c r="N20" i="40"/>
  <c r="D329" i="38"/>
  <c r="G334" i="38"/>
  <c r="D334" i="38" s="1"/>
  <c r="D290" i="38"/>
  <c r="O20" i="38"/>
  <c r="P18" i="41"/>
  <c r="R12" i="38"/>
  <c r="S9" i="38"/>
  <c r="P17" i="40"/>
  <c r="P11" i="40"/>
  <c r="Q17" i="41"/>
  <c r="Q11" i="41"/>
  <c r="Q17" i="38"/>
  <c r="Q11" i="38"/>
  <c r="P22" i="38"/>
  <c r="P10" i="38"/>
  <c r="N81" i="28" s="1"/>
  <c r="P19" i="38"/>
  <c r="Q12" i="40"/>
  <c r="R9" i="40"/>
  <c r="O10" i="40"/>
  <c r="O19" i="40"/>
  <c r="O22" i="40"/>
  <c r="O18" i="40"/>
  <c r="R12" i="41"/>
  <c r="S9" i="41"/>
  <c r="P22" i="41"/>
  <c r="P10" i="41"/>
  <c r="P19" i="41"/>
  <c r="P20" i="41" s="1"/>
  <c r="P18" i="38"/>
  <c r="P20" i="38" s="1"/>
  <c r="O20" i="40" l="1"/>
  <c r="R11" i="41"/>
  <c r="R17" i="41"/>
  <c r="R12" i="40"/>
  <c r="S9" i="40"/>
  <c r="Q18" i="38"/>
  <c r="P18" i="40"/>
  <c r="R11" i="38"/>
  <c r="R17" i="38"/>
  <c r="Q17" i="40"/>
  <c r="Q11" i="40"/>
  <c r="Q22" i="41"/>
  <c r="Q10" i="41"/>
  <c r="Q19" i="41"/>
  <c r="Q18" i="41"/>
  <c r="Q20" i="41" s="1"/>
  <c r="T9" i="41"/>
  <c r="S12" i="41"/>
  <c r="Q22" i="38"/>
  <c r="Q10" i="38"/>
  <c r="Q19" i="38"/>
  <c r="P22" i="40"/>
  <c r="P10" i="40"/>
  <c r="P19" i="40"/>
  <c r="P20" i="40" s="1"/>
  <c r="T9" i="38"/>
  <c r="S12" i="38"/>
  <c r="Q20" i="38" l="1"/>
  <c r="U9" i="38"/>
  <c r="T12" i="38"/>
  <c r="Q22" i="40"/>
  <c r="Q10" i="40"/>
  <c r="Q19" i="40"/>
  <c r="R18" i="38"/>
  <c r="Q18" i="40"/>
  <c r="R19" i="38"/>
  <c r="R22" i="38"/>
  <c r="R10" i="38"/>
  <c r="R18" i="41"/>
  <c r="S11" i="38"/>
  <c r="S17" i="38"/>
  <c r="S11" i="41"/>
  <c r="S17" i="41"/>
  <c r="T9" i="40"/>
  <c r="S12" i="40"/>
  <c r="R19" i="41"/>
  <c r="R20" i="41" s="1"/>
  <c r="R22" i="41"/>
  <c r="R10" i="41"/>
  <c r="U9" i="41"/>
  <c r="T12" i="41"/>
  <c r="R11" i="40"/>
  <c r="R17" i="40"/>
  <c r="Q20" i="40" l="1"/>
  <c r="R20" i="38"/>
  <c r="S18" i="38"/>
  <c r="T17" i="41"/>
  <c r="T11" i="41"/>
  <c r="S10" i="38"/>
  <c r="S19" i="38"/>
  <c r="S22" i="38"/>
  <c r="T17" i="38"/>
  <c r="T11" i="38"/>
  <c r="R18" i="40"/>
  <c r="R19" i="40"/>
  <c r="R22" i="40"/>
  <c r="R10" i="40"/>
  <c r="U12" i="41"/>
  <c r="V9" i="41"/>
  <c r="S11" i="40"/>
  <c r="S17" i="40"/>
  <c r="S18" i="41"/>
  <c r="U12" i="38"/>
  <c r="V9" i="38"/>
  <c r="U9" i="40"/>
  <c r="T12" i="40"/>
  <c r="S10" i="41"/>
  <c r="S19" i="41"/>
  <c r="S22" i="41"/>
  <c r="S20" i="41" l="1"/>
  <c r="R20" i="40"/>
  <c r="S20" i="38"/>
  <c r="T17" i="40"/>
  <c r="T11" i="40"/>
  <c r="U17" i="38"/>
  <c r="U11" i="38"/>
  <c r="S18" i="40"/>
  <c r="T18" i="38"/>
  <c r="T20" i="38" s="1"/>
  <c r="T22" i="41"/>
  <c r="T10" i="41"/>
  <c r="T19" i="41"/>
  <c r="S10" i="40"/>
  <c r="S19" i="40"/>
  <c r="S22" i="40"/>
  <c r="T18" i="41"/>
  <c r="T20" i="41" s="1"/>
  <c r="V12" i="41"/>
  <c r="W9" i="41"/>
  <c r="U12" i="40"/>
  <c r="V9" i="40"/>
  <c r="V12" i="38"/>
  <c r="W9" i="38"/>
  <c r="U17" i="41"/>
  <c r="U11" i="41"/>
  <c r="T22" i="38"/>
  <c r="T10" i="38"/>
  <c r="T19" i="38"/>
  <c r="S20" i="40" l="1"/>
  <c r="U18" i="41"/>
  <c r="V12" i="40"/>
  <c r="W9" i="40"/>
  <c r="X9" i="41"/>
  <c r="W12" i="41"/>
  <c r="U17" i="40"/>
  <c r="U11" i="40"/>
  <c r="T22" i="40"/>
  <c r="T10" i="40"/>
  <c r="T19" i="40"/>
  <c r="V11" i="38"/>
  <c r="V17" i="38"/>
  <c r="U22" i="38"/>
  <c r="U10" i="38"/>
  <c r="U19" i="38"/>
  <c r="T18" i="40"/>
  <c r="X9" i="38"/>
  <c r="W12" i="38"/>
  <c r="V11" i="41"/>
  <c r="V17" i="41"/>
  <c r="U22" i="41"/>
  <c r="U10" i="41"/>
  <c r="U19" i="41"/>
  <c r="U20" i="41" s="1"/>
  <c r="U18" i="38"/>
  <c r="T20" i="40" l="1"/>
  <c r="U20" i="38"/>
  <c r="Y9" i="38"/>
  <c r="X12" i="38"/>
  <c r="U22" i="40"/>
  <c r="U10" i="40"/>
  <c r="U19" i="40"/>
  <c r="X9" i="40"/>
  <c r="W12" i="40"/>
  <c r="W11" i="38"/>
  <c r="W17" i="38"/>
  <c r="V18" i="38"/>
  <c r="U18" i="40"/>
  <c r="V11" i="40"/>
  <c r="V17" i="40"/>
  <c r="V18" i="41"/>
  <c r="V19" i="41"/>
  <c r="V22" i="41"/>
  <c r="V10" i="41"/>
  <c r="V19" i="38"/>
  <c r="V22" i="38"/>
  <c r="V10" i="38"/>
  <c r="W11" i="41"/>
  <c r="W17" i="41"/>
  <c r="Y9" i="41"/>
  <c r="X12" i="41"/>
  <c r="U20" i="40" l="1"/>
  <c r="V20" i="41"/>
  <c r="V20" i="38"/>
  <c r="Y12" i="41"/>
  <c r="Z9" i="41"/>
  <c r="Z12" i="41" s="1"/>
  <c r="X17" i="41"/>
  <c r="X11" i="41"/>
  <c r="W10" i="41"/>
  <c r="W19" i="41"/>
  <c r="W22" i="41"/>
  <c r="W18" i="38"/>
  <c r="V18" i="40"/>
  <c r="W10" i="38"/>
  <c r="W19" i="38"/>
  <c r="W22" i="38"/>
  <c r="W11" i="40"/>
  <c r="W17" i="40"/>
  <c r="Y9" i="40"/>
  <c r="X12" i="40"/>
  <c r="X17" i="38"/>
  <c r="X11" i="38"/>
  <c r="V19" i="40"/>
  <c r="V22" i="40"/>
  <c r="V10" i="40"/>
  <c r="W18" i="41"/>
  <c r="W20" i="41" s="1"/>
  <c r="Y12" i="38"/>
  <c r="Z9" i="38"/>
  <c r="Z12" i="38" s="1"/>
  <c r="W20" i="38" l="1"/>
  <c r="V20" i="40"/>
  <c r="Y12" i="40"/>
  <c r="Z9" i="40"/>
  <c r="Z12" i="40" s="1"/>
  <c r="Y17" i="41"/>
  <c r="Y11" i="41"/>
  <c r="X22" i="38"/>
  <c r="X10" i="38"/>
  <c r="X19" i="38"/>
  <c r="X22" i="41"/>
  <c r="X10" i="41"/>
  <c r="X19" i="41"/>
  <c r="Z11" i="38"/>
  <c r="Z17" i="38"/>
  <c r="X18" i="38"/>
  <c r="W18" i="40"/>
  <c r="X18" i="41"/>
  <c r="Y17" i="38"/>
  <c r="Y11" i="38"/>
  <c r="X17" i="40"/>
  <c r="X11" i="40"/>
  <c r="W10" i="40"/>
  <c r="W19" i="40"/>
  <c r="W22" i="40"/>
  <c r="Z11" i="41"/>
  <c r="Z17" i="41"/>
  <c r="X20" i="41" l="1"/>
  <c r="W20" i="40"/>
  <c r="X20" i="38"/>
  <c r="Y22" i="38"/>
  <c r="Y10" i="38"/>
  <c r="Y19" i="38"/>
  <c r="Z18" i="41"/>
  <c r="Y18" i="41"/>
  <c r="Y17" i="40"/>
  <c r="Y11" i="40"/>
  <c r="Z19" i="41"/>
  <c r="Z22" i="41"/>
  <c r="Z10" i="41"/>
  <c r="X22" i="40"/>
  <c r="X10" i="40"/>
  <c r="X19" i="40"/>
  <c r="Y18" i="38"/>
  <c r="Y20" i="38" s="1"/>
  <c r="Z18" i="38"/>
  <c r="X18" i="40"/>
  <c r="Z19" i="38"/>
  <c r="Z22" i="38"/>
  <c r="Z10" i="38"/>
  <c r="Y22" i="41"/>
  <c r="Y10" i="41"/>
  <c r="Y19" i="41"/>
  <c r="Z11" i="40"/>
  <c r="Z17" i="40"/>
  <c r="Y20" i="41" l="1"/>
  <c r="Z20" i="41"/>
  <c r="X20" i="40"/>
  <c r="Z20" i="38"/>
  <c r="Z18" i="40"/>
  <c r="Y22" i="40"/>
  <c r="Y10" i="40"/>
  <c r="Y19" i="40"/>
  <c r="Z19" i="40"/>
  <c r="Z22" i="40"/>
  <c r="Z10" i="40"/>
  <c r="Y18" i="40"/>
  <c r="Z20" i="40" l="1"/>
  <c r="Y20" i="40"/>
  <c r="F125" i="33"/>
  <c r="F127" i="33" s="1"/>
  <c r="F135" i="33"/>
  <c r="F33" i="48"/>
  <c r="E33" i="48" s="1"/>
  <c r="F136" i="33" l="1"/>
  <c r="F32" i="48"/>
  <c r="F137" i="33"/>
  <c r="F138" i="33" s="1"/>
  <c r="E136" i="33"/>
  <c r="E137" i="33" l="1"/>
  <c r="E138" i="33" s="1"/>
  <c r="F81" i="48" s="1"/>
  <c r="G81" i="48" s="1"/>
  <c r="E32" i="48"/>
  <c r="E34" i="48" s="1"/>
  <c r="F34" i="48"/>
  <c r="N24" i="33"/>
  <c r="J54" i="38"/>
  <c r="H98" i="28" s="1"/>
  <c r="H105" i="28" s="1"/>
  <c r="K54" i="38"/>
  <c r="J98" i="28" s="1"/>
  <c r="J105" i="28" s="1"/>
  <c r="H56" i="38" l="1"/>
  <c r="H61" i="38" s="1"/>
  <c r="H62" i="38" s="1"/>
  <c r="I56" i="38"/>
  <c r="I61" i="38" s="1"/>
  <c r="I62" i="38" s="1"/>
  <c r="J55" i="38"/>
  <c r="F56" i="38"/>
  <c r="F61" i="38" s="1"/>
  <c r="F62" i="38" s="1"/>
  <c r="G56" i="38"/>
  <c r="G61" i="38" s="1"/>
  <c r="G62" i="38" s="1"/>
  <c r="I98" i="28"/>
  <c r="I105" i="28" s="1"/>
  <c r="M24" i="33"/>
  <c r="N31" i="33"/>
  <c r="M31" i="33" s="1"/>
  <c r="K55" i="38" l="1"/>
  <c r="J56" i="38"/>
  <c r="J61" i="38" s="1"/>
  <c r="J62" i="38" s="1"/>
  <c r="J66" i="38"/>
  <c r="L55" i="38" l="1"/>
  <c r="K56" i="38"/>
  <c r="K61" i="38" s="1"/>
  <c r="K62" i="38" s="1"/>
  <c r="K66" i="38"/>
  <c r="M55" i="38" l="1"/>
  <c r="L56" i="38"/>
  <c r="L61" i="38" s="1"/>
  <c r="L62" i="38" s="1"/>
  <c r="L66" i="38"/>
  <c r="M56" i="38" l="1"/>
  <c r="M61" i="38" s="1"/>
  <c r="M62" i="38" s="1"/>
  <c r="M66" i="38"/>
  <c r="N55" i="38"/>
  <c r="N66" i="38" l="1"/>
  <c r="O55" i="38"/>
  <c r="N56" i="38"/>
  <c r="N61" i="38" s="1"/>
  <c r="N62" i="38" s="1"/>
  <c r="O56" i="38" l="1"/>
  <c r="O61" i="38" s="1"/>
  <c r="O62" i="38" s="1"/>
  <c r="P55" i="38"/>
  <c r="O66" i="38"/>
  <c r="Q55" i="38" l="1"/>
  <c r="P66" i="38"/>
  <c r="P56" i="38"/>
  <c r="P61" i="38" s="1"/>
  <c r="P62" i="38" s="1"/>
  <c r="Q56" i="38" l="1"/>
  <c r="Q61" i="38" s="1"/>
  <c r="Q62" i="38" s="1"/>
  <c r="R55" i="38"/>
  <c r="Q66" i="38"/>
  <c r="S55" i="38" l="1"/>
  <c r="R56" i="38"/>
  <c r="R61" i="38" s="1"/>
  <c r="R62" i="38" s="1"/>
  <c r="R66" i="38"/>
  <c r="S56" i="38" l="1"/>
  <c r="S61" i="38" s="1"/>
  <c r="S62" i="38" s="1"/>
  <c r="T55" i="38"/>
  <c r="S66" i="38"/>
  <c r="T56" i="38" l="1"/>
  <c r="T61" i="38" s="1"/>
  <c r="T62" i="38" s="1"/>
  <c r="T66" i="38"/>
  <c r="U55" i="38"/>
  <c r="U56" i="38" l="1"/>
  <c r="U61" i="38" s="1"/>
  <c r="U62" i="38" s="1"/>
  <c r="V55" i="38"/>
  <c r="U66" i="38"/>
  <c r="V66" i="38" l="1"/>
  <c r="W55" i="38"/>
  <c r="V56" i="38"/>
  <c r="V61" i="38" s="1"/>
  <c r="V62" i="38" s="1"/>
  <c r="X55" i="38" l="1"/>
  <c r="W56" i="38"/>
  <c r="W61" i="38" s="1"/>
  <c r="W62" i="38" s="1"/>
  <c r="W66" i="38"/>
  <c r="X56" i="38" l="1"/>
  <c r="X61" i="38" s="1"/>
  <c r="X62" i="38" s="1"/>
  <c r="X66" i="38"/>
  <c r="Y55" i="38"/>
  <c r="Z55" i="38" l="1"/>
  <c r="Y56" i="38"/>
  <c r="Y61" i="38" s="1"/>
  <c r="Y62" i="38" s="1"/>
  <c r="Y66" i="38"/>
  <c r="Z56" i="38" l="1"/>
  <c r="Z61" i="38" s="1"/>
  <c r="Z66" i="38"/>
  <c r="Z62" i="38" l="1"/>
  <c r="F58" i="31" l="1"/>
  <c r="H58" i="31"/>
  <c r="I58" i="31"/>
  <c r="J58" i="31"/>
  <c r="G63" i="31"/>
  <c r="I63" i="31" s="1"/>
  <c r="I64" i="31" l="1"/>
  <c r="T58" i="31"/>
  <c r="I10" i="32"/>
  <c r="F291" i="40" s="1"/>
  <c r="F337" i="40" s="1"/>
  <c r="BA58" i="31"/>
  <c r="AQ58" i="31"/>
  <c r="BC58" i="31"/>
  <c r="AU58" i="31"/>
  <c r="AY58" i="31"/>
  <c r="AM58" i="31"/>
  <c r="N58" i="31"/>
  <c r="AW58" i="31"/>
  <c r="Y58" i="31"/>
  <c r="AO58" i="31"/>
  <c r="AC58" i="31"/>
  <c r="AK58" i="31"/>
  <c r="R58" i="31"/>
  <c r="AG58" i="31"/>
  <c r="AA58" i="31"/>
  <c r="P58" i="31"/>
  <c r="M58" i="31"/>
  <c r="AE58" i="31"/>
  <c r="G64" i="31"/>
  <c r="H63" i="31"/>
  <c r="BB58" i="31"/>
  <c r="AX58" i="31"/>
  <c r="AR58" i="31"/>
  <c r="AN58" i="31"/>
  <c r="AJ58" i="31"/>
  <c r="AD58" i="31"/>
  <c r="Z58" i="31"/>
  <c r="S58" i="31"/>
  <c r="O58" i="31"/>
  <c r="J63" i="31"/>
  <c r="F63" i="31"/>
  <c r="AZ58" i="31"/>
  <c r="AV58" i="31"/>
  <c r="AP58" i="31"/>
  <c r="AL58" i="31"/>
  <c r="AF58" i="31"/>
  <c r="AB58" i="31"/>
  <c r="U58" i="31"/>
  <c r="Q58" i="31"/>
  <c r="I32" i="32" l="1"/>
  <c r="S32" i="32" s="1"/>
  <c r="R101" i="48" s="1"/>
  <c r="I79" i="31"/>
  <c r="R60" i="48"/>
  <c r="O63" i="31"/>
  <c r="O64" i="31" s="1"/>
  <c r="S63" i="31"/>
  <c r="S64" i="31" s="1"/>
  <c r="Z63" i="31"/>
  <c r="Z64" i="31" s="1"/>
  <c r="AD63" i="31"/>
  <c r="AD64" i="31" s="1"/>
  <c r="AJ63" i="31"/>
  <c r="AJ64" i="31" s="1"/>
  <c r="AN63" i="31"/>
  <c r="AN64" i="31" s="1"/>
  <c r="AR63" i="31"/>
  <c r="AR64" i="31" s="1"/>
  <c r="AX63" i="31"/>
  <c r="AX64" i="31" s="1"/>
  <c r="BB63" i="31"/>
  <c r="BB64" i="31" s="1"/>
  <c r="H64" i="31"/>
  <c r="P63" i="31"/>
  <c r="P64" i="31" s="1"/>
  <c r="T63" i="31"/>
  <c r="T64" i="31" s="1"/>
  <c r="AA63" i="31"/>
  <c r="AA64" i="31" s="1"/>
  <c r="AE63" i="31"/>
  <c r="AE64" i="31" s="1"/>
  <c r="AK63" i="31"/>
  <c r="AK64" i="31" s="1"/>
  <c r="AO63" i="31"/>
  <c r="AO64" i="31" s="1"/>
  <c r="AU63" i="31"/>
  <c r="AU64" i="31" s="1"/>
  <c r="AY63" i="31"/>
  <c r="AY64" i="31" s="1"/>
  <c r="BC63" i="31"/>
  <c r="BC64" i="31" s="1"/>
  <c r="M63" i="31"/>
  <c r="M64" i="31" s="1"/>
  <c r="Q63" i="31"/>
  <c r="Q64" i="31" s="1"/>
  <c r="U63" i="31"/>
  <c r="U64" i="31" s="1"/>
  <c r="AB63" i="31"/>
  <c r="AB64" i="31" s="1"/>
  <c r="AF63" i="31"/>
  <c r="AF64" i="31" s="1"/>
  <c r="AL63" i="31"/>
  <c r="AL64" i="31" s="1"/>
  <c r="AP63" i="31"/>
  <c r="AP64" i="31" s="1"/>
  <c r="AV63" i="31"/>
  <c r="AV64" i="31" s="1"/>
  <c r="AZ63" i="31"/>
  <c r="AZ64" i="31" s="1"/>
  <c r="N63" i="31"/>
  <c r="N64" i="31" s="1"/>
  <c r="R63" i="31"/>
  <c r="R64" i="31" s="1"/>
  <c r="Y63" i="31"/>
  <c r="Y64" i="31" s="1"/>
  <c r="AC63" i="31"/>
  <c r="AC64" i="31" s="1"/>
  <c r="AG63" i="31"/>
  <c r="AG64" i="31" s="1"/>
  <c r="AM63" i="31"/>
  <c r="AM64" i="31" s="1"/>
  <c r="AQ63" i="31"/>
  <c r="AQ64" i="31" s="1"/>
  <c r="AW63" i="31"/>
  <c r="AW64" i="31" s="1"/>
  <c r="BA63" i="31"/>
  <c r="BA64" i="31" s="1"/>
  <c r="H10" i="32"/>
  <c r="F64" i="31"/>
  <c r="J64" i="31"/>
  <c r="J10" i="32"/>
  <c r="J79" i="31" l="1"/>
  <c r="H79" i="31"/>
  <c r="AJ54" i="32"/>
  <c r="I42" i="32"/>
  <c r="H291" i="40" s="1"/>
  <c r="H337" i="40" s="1"/>
  <c r="R80" i="48"/>
  <c r="AI64" i="31"/>
  <c r="F288" i="41"/>
  <c r="T60" i="48"/>
  <c r="X64" i="31"/>
  <c r="H32" i="32"/>
  <c r="F288" i="38"/>
  <c r="D47" i="28" s="1"/>
  <c r="D48" i="28" s="1"/>
  <c r="G10" i="32"/>
  <c r="P60" i="48"/>
  <c r="J32" i="32"/>
  <c r="AT64" i="31"/>
  <c r="G291" i="40" l="1"/>
  <c r="D291" i="40" s="1"/>
  <c r="F332" i="38"/>
  <c r="F332" i="41"/>
  <c r="J42" i="32"/>
  <c r="T32" i="32"/>
  <c r="T80" i="48"/>
  <c r="AK54" i="32"/>
  <c r="F10" i="32"/>
  <c r="G32" i="32"/>
  <c r="AI54" i="32"/>
  <c r="H42" i="32"/>
  <c r="P80" i="48"/>
  <c r="R32" i="32"/>
  <c r="I47" i="28" l="1"/>
  <c r="I48" i="28" s="1"/>
  <c r="G337" i="40"/>
  <c r="D337" i="40" s="1"/>
  <c r="Q32" i="32"/>
  <c r="P101" i="48"/>
  <c r="F32" i="32"/>
  <c r="AH54" i="32"/>
  <c r="G288" i="41"/>
  <c r="H288" i="41"/>
  <c r="I288" i="41"/>
  <c r="T101" i="48"/>
  <c r="G288" i="38"/>
  <c r="E47" i="28" s="1"/>
  <c r="E48" i="28" s="1"/>
  <c r="H288" i="38"/>
  <c r="I288" i="38"/>
  <c r="G42" i="32"/>
  <c r="J47" i="28" l="1"/>
  <c r="J48" i="28" s="1"/>
  <c r="F47" i="28"/>
  <c r="F48" i="28" s="1"/>
  <c r="G332" i="38"/>
  <c r="D288" i="38"/>
  <c r="F42" i="32"/>
  <c r="M47" i="28"/>
  <c r="M48" i="28" s="1"/>
  <c r="I332" i="41"/>
  <c r="P32" i="32"/>
  <c r="H47" i="28"/>
  <c r="H48" i="28" s="1"/>
  <c r="I332" i="38"/>
  <c r="L47" i="28"/>
  <c r="L48" i="28" s="1"/>
  <c r="H332" i="41"/>
  <c r="G47" i="28"/>
  <c r="G48" i="28" s="1"/>
  <c r="H332" i="38"/>
  <c r="K47" i="28"/>
  <c r="K48" i="28" s="1"/>
  <c r="G332" i="41"/>
  <c r="D288" i="41"/>
  <c r="D332" i="41" l="1"/>
  <c r="D332" i="38"/>
  <c r="F68" i="40"/>
  <c r="F63" i="40" s="1"/>
  <c r="F64" i="40" s="1"/>
  <c r="F70" i="40" s="1"/>
  <c r="G68" i="40"/>
  <c r="G63" i="40" s="1"/>
  <c r="G64" i="40" s="1"/>
  <c r="G70" i="40" s="1"/>
  <c r="H68" i="40"/>
  <c r="H63" i="40" s="1"/>
  <c r="H64" i="40" s="1"/>
  <c r="H70" i="40" s="1"/>
  <c r="I68" i="40"/>
  <c r="I63" i="40" s="1"/>
  <c r="I64" i="40" s="1"/>
  <c r="I70" i="40" s="1"/>
  <c r="J68" i="40"/>
  <c r="J63" i="40" s="1"/>
  <c r="J64" i="40" s="1"/>
  <c r="J70" i="40" s="1"/>
  <c r="K68" i="40"/>
  <c r="K63" i="40" s="1"/>
  <c r="K64" i="40" s="1"/>
  <c r="K70" i="40" s="1"/>
  <c r="L68" i="40"/>
  <c r="L63" i="40" s="1"/>
  <c r="L64" i="40" s="1"/>
  <c r="L70" i="40" s="1"/>
  <c r="M68" i="40"/>
  <c r="M63" i="40" s="1"/>
  <c r="M64" i="40" s="1"/>
  <c r="M70" i="40" s="1"/>
  <c r="N68" i="40"/>
  <c r="N63" i="40" s="1"/>
  <c r="N64" i="40" s="1"/>
  <c r="N70" i="40" s="1"/>
  <c r="O68" i="40"/>
  <c r="O63" i="40" s="1"/>
  <c r="O64" i="40" s="1"/>
  <c r="O70" i="40" s="1"/>
  <c r="P68" i="40"/>
  <c r="P63" i="40" s="1"/>
  <c r="P64" i="40" s="1"/>
  <c r="P70" i="40" s="1"/>
  <c r="Q68" i="40"/>
  <c r="Q63" i="40" s="1"/>
  <c r="Q64" i="40" s="1"/>
  <c r="Q70" i="40" s="1"/>
  <c r="R68" i="40"/>
  <c r="R63" i="40" s="1"/>
  <c r="R64" i="40" s="1"/>
  <c r="R70" i="40" s="1"/>
  <c r="S68" i="40"/>
  <c r="S63" i="40" s="1"/>
  <c r="S64" i="40" s="1"/>
  <c r="S70" i="40" s="1"/>
  <c r="T68" i="40"/>
  <c r="T63" i="40" s="1"/>
  <c r="T64" i="40" s="1"/>
  <c r="T70" i="40" s="1"/>
  <c r="U68" i="40"/>
  <c r="U63" i="40" s="1"/>
  <c r="U64" i="40" s="1"/>
  <c r="U70" i="40" s="1"/>
  <c r="V68" i="40"/>
  <c r="V63" i="40" s="1"/>
  <c r="V64" i="40" s="1"/>
  <c r="V70" i="40" s="1"/>
  <c r="W68" i="40"/>
  <c r="W63" i="40" s="1"/>
  <c r="W64" i="40" s="1"/>
  <c r="W70" i="40" s="1"/>
  <c r="X68" i="40"/>
  <c r="X63" i="40" s="1"/>
  <c r="X64" i="40" s="1"/>
  <c r="X70" i="40" s="1"/>
  <c r="Y68" i="40"/>
  <c r="Y63" i="40" s="1"/>
  <c r="Y64" i="40" s="1"/>
  <c r="Y70" i="40" s="1"/>
  <c r="Z68" i="40"/>
  <c r="Z63" i="40" s="1"/>
  <c r="Z64" i="40" s="1"/>
  <c r="Z70" i="40" s="1"/>
  <c r="W71" i="40" l="1"/>
  <c r="W72" i="40"/>
  <c r="S71" i="40"/>
  <c r="S72" i="40"/>
  <c r="O71" i="40"/>
  <c r="O72" i="40"/>
  <c r="G17" i="39"/>
  <c r="K71" i="40"/>
  <c r="K72" i="40"/>
  <c r="G7" i="39" s="1"/>
  <c r="G71" i="40"/>
  <c r="G72" i="40"/>
  <c r="Z71" i="40"/>
  <c r="Z72" i="40"/>
  <c r="V71" i="40"/>
  <c r="V72" i="40"/>
  <c r="R71" i="40"/>
  <c r="R72" i="40"/>
  <c r="N71" i="40"/>
  <c r="N72" i="40"/>
  <c r="J71" i="40"/>
  <c r="J72" i="40"/>
  <c r="F71" i="40"/>
  <c r="F72" i="40"/>
  <c r="Y71" i="40"/>
  <c r="Y72" i="40"/>
  <c r="U71" i="40"/>
  <c r="U72" i="40"/>
  <c r="Q71" i="40"/>
  <c r="Q72" i="40"/>
  <c r="M71" i="40"/>
  <c r="M72" i="40"/>
  <c r="I71" i="40"/>
  <c r="I72" i="40"/>
  <c r="X72" i="40"/>
  <c r="X71" i="40"/>
  <c r="T72" i="40"/>
  <c r="T71" i="40"/>
  <c r="P72" i="40"/>
  <c r="P71" i="40"/>
  <c r="L72" i="40"/>
  <c r="L71" i="40"/>
  <c r="H72" i="40"/>
  <c r="H71" i="40"/>
  <c r="I80" i="31"/>
  <c r="I13" i="32"/>
  <c r="F294" i="40"/>
  <c r="F340" i="40" s="1"/>
  <c r="I35" i="32" l="1"/>
  <c r="I45" i="32" s="1"/>
  <c r="I82" i="31"/>
  <c r="F341" i="40"/>
  <c r="F295" i="40"/>
  <c r="I14" i="32"/>
  <c r="R63" i="48"/>
  <c r="L391" i="41" l="1"/>
  <c r="L431" i="41" s="1"/>
  <c r="N396" i="40"/>
  <c r="N438" i="40" s="1"/>
  <c r="S35" i="32"/>
  <c r="R104" i="48" s="1"/>
  <c r="AJ57" i="32"/>
  <c r="R83" i="48"/>
  <c r="G294" i="40"/>
  <c r="H294" i="40"/>
  <c r="H340" i="40" s="1"/>
  <c r="H341" i="40" s="1"/>
  <c r="J294" i="40"/>
  <c r="I294" i="40"/>
  <c r="I3" i="32"/>
  <c r="R64" i="48"/>
  <c r="S63" i="48" s="1"/>
  <c r="I340" i="40" l="1"/>
  <c r="I341" i="40" s="1"/>
  <c r="I295" i="40"/>
  <c r="J340" i="40"/>
  <c r="J341" i="40" s="1"/>
  <c r="J295" i="40"/>
  <c r="S62" i="48"/>
  <c r="S60" i="48"/>
  <c r="S57" i="48"/>
  <c r="S59" i="48"/>
  <c r="S58" i="48"/>
  <c r="S61" i="48"/>
  <c r="I4" i="32"/>
  <c r="R55" i="48" s="1"/>
  <c r="R54" i="48"/>
  <c r="G340" i="40"/>
  <c r="D294" i="40"/>
  <c r="G341" i="40" l="1"/>
  <c r="D341" i="40" s="1"/>
  <c r="D340" i="40"/>
  <c r="S54" i="48"/>
  <c r="M79" i="31"/>
  <c r="M80" i="31" s="1"/>
  <c r="U79" i="31"/>
  <c r="U80" i="31" s="1"/>
  <c r="AE79" i="31"/>
  <c r="AE80" i="31" s="1"/>
  <c r="AR79" i="31"/>
  <c r="AR80" i="31" s="1"/>
  <c r="BA79" i="31"/>
  <c r="BA80" i="31" s="1"/>
  <c r="T79" i="31"/>
  <c r="T80" i="31" s="1"/>
  <c r="AM79" i="31"/>
  <c r="AM80" i="31" s="1"/>
  <c r="AF79" i="31"/>
  <c r="AF80" i="31" s="1"/>
  <c r="AX79" i="31"/>
  <c r="AX80" i="31" s="1"/>
  <c r="AJ79" i="31"/>
  <c r="AJ80" i="31" s="1"/>
  <c r="AZ79" i="31"/>
  <c r="AZ80" i="31" s="1"/>
  <c r="AU79" i="31"/>
  <c r="AU80" i="31" s="1"/>
  <c r="O79" i="31"/>
  <c r="O80" i="31" s="1"/>
  <c r="AC79" i="31"/>
  <c r="AC80" i="31" s="1"/>
  <c r="AL79" i="31"/>
  <c r="AL80" i="31" s="1"/>
  <c r="AY79" i="31"/>
  <c r="AY80" i="31" s="1"/>
  <c r="G79" i="31"/>
  <c r="G80" i="31" s="1"/>
  <c r="F80" i="31" s="1"/>
  <c r="Z79" i="31"/>
  <c r="Z80" i="31" s="1"/>
  <c r="AK79" i="31"/>
  <c r="AK80" i="31" s="1"/>
  <c r="BB79" i="31"/>
  <c r="BB80" i="31" s="1"/>
  <c r="Q79" i="31"/>
  <c r="Q80" i="31" s="1"/>
  <c r="AA79" i="31"/>
  <c r="AA80" i="31" s="1"/>
  <c r="AN79" i="31"/>
  <c r="AN80" i="31" s="1"/>
  <c r="AW79" i="31"/>
  <c r="AW80" i="31" s="1"/>
  <c r="AD79" i="31"/>
  <c r="AD80" i="31" s="1"/>
  <c r="AV79" i="31"/>
  <c r="AV80" i="31" s="1"/>
  <c r="Y79" i="31"/>
  <c r="Y80" i="31" s="1"/>
  <c r="AO79" i="31"/>
  <c r="AO80" i="31" s="1"/>
  <c r="AQ79" i="31"/>
  <c r="AQ80" i="31" s="1"/>
  <c r="AB79" i="31"/>
  <c r="AB80" i="31" s="1"/>
  <c r="S79" i="31"/>
  <c r="S80" i="31" s="1"/>
  <c r="AG79" i="31"/>
  <c r="AG80" i="31" s="1"/>
  <c r="AP79" i="31"/>
  <c r="AP80" i="31" s="1"/>
  <c r="BC79" i="31"/>
  <c r="BC80" i="31" s="1"/>
  <c r="N79" i="31"/>
  <c r="N80" i="31" s="1"/>
  <c r="P79" i="31"/>
  <c r="P80" i="31" s="1"/>
  <c r="R79" i="31"/>
  <c r="R80" i="31" s="1"/>
  <c r="H13" i="32"/>
  <c r="P63" i="48" s="1"/>
  <c r="H80" i="31"/>
  <c r="H82" i="31" s="1"/>
  <c r="J391" i="38" s="1"/>
  <c r="J431" i="38" s="1"/>
  <c r="J80" i="31"/>
  <c r="J82" i="31" s="1"/>
  <c r="J13" i="32"/>
  <c r="J14" i="32" s="1"/>
  <c r="H35" i="32" l="1"/>
  <c r="AI57" i="32" s="1"/>
  <c r="J35" i="32"/>
  <c r="T83" i="48" s="1"/>
  <c r="F291" i="38"/>
  <c r="J3" i="32"/>
  <c r="T64" i="48"/>
  <c r="R35" i="32"/>
  <c r="G13" i="32"/>
  <c r="T63" i="48"/>
  <c r="F291" i="41"/>
  <c r="H14" i="32"/>
  <c r="AT80" i="31"/>
  <c r="X80" i="31"/>
  <c r="AI80" i="31"/>
  <c r="F79" i="31"/>
  <c r="F335" i="38" l="1"/>
  <c r="D23" i="28"/>
  <c r="P83" i="48"/>
  <c r="H45" i="32"/>
  <c r="J291" i="38" s="1"/>
  <c r="AK57" i="32"/>
  <c r="G35" i="32"/>
  <c r="AH57" i="32" s="1"/>
  <c r="T35" i="32"/>
  <c r="T104" i="48" s="1"/>
  <c r="F292" i="38"/>
  <c r="J45" i="32"/>
  <c r="I291" i="41" s="1"/>
  <c r="P64" i="48"/>
  <c r="H3" i="32"/>
  <c r="G14" i="32"/>
  <c r="F14" i="32" s="1"/>
  <c r="F13" i="32"/>
  <c r="F336" i="38"/>
  <c r="P104" i="48"/>
  <c r="F292" i="41"/>
  <c r="F335" i="41"/>
  <c r="U62" i="48"/>
  <c r="U60" i="48"/>
  <c r="U59" i="48"/>
  <c r="U61" i="48"/>
  <c r="U58" i="48"/>
  <c r="U57" i="48"/>
  <c r="K291" i="41"/>
  <c r="U63" i="48"/>
  <c r="T54" i="48"/>
  <c r="J4" i="32"/>
  <c r="T55" i="48" s="1"/>
  <c r="H291" i="38" l="1"/>
  <c r="F23" i="28" s="1"/>
  <c r="Q35" i="32"/>
  <c r="P35" i="32" s="1"/>
  <c r="F35" i="32"/>
  <c r="G291" i="38"/>
  <c r="E23" i="28" s="1"/>
  <c r="K291" i="38"/>
  <c r="K292" i="38" s="1"/>
  <c r="I291" i="38"/>
  <c r="G45" i="32"/>
  <c r="F45" i="32" s="1"/>
  <c r="U54" i="48"/>
  <c r="J291" i="41"/>
  <c r="G291" i="41"/>
  <c r="G335" i="41" s="1"/>
  <c r="G336" i="41" s="1"/>
  <c r="H291" i="41"/>
  <c r="H335" i="41" s="1"/>
  <c r="K23" i="28"/>
  <c r="I23" i="28"/>
  <c r="J292" i="38"/>
  <c r="J335" i="38"/>
  <c r="J336" i="38" s="1"/>
  <c r="K292" i="41"/>
  <c r="K335" i="41"/>
  <c r="K336" i="41" s="1"/>
  <c r="J23" i="28"/>
  <c r="H335" i="38"/>
  <c r="H336" i="38" s="1"/>
  <c r="G23" i="28"/>
  <c r="P54" i="48"/>
  <c r="H4" i="32"/>
  <c r="P55" i="48" s="1"/>
  <c r="O55" i="48" s="1"/>
  <c r="G3" i="32"/>
  <c r="M23" i="28"/>
  <c r="I335" i="41"/>
  <c r="I336" i="41" s="1"/>
  <c r="L23" i="28"/>
  <c r="F336" i="41"/>
  <c r="I335" i="38"/>
  <c r="I336" i="38" s="1"/>
  <c r="H23" i="28"/>
  <c r="Q59" i="48"/>
  <c r="O59" i="48" s="1"/>
  <c r="Q60" i="48"/>
  <c r="O60" i="48" s="1"/>
  <c r="Q57" i="48"/>
  <c r="O57" i="48" s="1"/>
  <c r="O64" i="48"/>
  <c r="Q61" i="48"/>
  <c r="O61" i="48" s="1"/>
  <c r="Q62" i="48"/>
  <c r="O62" i="48" s="1"/>
  <c r="Q58" i="48"/>
  <c r="O58" i="48" s="1"/>
  <c r="Q63" i="48"/>
  <c r="O63" i="48" s="1"/>
  <c r="G335" i="38" l="1"/>
  <c r="K335" i="38"/>
  <c r="K336" i="38" s="1"/>
  <c r="D291" i="38"/>
  <c r="D291" i="41"/>
  <c r="N23" i="28"/>
  <c r="J292" i="41"/>
  <c r="J335" i="41"/>
  <c r="J336" i="41" s="1"/>
  <c r="H336" i="41"/>
  <c r="Q54" i="48"/>
  <c r="O54" i="48" s="1"/>
  <c r="G336" i="38"/>
  <c r="D336" i="38" s="1"/>
  <c r="F3" i="32"/>
  <c r="G4" i="32"/>
  <c r="F4" i="32" s="1"/>
  <c r="J83" i="31"/>
  <c r="N391" i="38"/>
  <c r="N431" i="38" s="1"/>
  <c r="L391" i="38"/>
  <c r="L431" i="38" s="1"/>
  <c r="K391" i="38"/>
  <c r="K431" i="38" s="1"/>
  <c r="O391" i="38"/>
  <c r="O431" i="38" s="1"/>
  <c r="M391" i="38"/>
  <c r="M431" i="38" s="1"/>
  <c r="H83" i="31"/>
  <c r="P391" i="38"/>
  <c r="P431" i="38" s="1"/>
  <c r="D335" i="38" l="1"/>
  <c r="D335" i="41"/>
  <c r="D336" i="41"/>
  <c r="D391" i="38"/>
  <c r="D431" i="38"/>
  <c r="Z23" i="38"/>
  <c r="Z24" i="38" s="1"/>
  <c r="Z26" i="38" s="1"/>
  <c r="F23" i="38"/>
  <c r="F24" i="38" s="1"/>
  <c r="F26" i="38" s="1"/>
  <c r="D12" i="28" s="1"/>
  <c r="S23" i="38"/>
  <c r="S24" i="38" s="1"/>
  <c r="S26" i="38" s="1"/>
  <c r="U23" i="38"/>
  <c r="U24" i="38" s="1"/>
  <c r="U26" i="38" s="1"/>
  <c r="R23" i="38"/>
  <c r="R24" i="38" s="1"/>
  <c r="R26" i="38" s="1"/>
  <c r="M23" i="38"/>
  <c r="M24" i="38" s="1"/>
  <c r="M26" i="38" s="1"/>
  <c r="Q23" i="38"/>
  <c r="Q24" i="38" s="1"/>
  <c r="Q26" i="38" s="1"/>
  <c r="N23" i="38"/>
  <c r="N24" i="38" s="1"/>
  <c r="N26" i="38" s="1"/>
  <c r="I23" i="38"/>
  <c r="I24" i="38" s="1"/>
  <c r="I26" i="38" s="1"/>
  <c r="J23" i="38"/>
  <c r="J24" i="38" s="1"/>
  <c r="J26" i="38" s="1"/>
  <c r="X23" i="38"/>
  <c r="X24" i="38" s="1"/>
  <c r="X26" i="38" s="1"/>
  <c r="W23" i="38"/>
  <c r="W24" i="38" s="1"/>
  <c r="W26" i="38" s="1"/>
  <c r="O23" i="38"/>
  <c r="O24" i="38" s="1"/>
  <c r="O26" i="38" s="1"/>
  <c r="T23" i="38"/>
  <c r="T24" i="38" s="1"/>
  <c r="T26" i="38" s="1"/>
  <c r="G23" i="38"/>
  <c r="G24" i="38" s="1"/>
  <c r="G26" i="38" s="1"/>
  <c r="K23" i="38"/>
  <c r="K24" i="38" s="1"/>
  <c r="K26" i="38" s="1"/>
  <c r="H23" i="38"/>
  <c r="H24" i="38" s="1"/>
  <c r="H26" i="38" s="1"/>
  <c r="P23" i="38"/>
  <c r="P24" i="38" s="1"/>
  <c r="P26" i="38" s="1"/>
  <c r="Y23" i="38"/>
  <c r="Y24" i="38" s="1"/>
  <c r="Y26" i="38" s="1"/>
  <c r="V23" i="38"/>
  <c r="V24" i="38" s="1"/>
  <c r="V26" i="38" s="1"/>
  <c r="L23" i="38"/>
  <c r="L24" i="38" s="1"/>
  <c r="L26" i="38" s="1"/>
  <c r="H27" i="38" l="1"/>
  <c r="H28" i="38"/>
  <c r="Y28" i="38"/>
  <c r="Y27" i="38"/>
  <c r="L28" i="38"/>
  <c r="L27" i="38"/>
  <c r="F15" i="39"/>
  <c r="V28" i="38"/>
  <c r="V27" i="38"/>
  <c r="P27" i="38"/>
  <c r="P28" i="38"/>
  <c r="H21" i="47"/>
  <c r="H22" i="47" s="1"/>
  <c r="H8" i="47" s="1"/>
  <c r="H9" i="47" s="1"/>
  <c r="G27" i="38"/>
  <c r="O27" i="38"/>
  <c r="O28" i="38"/>
  <c r="N28" i="38"/>
  <c r="N27" i="38"/>
  <c r="Q28" i="38"/>
  <c r="Q27" i="38"/>
  <c r="J27" i="38"/>
  <c r="J28" i="38"/>
  <c r="M28" i="38"/>
  <c r="M27" i="38"/>
  <c r="K28" i="38"/>
  <c r="K27" i="38"/>
  <c r="T27" i="38"/>
  <c r="T28" i="38"/>
  <c r="G28" i="38"/>
  <c r="I28" i="38"/>
  <c r="I27" i="38"/>
  <c r="X27" i="38"/>
  <c r="X28" i="38"/>
  <c r="W27" i="38"/>
  <c r="W28" i="38"/>
  <c r="R27" i="38"/>
  <c r="R28" i="38"/>
  <c r="U27" i="38"/>
  <c r="U28" i="38"/>
  <c r="S28" i="38"/>
  <c r="S27" i="38"/>
  <c r="G21" i="47"/>
  <c r="G22" i="47" s="1"/>
  <c r="G8" i="47" s="1"/>
  <c r="G9" i="47" s="1"/>
  <c r="E12" i="28"/>
  <c r="F27" i="38"/>
  <c r="F28" i="38"/>
  <c r="Z27" i="38"/>
  <c r="Z28" i="38"/>
  <c r="K396" i="40"/>
  <c r="K438" i="40" s="1"/>
  <c r="J396" i="40"/>
  <c r="J438" i="40" s="1"/>
  <c r="K391" i="41"/>
  <c r="K431" i="41" s="1"/>
  <c r="D431" i="41" s="1"/>
  <c r="M396" i="40"/>
  <c r="M438" i="40" s="1"/>
  <c r="L396" i="40"/>
  <c r="L438" i="40" s="1"/>
  <c r="I83" i="31"/>
  <c r="F5" i="39" l="1"/>
  <c r="D391" i="41"/>
  <c r="D438" i="40"/>
  <c r="D396" i="40"/>
  <c r="F250" i="40"/>
  <c r="F251" i="40" s="1"/>
  <c r="F246" i="40" s="1"/>
  <c r="F247" i="40" s="1"/>
  <c r="F253" i="40" s="1"/>
  <c r="I250" i="40"/>
  <c r="I251" i="40" s="1"/>
  <c r="I246" i="40" s="1"/>
  <c r="I247" i="40" s="1"/>
  <c r="I253" i="40" s="1"/>
  <c r="Y250" i="40"/>
  <c r="Y251" i="40" s="1"/>
  <c r="Y246" i="40" s="1"/>
  <c r="Y247" i="40" s="1"/>
  <c r="Y253" i="40" s="1"/>
  <c r="U250" i="40"/>
  <c r="U251" i="40" s="1"/>
  <c r="U246" i="40" s="1"/>
  <c r="U247" i="40" s="1"/>
  <c r="U253" i="40" s="1"/>
  <c r="Q250" i="40"/>
  <c r="Q251" i="40" s="1"/>
  <c r="Q246" i="40" s="1"/>
  <c r="Q247" i="40" s="1"/>
  <c r="Q253" i="40" s="1"/>
  <c r="Z250" i="40"/>
  <c r="Z251" i="40" s="1"/>
  <c r="Z246" i="40" s="1"/>
  <c r="Z247" i="40" s="1"/>
  <c r="Z253" i="40" s="1"/>
  <c r="V250" i="40"/>
  <c r="V251" i="40" s="1"/>
  <c r="V246" i="40" s="1"/>
  <c r="V247" i="40" s="1"/>
  <c r="V253" i="40" s="1"/>
  <c r="R250" i="40"/>
  <c r="R251" i="40" s="1"/>
  <c r="R246" i="40" s="1"/>
  <c r="R247" i="40" s="1"/>
  <c r="R253" i="40" s="1"/>
  <c r="N250" i="40"/>
  <c r="N251" i="40" s="1"/>
  <c r="N246" i="40" s="1"/>
  <c r="N247" i="40" s="1"/>
  <c r="N253" i="40" s="1"/>
  <c r="W250" i="40"/>
  <c r="W251" i="40" s="1"/>
  <c r="W246" i="40" s="1"/>
  <c r="W247" i="40" s="1"/>
  <c r="W253" i="40" s="1"/>
  <c r="S250" i="40"/>
  <c r="S251" i="40" s="1"/>
  <c r="S246" i="40" s="1"/>
  <c r="S247" i="40" s="1"/>
  <c r="S253" i="40" s="1"/>
  <c r="O250" i="40"/>
  <c r="O251" i="40" s="1"/>
  <c r="O246" i="40" s="1"/>
  <c r="O247" i="40" s="1"/>
  <c r="O253" i="40" s="1"/>
  <c r="X250" i="40"/>
  <c r="X251" i="40" s="1"/>
  <c r="X246" i="40" s="1"/>
  <c r="X247" i="40" s="1"/>
  <c r="X253" i="40" s="1"/>
  <c r="T250" i="40"/>
  <c r="T251" i="40" s="1"/>
  <c r="T246" i="40" s="1"/>
  <c r="T247" i="40" s="1"/>
  <c r="T253" i="40" s="1"/>
  <c r="P250" i="40"/>
  <c r="P251" i="40" s="1"/>
  <c r="P246" i="40" s="1"/>
  <c r="P247" i="40" s="1"/>
  <c r="P253" i="40" s="1"/>
  <c r="M250" i="40"/>
  <c r="M251" i="40" s="1"/>
  <c r="M246" i="40" s="1"/>
  <c r="M247" i="40" s="1"/>
  <c r="M253" i="40" s="1"/>
  <c r="G248" i="38"/>
  <c r="G249" i="38" s="1"/>
  <c r="G244" i="38" s="1"/>
  <c r="G245" i="38" s="1"/>
  <c r="G251" i="38" s="1"/>
  <c r="H248" i="38"/>
  <c r="H249" i="38" s="1"/>
  <c r="H244" i="38" s="1"/>
  <c r="H245" i="38" s="1"/>
  <c r="H251" i="38" s="1"/>
  <c r="F248" i="38"/>
  <c r="F249" i="38" s="1"/>
  <c r="F244" i="38" s="1"/>
  <c r="F245" i="38" s="1"/>
  <c r="F251" i="38" s="1"/>
  <c r="D20" i="28" s="1"/>
  <c r="H250" i="40"/>
  <c r="H251" i="40" s="1"/>
  <c r="H246" i="40" s="1"/>
  <c r="H247" i="40" s="1"/>
  <c r="H253" i="40" s="1"/>
  <c r="L250" i="40"/>
  <c r="L251" i="40" s="1"/>
  <c r="L246" i="40" s="1"/>
  <c r="L247" i="40" s="1"/>
  <c r="L253" i="40" s="1"/>
  <c r="G250" i="40"/>
  <c r="G251" i="40" s="1"/>
  <c r="G246" i="40" s="1"/>
  <c r="G247" i="40" s="1"/>
  <c r="G253" i="40" s="1"/>
  <c r="J250" i="40"/>
  <c r="J251" i="40" s="1"/>
  <c r="J246" i="40" s="1"/>
  <c r="J247" i="40" s="1"/>
  <c r="J253" i="40" s="1"/>
  <c r="K250" i="40"/>
  <c r="K251" i="40" s="1"/>
  <c r="K246" i="40" s="1"/>
  <c r="K247" i="40" s="1"/>
  <c r="K253" i="40" s="1"/>
  <c r="K254" i="40" l="1"/>
  <c r="K255" i="40"/>
  <c r="G47" i="39" s="1"/>
  <c r="K324" i="40"/>
  <c r="G52" i="39"/>
  <c r="G324" i="40"/>
  <c r="G255" i="40"/>
  <c r="G265" i="40"/>
  <c r="G254" i="40"/>
  <c r="G269" i="40"/>
  <c r="G278" i="40" s="1"/>
  <c r="J324" i="40"/>
  <c r="J254" i="40"/>
  <c r="J255" i="40"/>
  <c r="F263" i="38"/>
  <c r="F320" i="38"/>
  <c r="E20" i="28"/>
  <c r="F253" i="38"/>
  <c r="F252" i="38"/>
  <c r="F267" i="38"/>
  <c r="L324" i="40"/>
  <c r="L254" i="40"/>
  <c r="L255" i="40"/>
  <c r="H265" i="40"/>
  <c r="H324" i="40"/>
  <c r="H255" i="40"/>
  <c r="H254" i="40"/>
  <c r="H269" i="40"/>
  <c r="G252" i="38"/>
  <c r="G320" i="38"/>
  <c r="G253" i="38"/>
  <c r="G263" i="38"/>
  <c r="F20" i="28"/>
  <c r="G267" i="38"/>
  <c r="M324" i="40"/>
  <c r="M254" i="40"/>
  <c r="M255" i="40"/>
  <c r="M273" i="40" s="1"/>
  <c r="H253" i="38"/>
  <c r="H320" i="38"/>
  <c r="H252" i="38"/>
  <c r="H263" i="38"/>
  <c r="H267" i="38"/>
  <c r="T254" i="40"/>
  <c r="T255" i="40"/>
  <c r="T324" i="40"/>
  <c r="X255" i="40"/>
  <c r="X254" i="40"/>
  <c r="X324" i="40"/>
  <c r="W324" i="40"/>
  <c r="W255" i="40"/>
  <c r="W254" i="40"/>
  <c r="N255" i="40"/>
  <c r="N273" i="40" s="1"/>
  <c r="N324" i="40"/>
  <c r="N254" i="40"/>
  <c r="Z255" i="40"/>
  <c r="Z324" i="40"/>
  <c r="Z254" i="40"/>
  <c r="U324" i="40"/>
  <c r="U254" i="40"/>
  <c r="U255" i="40"/>
  <c r="P255" i="40"/>
  <c r="P254" i="40"/>
  <c r="P324" i="40"/>
  <c r="O324" i="40"/>
  <c r="O255" i="40"/>
  <c r="O254" i="40"/>
  <c r="S324" i="40"/>
  <c r="S255" i="40"/>
  <c r="S254" i="40"/>
  <c r="R255" i="40"/>
  <c r="R254" i="40"/>
  <c r="R324" i="40"/>
  <c r="V254" i="40"/>
  <c r="V324" i="40"/>
  <c r="V255" i="40"/>
  <c r="Q324" i="40"/>
  <c r="Q254" i="40"/>
  <c r="Q255" i="40"/>
  <c r="Y324" i="40"/>
  <c r="Y255" i="40"/>
  <c r="Y254" i="40"/>
  <c r="I254" i="40"/>
  <c r="I324" i="40"/>
  <c r="I255" i="40"/>
  <c r="F254" i="40"/>
  <c r="F269" i="40"/>
  <c r="F255" i="40"/>
  <c r="F324" i="40"/>
  <c r="F265" i="40"/>
  <c r="N274" i="40" l="1"/>
  <c r="M274" i="40"/>
  <c r="G275" i="38"/>
  <c r="F275" i="38"/>
  <c r="R39" i="48"/>
  <c r="G55" i="39"/>
  <c r="G58" i="39" s="1"/>
  <c r="R40" i="48"/>
  <c r="G50" i="39"/>
  <c r="F278" i="40"/>
  <c r="H275" i="38"/>
  <c r="H278" i="40"/>
  <c r="R42" i="48" l="1"/>
  <c r="G60" i="39"/>
  <c r="R44" i="48"/>
  <c r="S19" i="32" l="1"/>
  <c r="R90" i="48" l="1"/>
  <c r="AD53" i="32"/>
  <c r="I259" i="40"/>
  <c r="I267" i="40" l="1"/>
  <c r="I261" i="40"/>
  <c r="I263" i="40" l="1"/>
  <c r="I264" i="40" s="1"/>
  <c r="J258" i="40"/>
  <c r="J261" i="40" s="1"/>
  <c r="J263" i="40" l="1"/>
  <c r="J264" i="40" s="1"/>
  <c r="K258" i="40"/>
  <c r="K261" i="40" s="1"/>
  <c r="I269" i="40"/>
  <c r="I265" i="40"/>
  <c r="I278" i="40" l="1"/>
  <c r="K263" i="40"/>
  <c r="K264" i="40" s="1"/>
  <c r="L258" i="40"/>
  <c r="L261" i="40" s="1"/>
  <c r="J269" i="40"/>
  <c r="J265" i="40"/>
  <c r="L263" i="40" l="1"/>
  <c r="L264" i="40" s="1"/>
  <c r="M258" i="40"/>
  <c r="M261" i="40" s="1"/>
  <c r="K265" i="40"/>
  <c r="K269" i="40"/>
  <c r="J278" i="40"/>
  <c r="N258" i="40" l="1"/>
  <c r="N261" i="40" s="1"/>
  <c r="N275" i="40" s="1"/>
  <c r="N276" i="40" s="1"/>
  <c r="M275" i="40"/>
  <c r="M276" i="40" s="1"/>
  <c r="M263" i="40"/>
  <c r="M264" i="40" s="1"/>
  <c r="K278" i="40"/>
  <c r="L265" i="40"/>
  <c r="L269" i="40"/>
  <c r="L278" i="40" l="1"/>
  <c r="M269" i="40"/>
  <c r="M265" i="40"/>
  <c r="N263" i="40"/>
  <c r="N264" i="40" s="1"/>
  <c r="O258" i="40"/>
  <c r="O261" i="40" s="1"/>
  <c r="O263" i="40" l="1"/>
  <c r="O264" i="40" s="1"/>
  <c r="P258" i="40"/>
  <c r="P261" i="40" s="1"/>
  <c r="N269" i="40"/>
  <c r="N265" i="40"/>
  <c r="M278" i="40"/>
  <c r="N278" i="40" l="1"/>
  <c r="P263" i="40"/>
  <c r="P264" i="40" s="1"/>
  <c r="Q258" i="40"/>
  <c r="Q261" i="40" s="1"/>
  <c r="O265" i="40"/>
  <c r="O269" i="40"/>
  <c r="Q263" i="40" l="1"/>
  <c r="Q264" i="40" s="1"/>
  <c r="R258" i="40"/>
  <c r="R261" i="40" s="1"/>
  <c r="P265" i="40"/>
  <c r="P269" i="40"/>
  <c r="R263" i="40" l="1"/>
  <c r="R264" i="40" s="1"/>
  <c r="S258" i="40"/>
  <c r="S261" i="40" s="1"/>
  <c r="Q265" i="40"/>
  <c r="Q269" i="40"/>
  <c r="S263" i="40" l="1"/>
  <c r="S264" i="40" s="1"/>
  <c r="T258" i="40"/>
  <c r="T261" i="40" s="1"/>
  <c r="R265" i="40"/>
  <c r="R269" i="40"/>
  <c r="T263" i="40" l="1"/>
  <c r="T264" i="40" s="1"/>
  <c r="U258" i="40"/>
  <c r="U261" i="40" s="1"/>
  <c r="S265" i="40"/>
  <c r="S269" i="40"/>
  <c r="V258" i="40" l="1"/>
  <c r="V261" i="40" s="1"/>
  <c r="U263" i="40"/>
  <c r="U264" i="40" s="1"/>
  <c r="T265" i="40"/>
  <c r="T269" i="40"/>
  <c r="U269" i="40" l="1"/>
  <c r="U265" i="40"/>
  <c r="V263" i="40"/>
  <c r="V264" i="40" s="1"/>
  <c r="W258" i="40"/>
  <c r="W261" i="40" s="1"/>
  <c r="V269" i="40" l="1"/>
  <c r="V265" i="40"/>
  <c r="W263" i="40"/>
  <c r="W264" i="40" s="1"/>
  <c r="X258" i="40"/>
  <c r="X261" i="40" s="1"/>
  <c r="W265" i="40" l="1"/>
  <c r="W269" i="40"/>
  <c r="X263" i="40"/>
  <c r="X264" i="40" s="1"/>
  <c r="Y258" i="40"/>
  <c r="Y261" i="40" s="1"/>
  <c r="X269" i="40" l="1"/>
  <c r="X265" i="40"/>
  <c r="Z258" i="40"/>
  <c r="Z261" i="40" s="1"/>
  <c r="Z263" i="40" s="1"/>
  <c r="Z264" i="40" s="1"/>
  <c r="Y263" i="40"/>
  <c r="Y264" i="40" s="1"/>
  <c r="Z265" i="40" l="1"/>
  <c r="Z269" i="40"/>
  <c r="Y269" i="40"/>
  <c r="Y265" i="40"/>
  <c r="M51" i="28"/>
  <c r="M60" i="28" s="1"/>
  <c r="L51" i="28"/>
  <c r="L60" i="28" s="1"/>
  <c r="J142" i="38"/>
  <c r="J150" i="38" s="1"/>
  <c r="J156" i="38"/>
  <c r="J159" i="38" s="1"/>
  <c r="J433" i="38" s="1"/>
  <c r="J405" i="38" s="1"/>
  <c r="J418" i="38" s="1"/>
  <c r="J212" i="38"/>
  <c r="J220" i="38" s="1"/>
  <c r="J257" i="38"/>
  <c r="J265" i="38" s="1"/>
  <c r="I289" i="38"/>
  <c r="I292" i="38"/>
  <c r="M156" i="40"/>
  <c r="M159" i="40"/>
  <c r="M227" i="40"/>
  <c r="M228" i="40" s="1"/>
  <c r="M229" i="40"/>
  <c r="M329" i="40"/>
  <c r="H379" i="40"/>
  <c r="H380" i="40"/>
  <c r="M399" i="40"/>
  <c r="M371" i="40" s="1"/>
  <c r="M384" i="40" s="1"/>
  <c r="H420" i="40"/>
  <c r="H421" i="40"/>
  <c r="M442" i="40"/>
  <c r="K155" i="41"/>
  <c r="K157" i="41" s="1"/>
  <c r="K159" i="41" s="1"/>
  <c r="K158" i="41"/>
  <c r="K225" i="41"/>
  <c r="K227" i="41"/>
  <c r="K270" i="41"/>
  <c r="M26" i="28" s="1"/>
  <c r="M56" i="28" s="1"/>
  <c r="K272" i="41"/>
  <c r="K324" i="41"/>
  <c r="F374" i="41"/>
  <c r="F375" i="41"/>
  <c r="K394" i="41"/>
  <c r="K366" i="41" s="1"/>
  <c r="K379" i="41" s="1"/>
  <c r="F414" i="41"/>
  <c r="F415" i="41"/>
  <c r="K434" i="41"/>
  <c r="K406" i="41" s="1"/>
  <c r="K419" i="41" s="1"/>
  <c r="K271" i="41" l="1"/>
  <c r="M411" i="40"/>
  <c r="M425" i="40" s="1"/>
  <c r="K226" i="41"/>
  <c r="K228" i="41" s="1"/>
  <c r="M160" i="40"/>
  <c r="M230" i="40"/>
  <c r="M158" i="40"/>
  <c r="M330" i="40" s="1"/>
  <c r="M331" i="40" s="1"/>
  <c r="M370" i="40" s="1"/>
  <c r="M398" i="40" l="1"/>
  <c r="M383" i="40"/>
  <c r="M440" i="40"/>
  <c r="M410" i="40" s="1"/>
  <c r="M424" i="40" s="1"/>
  <c r="M27" i="28"/>
  <c r="M57" i="28" s="1"/>
  <c r="K325" i="41"/>
  <c r="K326" i="41" s="1"/>
  <c r="K365" i="41" s="1"/>
  <c r="K273" i="41"/>
  <c r="K433" i="41" l="1"/>
  <c r="K405" i="41" s="1"/>
  <c r="K418" i="41" s="1"/>
  <c r="K378" i="41"/>
  <c r="K393" i="41"/>
  <c r="J201" i="40"/>
  <c r="J203" i="40" s="1"/>
  <c r="J209" i="40" l="1"/>
  <c r="J207" i="40"/>
  <c r="J208" i="40" l="1"/>
  <c r="J323" i="40"/>
  <c r="P201" i="40"/>
  <c r="P203" i="40" s="1"/>
  <c r="P207" i="40" l="1"/>
  <c r="P209" i="40"/>
  <c r="P208" i="40" l="1"/>
  <c r="P323" i="40"/>
  <c r="M119" i="28"/>
  <c r="I212" i="38"/>
  <c r="I214" i="38" s="1"/>
  <c r="I213" i="40"/>
  <c r="I215" i="40" s="1"/>
  <c r="J212" i="41"/>
  <c r="J214" i="41" s="1"/>
  <c r="AC52" i="32"/>
  <c r="AD52" i="32"/>
  <c r="AE52" i="32"/>
  <c r="P89" i="48"/>
  <c r="R89" i="48"/>
  <c r="T89" i="48"/>
  <c r="AB52" i="32" l="1"/>
  <c r="I216" i="38"/>
  <c r="I217" i="38" s="1"/>
  <c r="J211" i="38"/>
  <c r="J214" i="38" s="1"/>
  <c r="I220" i="38"/>
  <c r="I221" i="40"/>
  <c r="K211" i="41"/>
  <c r="K214" i="41" s="1"/>
  <c r="J216" i="41"/>
  <c r="J217" i="41" s="1"/>
  <c r="J220" i="41"/>
  <c r="J212" i="40"/>
  <c r="J215" i="40" s="1"/>
  <c r="I217" i="40"/>
  <c r="I218" i="40" s="1"/>
  <c r="K211" i="38"/>
  <c r="K214" i="38" s="1"/>
  <c r="J216" i="38"/>
  <c r="J217" i="38" s="1"/>
  <c r="K212" i="40" l="1"/>
  <c r="K215" i="40" s="1"/>
  <c r="J217" i="40"/>
  <c r="J218" i="40" s="1"/>
  <c r="L211" i="38"/>
  <c r="L214" i="38" s="1"/>
  <c r="K216" i="38"/>
  <c r="K217" i="38" s="1"/>
  <c r="K216" i="41"/>
  <c r="K217" i="41" s="1"/>
  <c r="L211" i="41"/>
  <c r="L214" i="41" s="1"/>
  <c r="L216" i="41" l="1"/>
  <c r="L217" i="41" s="1"/>
  <c r="L227" i="41"/>
  <c r="M211" i="41"/>
  <c r="M214" i="41" s="1"/>
  <c r="M211" i="38"/>
  <c r="M214" i="38" s="1"/>
  <c r="L216" i="38"/>
  <c r="L217" i="38" s="1"/>
  <c r="J223" i="40"/>
  <c r="J219" i="40"/>
  <c r="L212" i="40"/>
  <c r="L215" i="40" s="1"/>
  <c r="K217" i="40"/>
  <c r="K218" i="40" s="1"/>
  <c r="M216" i="38" l="1"/>
  <c r="M217" i="38" s="1"/>
  <c r="N211" i="38"/>
  <c r="N214" i="38" s="1"/>
  <c r="J232" i="40"/>
  <c r="M212" i="40"/>
  <c r="M215" i="40" s="1"/>
  <c r="L217" i="40"/>
  <c r="L218" i="40" s="1"/>
  <c r="N211" i="41"/>
  <c r="N214" i="41" s="1"/>
  <c r="M216" i="41"/>
  <c r="M217" i="41" s="1"/>
  <c r="N212" i="40" l="1"/>
  <c r="N215" i="40" s="1"/>
  <c r="M217" i="40"/>
  <c r="M218" i="40" s="1"/>
  <c r="O211" i="41"/>
  <c r="O214" i="41" s="1"/>
  <c r="N216" i="41"/>
  <c r="N217" i="41" s="1"/>
  <c r="O211" i="38"/>
  <c r="O214" i="38" s="1"/>
  <c r="N216" i="38"/>
  <c r="N217" i="38" s="1"/>
  <c r="O216" i="41" l="1"/>
  <c r="O217" i="41" s="1"/>
  <c r="P211" i="41"/>
  <c r="P214" i="41" s="1"/>
  <c r="P211" i="38"/>
  <c r="P214" i="38" s="1"/>
  <c r="O216" i="38"/>
  <c r="O217" i="38" s="1"/>
  <c r="O212" i="40"/>
  <c r="O215" i="40" s="1"/>
  <c r="N217" i="40"/>
  <c r="N218" i="40" s="1"/>
  <c r="N229" i="40"/>
  <c r="P227" i="38" l="1"/>
  <c r="Q211" i="38"/>
  <c r="Q214" i="38" s="1"/>
  <c r="P216" i="38"/>
  <c r="P217" i="38" s="1"/>
  <c r="P212" i="40"/>
  <c r="P215" i="40" s="1"/>
  <c r="O217" i="40"/>
  <c r="O218" i="40" s="1"/>
  <c r="P216" i="41"/>
  <c r="P217" i="41" s="1"/>
  <c r="Q211" i="41"/>
  <c r="Q214" i="41" s="1"/>
  <c r="R211" i="41" l="1"/>
  <c r="R214" i="41" s="1"/>
  <c r="Q216" i="41"/>
  <c r="Q217" i="41" s="1"/>
  <c r="Q212" i="40"/>
  <c r="Q215" i="40" s="1"/>
  <c r="P217" i="40"/>
  <c r="P218" i="40" s="1"/>
  <c r="Q216" i="38"/>
  <c r="Q217" i="38" s="1"/>
  <c r="R211" i="38"/>
  <c r="R214" i="38" s="1"/>
  <c r="P219" i="40" l="1"/>
  <c r="P223" i="40"/>
  <c r="S211" i="38"/>
  <c r="S214" i="38" s="1"/>
  <c r="R216" i="38"/>
  <c r="R217" i="38" s="1"/>
  <c r="R212" i="40"/>
  <c r="R215" i="40" s="1"/>
  <c r="Q217" i="40"/>
  <c r="Q218" i="40" s="1"/>
  <c r="S211" i="41"/>
  <c r="S214" i="41" s="1"/>
  <c r="R216" i="41"/>
  <c r="R217" i="41" s="1"/>
  <c r="S216" i="41" l="1"/>
  <c r="S217" i="41" s="1"/>
  <c r="T211" i="41"/>
  <c r="T214" i="41" s="1"/>
  <c r="T211" i="38"/>
  <c r="T214" i="38" s="1"/>
  <c r="S216" i="38"/>
  <c r="S217" i="38" s="1"/>
  <c r="S212" i="40"/>
  <c r="S215" i="40" s="1"/>
  <c r="R217" i="40"/>
  <c r="R218" i="40" s="1"/>
  <c r="U211" i="38" l="1"/>
  <c r="U214" i="38" s="1"/>
  <c r="T216" i="38"/>
  <c r="T217" i="38" s="1"/>
  <c r="T212" i="40"/>
  <c r="T215" i="40" s="1"/>
  <c r="S217" i="40"/>
  <c r="S218" i="40" s="1"/>
  <c r="T216" i="41"/>
  <c r="T217" i="41" s="1"/>
  <c r="U211" i="41"/>
  <c r="U214" i="41" s="1"/>
  <c r="V211" i="38" l="1"/>
  <c r="V214" i="38" s="1"/>
  <c r="U216" i="38"/>
  <c r="U217" i="38" s="1"/>
  <c r="U212" i="40"/>
  <c r="U215" i="40" s="1"/>
  <c r="T217" i="40"/>
  <c r="T218" i="40" s="1"/>
  <c r="V211" i="41"/>
  <c r="V214" i="41" s="1"/>
  <c r="U216" i="41"/>
  <c r="U217" i="41" s="1"/>
  <c r="W211" i="41" l="1"/>
  <c r="W214" i="41" s="1"/>
  <c r="V216" i="41"/>
  <c r="V217" i="41" s="1"/>
  <c r="W211" i="38"/>
  <c r="W214" i="38" s="1"/>
  <c r="V216" i="38"/>
  <c r="V217" i="38" s="1"/>
  <c r="V212" i="40"/>
  <c r="V215" i="40" s="1"/>
  <c r="U217" i="40"/>
  <c r="U218" i="40" s="1"/>
  <c r="W212" i="40" l="1"/>
  <c r="W215" i="40" s="1"/>
  <c r="V217" i="40"/>
  <c r="V218" i="40" s="1"/>
  <c r="X211" i="38"/>
  <c r="X214" i="38" s="1"/>
  <c r="W216" i="38"/>
  <c r="W217" i="38" s="1"/>
  <c r="W216" i="41"/>
  <c r="W217" i="41" s="1"/>
  <c r="X211" i="41"/>
  <c r="X214" i="41" s="1"/>
  <c r="Y211" i="38" l="1"/>
  <c r="Y214" i="38" s="1"/>
  <c r="X216" i="38"/>
  <c r="X217" i="38" s="1"/>
  <c r="X216" i="41"/>
  <c r="X217" i="41" s="1"/>
  <c r="Y211" i="41"/>
  <c r="Y214" i="41" s="1"/>
  <c r="X212" i="40"/>
  <c r="X215" i="40" s="1"/>
  <c r="W217" i="40"/>
  <c r="W218" i="40" s="1"/>
  <c r="Y212" i="40" l="1"/>
  <c r="Y215" i="40" s="1"/>
  <c r="X217" i="40"/>
  <c r="X218" i="40" s="1"/>
  <c r="Z211" i="41"/>
  <c r="Z214" i="41" s="1"/>
  <c r="Z216" i="41" s="1"/>
  <c r="Z217" i="41" s="1"/>
  <c r="Y216" i="41"/>
  <c r="Y217" i="41" s="1"/>
  <c r="Y216" i="38"/>
  <c r="Y217" i="38" s="1"/>
  <c r="Z211" i="38"/>
  <c r="Z214" i="38" s="1"/>
  <c r="Z216" i="38" s="1"/>
  <c r="Z217" i="38" s="1"/>
  <c r="Z212" i="40" l="1"/>
  <c r="Z215" i="40" s="1"/>
  <c r="Z217" i="40" s="1"/>
  <c r="Z218" i="40" s="1"/>
  <c r="Y217" i="40"/>
  <c r="Y218" i="40" s="1"/>
  <c r="E3" i="33"/>
  <c r="M3" i="33"/>
  <c r="E4" i="33"/>
  <c r="M4" i="33"/>
  <c r="E8" i="33"/>
  <c r="M8" i="33"/>
  <c r="U8" i="33"/>
  <c r="E9" i="33"/>
  <c r="M9" i="33"/>
  <c r="U9" i="33"/>
  <c r="E10" i="33"/>
  <c r="M10" i="33"/>
  <c r="U10" i="33"/>
  <c r="E11" i="33"/>
  <c r="M11" i="33"/>
  <c r="U11" i="33"/>
  <c r="E14" i="33"/>
  <c r="M14" i="33"/>
  <c r="U14" i="33"/>
  <c r="E15" i="33"/>
  <c r="M15" i="33"/>
  <c r="U15" i="33"/>
  <c r="E16" i="33"/>
  <c r="M16" i="33"/>
  <c r="U16" i="33"/>
  <c r="E17" i="33"/>
  <c r="M17" i="33"/>
  <c r="U17" i="33"/>
  <c r="E18" i="33"/>
  <c r="M18" i="33"/>
  <c r="U18" i="33"/>
  <c r="F67" i="31"/>
  <c r="G67" i="31"/>
  <c r="H67" i="31"/>
  <c r="I67" i="31"/>
  <c r="J67" i="31"/>
  <c r="M67" i="31"/>
  <c r="N67" i="31"/>
  <c r="O67" i="31"/>
  <c r="P67" i="31"/>
  <c r="Q67" i="31"/>
  <c r="R67" i="31"/>
  <c r="S67" i="31"/>
  <c r="T67" i="31"/>
  <c r="U67" i="31"/>
  <c r="Y67" i="31"/>
  <c r="Z67" i="31"/>
  <c r="AA67" i="31"/>
  <c r="AB67" i="31"/>
  <c r="AC67" i="31"/>
  <c r="AD67" i="31"/>
  <c r="AE67" i="31"/>
  <c r="AF67" i="31"/>
  <c r="AG67" i="31"/>
  <c r="AJ67" i="31"/>
  <c r="AK67" i="31"/>
  <c r="AL67" i="31"/>
  <c r="AM67" i="31"/>
  <c r="AN67" i="31"/>
  <c r="AO67" i="31"/>
  <c r="AP67" i="31"/>
  <c r="AQ67" i="31"/>
  <c r="AR67" i="31"/>
  <c r="AU67" i="31"/>
  <c r="AV67" i="31"/>
  <c r="AW67" i="31"/>
  <c r="AX67" i="31"/>
  <c r="AY67" i="31"/>
  <c r="AZ67" i="31"/>
  <c r="BA67" i="31"/>
  <c r="BB67" i="31"/>
  <c r="BC67" i="31"/>
  <c r="F68" i="31"/>
  <c r="G68" i="31"/>
  <c r="H68" i="31"/>
  <c r="I68" i="31"/>
  <c r="J68" i="31"/>
  <c r="M68" i="31"/>
  <c r="N68" i="31"/>
  <c r="O68" i="31"/>
  <c r="P68" i="31"/>
  <c r="Q68" i="31"/>
  <c r="R68" i="31"/>
  <c r="S68" i="31"/>
  <c r="T68" i="31"/>
  <c r="U68" i="31"/>
  <c r="Y68" i="31"/>
  <c r="Z68" i="31"/>
  <c r="AA68" i="31"/>
  <c r="AB68" i="31"/>
  <c r="AC68" i="31"/>
  <c r="AD68" i="31"/>
  <c r="AE68" i="31"/>
  <c r="AF68" i="31"/>
  <c r="AG68" i="31"/>
  <c r="AJ68" i="31"/>
  <c r="AK68" i="31"/>
  <c r="AL68" i="31"/>
  <c r="AM68" i="31"/>
  <c r="AN68" i="31"/>
  <c r="AO68" i="31"/>
  <c r="AP68" i="31"/>
  <c r="AQ68" i="31"/>
  <c r="AR68" i="31"/>
  <c r="AU68" i="31"/>
  <c r="AV68" i="31"/>
  <c r="AW68" i="31"/>
  <c r="AX68" i="31"/>
  <c r="AY68" i="31"/>
  <c r="AZ68" i="31"/>
  <c r="BA68" i="31"/>
  <c r="BB68" i="31"/>
  <c r="BC68" i="31"/>
  <c r="F69" i="31"/>
  <c r="G69" i="31"/>
  <c r="H69" i="31"/>
  <c r="I69" i="31"/>
  <c r="J69" i="31"/>
  <c r="M69" i="31"/>
  <c r="N69" i="31"/>
  <c r="O69" i="31"/>
  <c r="P69" i="31"/>
  <c r="Q69" i="31"/>
  <c r="R69" i="31"/>
  <c r="S69" i="31"/>
  <c r="T69" i="31"/>
  <c r="U69" i="31"/>
  <c r="Y69" i="31"/>
  <c r="Z69" i="31"/>
  <c r="AA69" i="31"/>
  <c r="AB69" i="31"/>
  <c r="AC69" i="31"/>
  <c r="AD69" i="31"/>
  <c r="AE69" i="31"/>
  <c r="AF69" i="31"/>
  <c r="AG69" i="31"/>
  <c r="AJ69" i="31"/>
  <c r="AK69" i="31"/>
  <c r="AL69" i="31"/>
  <c r="AM69" i="31"/>
  <c r="AN69" i="31"/>
  <c r="AO69" i="31"/>
  <c r="AP69" i="31"/>
  <c r="AQ69" i="31"/>
  <c r="AR69" i="31"/>
  <c r="AU69" i="31"/>
  <c r="AV69" i="31"/>
  <c r="AW69" i="31"/>
  <c r="AX69" i="31"/>
  <c r="AY69" i="31"/>
  <c r="AZ69" i="31"/>
  <c r="BA69" i="31"/>
  <c r="BB69" i="31"/>
  <c r="BC69" i="31"/>
  <c r="F70" i="31"/>
  <c r="G70" i="31"/>
  <c r="H70" i="31"/>
  <c r="I70" i="31"/>
  <c r="J70" i="31"/>
  <c r="M70" i="31"/>
  <c r="N70" i="31"/>
  <c r="O70" i="31"/>
  <c r="P70" i="31"/>
  <c r="Q70" i="31"/>
  <c r="R70" i="31"/>
  <c r="S70" i="31"/>
  <c r="T70" i="31"/>
  <c r="U70" i="31"/>
  <c r="Y70" i="31"/>
  <c r="Z70" i="31"/>
  <c r="AA70" i="31"/>
  <c r="AB70" i="31"/>
  <c r="AC70" i="31"/>
  <c r="AD70" i="31"/>
  <c r="AE70" i="31"/>
  <c r="AF70" i="31"/>
  <c r="AG70" i="31"/>
  <c r="AJ70" i="31"/>
  <c r="AK70" i="31"/>
  <c r="AL70" i="31"/>
  <c r="AM70" i="31"/>
  <c r="AN70" i="31"/>
  <c r="AO70" i="31"/>
  <c r="AP70" i="31"/>
  <c r="AQ70" i="31"/>
  <c r="AR70" i="31"/>
  <c r="AU70" i="31"/>
  <c r="AV70" i="31"/>
  <c r="AW70" i="31"/>
  <c r="AX70" i="31"/>
  <c r="AY70" i="31"/>
  <c r="AZ70" i="31"/>
  <c r="BA70" i="31"/>
  <c r="BB70" i="31"/>
  <c r="BC70" i="31"/>
  <c r="F71" i="31"/>
  <c r="G71" i="31"/>
  <c r="H71" i="31"/>
  <c r="I71" i="31"/>
  <c r="J71" i="31"/>
  <c r="M71" i="31"/>
  <c r="N71" i="31"/>
  <c r="O71" i="31"/>
  <c r="P71" i="31"/>
  <c r="Q71" i="31"/>
  <c r="R71" i="31"/>
  <c r="S71" i="31"/>
  <c r="T71" i="31"/>
  <c r="U71" i="31"/>
  <c r="X71" i="31"/>
  <c r="Y71" i="31"/>
  <c r="Z71" i="31"/>
  <c r="AA71" i="31"/>
  <c r="AB71" i="31"/>
  <c r="AC71" i="31"/>
  <c r="AD71" i="31"/>
  <c r="AE71" i="31"/>
  <c r="AF71" i="31"/>
  <c r="AG71" i="31"/>
  <c r="AI71" i="31"/>
  <c r="AJ71" i="31"/>
  <c r="AK71" i="31"/>
  <c r="AL71" i="31"/>
  <c r="AM71" i="31"/>
  <c r="AN71" i="31"/>
  <c r="AO71" i="31"/>
  <c r="AP71" i="31"/>
  <c r="AQ71" i="31"/>
  <c r="AR71" i="31"/>
  <c r="AT71" i="31"/>
  <c r="AU71" i="31"/>
  <c r="AV71" i="31"/>
  <c r="AW71" i="31"/>
  <c r="AX71" i="31"/>
  <c r="AY71" i="31"/>
  <c r="AZ71" i="31"/>
  <c r="BA71" i="31"/>
  <c r="BB71" i="31"/>
  <c r="BC71" i="31"/>
  <c r="F82" i="31"/>
  <c r="G82" i="31"/>
  <c r="M82" i="31"/>
  <c r="N82" i="31"/>
  <c r="O82" i="31"/>
  <c r="P82" i="31"/>
  <c r="Q82" i="31"/>
  <c r="R82" i="31"/>
  <c r="S82" i="31"/>
  <c r="T82" i="31"/>
  <c r="U82" i="31"/>
  <c r="X82" i="31"/>
  <c r="Y82" i="31"/>
  <c r="Z82" i="31"/>
  <c r="AA82" i="31"/>
  <c r="AB82" i="31"/>
  <c r="AC82" i="31"/>
  <c r="AD82" i="31"/>
  <c r="AE82" i="31"/>
  <c r="AF82" i="31"/>
  <c r="AG82" i="31"/>
  <c r="AI82" i="31"/>
  <c r="AJ82" i="31"/>
  <c r="AK82" i="31"/>
  <c r="AL82" i="31"/>
  <c r="AM82" i="31"/>
  <c r="AN82" i="31"/>
  <c r="AO82" i="31"/>
  <c r="AP82" i="31"/>
  <c r="AQ82" i="31"/>
  <c r="AR82" i="31"/>
  <c r="AT82" i="31"/>
  <c r="AU82" i="31"/>
  <c r="AV82" i="31"/>
  <c r="AW82" i="31"/>
  <c r="AX82" i="31"/>
  <c r="AY82" i="31"/>
  <c r="AZ82" i="31"/>
  <c r="BA82" i="31"/>
  <c r="BB82" i="31"/>
  <c r="BC82" i="31"/>
  <c r="F83" i="31"/>
  <c r="G83" i="31"/>
  <c r="M85" i="31"/>
  <c r="N85" i="31"/>
  <c r="O85" i="31"/>
  <c r="P85" i="31"/>
  <c r="Q85" i="31"/>
  <c r="R85" i="31"/>
  <c r="S85" i="31"/>
  <c r="T85" i="31"/>
  <c r="U85" i="31"/>
  <c r="M87" i="31"/>
  <c r="N87" i="31"/>
  <c r="P87" i="31"/>
  <c r="T87" i="31"/>
  <c r="U87" i="31"/>
  <c r="D3" i="42"/>
  <c r="F3" i="42"/>
  <c r="G3" i="42"/>
  <c r="H3" i="42"/>
  <c r="I3" i="42"/>
  <c r="J3" i="42"/>
  <c r="K3" i="42"/>
  <c r="L3" i="42"/>
  <c r="M3" i="42"/>
  <c r="N3" i="42"/>
  <c r="O3" i="42"/>
  <c r="P3" i="42"/>
  <c r="Q3" i="42"/>
  <c r="R3" i="42"/>
  <c r="S3" i="42"/>
  <c r="T3" i="42"/>
  <c r="U3" i="42"/>
  <c r="V3" i="42"/>
  <c r="W3" i="42"/>
  <c r="X3" i="42"/>
  <c r="Y3" i="42"/>
  <c r="Z3" i="42"/>
  <c r="D4" i="42"/>
  <c r="H4" i="42"/>
  <c r="I4" i="42"/>
  <c r="J4" i="42"/>
  <c r="K4" i="42"/>
  <c r="L4" i="42"/>
  <c r="M4" i="42"/>
  <c r="N4" i="42"/>
  <c r="O4" i="42"/>
  <c r="P4" i="42"/>
  <c r="Q4" i="42"/>
  <c r="R4" i="42"/>
  <c r="S4" i="42"/>
  <c r="T4" i="42"/>
  <c r="U4" i="42"/>
  <c r="V4" i="42"/>
  <c r="W4" i="42"/>
  <c r="X4" i="42"/>
  <c r="Y4" i="42"/>
  <c r="Z4" i="42"/>
  <c r="D5" i="42"/>
  <c r="J5" i="42"/>
  <c r="K5" i="42"/>
  <c r="L5" i="42"/>
  <c r="M5" i="42"/>
  <c r="N5" i="42"/>
  <c r="O5" i="42"/>
  <c r="P5" i="42"/>
  <c r="Q5" i="42"/>
  <c r="R5" i="42"/>
  <c r="S5" i="42"/>
  <c r="T5" i="42"/>
  <c r="U5" i="42"/>
  <c r="V5" i="42"/>
  <c r="W5" i="42"/>
  <c r="X5" i="42"/>
  <c r="Y5" i="42"/>
  <c r="Z5" i="42"/>
  <c r="F6" i="42"/>
  <c r="G6" i="42"/>
  <c r="H6" i="42"/>
  <c r="I6" i="42"/>
  <c r="J6" i="42"/>
  <c r="K6" i="42"/>
  <c r="L6" i="42"/>
  <c r="M6" i="42"/>
  <c r="N6" i="42"/>
  <c r="O6" i="42"/>
  <c r="P6" i="42"/>
  <c r="Q6" i="42"/>
  <c r="R6" i="42"/>
  <c r="S6" i="42"/>
  <c r="T6" i="42"/>
  <c r="U6" i="42"/>
  <c r="V6" i="42"/>
  <c r="W6" i="42"/>
  <c r="X6" i="42"/>
  <c r="Y6" i="42"/>
  <c r="Z6" i="42"/>
  <c r="D8" i="42"/>
  <c r="D9" i="42"/>
  <c r="D12" i="42"/>
  <c r="F12" i="42"/>
  <c r="G12" i="42"/>
  <c r="H12" i="42"/>
  <c r="I12" i="42"/>
  <c r="J12" i="42"/>
  <c r="K12" i="42"/>
  <c r="L12" i="42"/>
  <c r="M12" i="42"/>
  <c r="N12" i="42"/>
  <c r="O12" i="42"/>
  <c r="P12" i="42"/>
  <c r="Q12" i="42"/>
  <c r="R12" i="42"/>
  <c r="S12" i="42"/>
  <c r="T12" i="42"/>
  <c r="U12" i="42"/>
  <c r="V12" i="42"/>
  <c r="W12" i="42"/>
  <c r="X12" i="42"/>
  <c r="Y12" i="42"/>
  <c r="Z12" i="42"/>
  <c r="D13" i="42"/>
  <c r="H13" i="42"/>
  <c r="I13" i="42"/>
  <c r="J13" i="42"/>
  <c r="K13" i="42"/>
  <c r="L13" i="42"/>
  <c r="M13" i="42"/>
  <c r="N13" i="42"/>
  <c r="O13" i="42"/>
  <c r="P13" i="42"/>
  <c r="Q13" i="42"/>
  <c r="R13" i="42"/>
  <c r="S13" i="42"/>
  <c r="T13" i="42"/>
  <c r="U13" i="42"/>
  <c r="V13" i="42"/>
  <c r="W13" i="42"/>
  <c r="X13" i="42"/>
  <c r="Y13" i="42"/>
  <c r="Z13" i="42"/>
  <c r="D14" i="42"/>
  <c r="J14" i="42"/>
  <c r="K14" i="42"/>
  <c r="L14" i="42"/>
  <c r="M14" i="42"/>
  <c r="N14" i="42"/>
  <c r="O14" i="42"/>
  <c r="P14" i="42"/>
  <c r="Q14" i="42"/>
  <c r="R14" i="42"/>
  <c r="S14" i="42"/>
  <c r="T14" i="42"/>
  <c r="U14" i="42"/>
  <c r="V14" i="42"/>
  <c r="W14" i="42"/>
  <c r="X14" i="42"/>
  <c r="Y14" i="42"/>
  <c r="Z14" i="42"/>
  <c r="F15" i="42"/>
  <c r="G15" i="42"/>
  <c r="H15" i="42"/>
  <c r="I15" i="42"/>
  <c r="J15" i="42"/>
  <c r="K15" i="42"/>
  <c r="L15" i="42"/>
  <c r="M15" i="42"/>
  <c r="N15" i="42"/>
  <c r="O15" i="42"/>
  <c r="P15" i="42"/>
  <c r="Q15" i="42"/>
  <c r="R15" i="42"/>
  <c r="S15" i="42"/>
  <c r="T15" i="42"/>
  <c r="U15" i="42"/>
  <c r="V15" i="42"/>
  <c r="W15" i="42"/>
  <c r="X15" i="42"/>
  <c r="Y15" i="42"/>
  <c r="Z15" i="42"/>
  <c r="D17" i="42"/>
  <c r="D18" i="42"/>
  <c r="D21" i="42"/>
  <c r="F21" i="42"/>
  <c r="G21" i="42"/>
  <c r="H21" i="42"/>
  <c r="I21" i="42"/>
  <c r="J21" i="42"/>
  <c r="K21" i="42"/>
  <c r="L21" i="42"/>
  <c r="M21" i="42"/>
  <c r="N21" i="42"/>
  <c r="O21" i="42"/>
  <c r="P21" i="42"/>
  <c r="Q21" i="42"/>
  <c r="R21" i="42"/>
  <c r="S21" i="42"/>
  <c r="T21" i="42"/>
  <c r="U21" i="42"/>
  <c r="V21" i="42"/>
  <c r="W21" i="42"/>
  <c r="X21" i="42"/>
  <c r="Y21" i="42"/>
  <c r="Z21" i="42"/>
  <c r="D22" i="42"/>
  <c r="H22" i="42"/>
  <c r="I22" i="42"/>
  <c r="J22" i="42"/>
  <c r="K22" i="42"/>
  <c r="L22" i="42"/>
  <c r="M22" i="42"/>
  <c r="N22" i="42"/>
  <c r="O22" i="42"/>
  <c r="P22" i="42"/>
  <c r="Q22" i="42"/>
  <c r="R22" i="42"/>
  <c r="S22" i="42"/>
  <c r="T22" i="42"/>
  <c r="U22" i="42"/>
  <c r="V22" i="42"/>
  <c r="W22" i="42"/>
  <c r="X22" i="42"/>
  <c r="Y22" i="42"/>
  <c r="Z22" i="42"/>
  <c r="D23" i="42"/>
  <c r="J23" i="42"/>
  <c r="K23" i="42"/>
  <c r="L23" i="42"/>
  <c r="M23" i="42"/>
  <c r="N23" i="42"/>
  <c r="O23" i="42"/>
  <c r="P23" i="42"/>
  <c r="Q23" i="42"/>
  <c r="R23" i="42"/>
  <c r="S23" i="42"/>
  <c r="T23" i="42"/>
  <c r="U23" i="42"/>
  <c r="V23" i="42"/>
  <c r="W23" i="42"/>
  <c r="X23" i="42"/>
  <c r="Y23" i="42"/>
  <c r="Z23" i="42"/>
  <c r="F24" i="42"/>
  <c r="G24" i="42"/>
  <c r="H24" i="42"/>
  <c r="I24" i="42"/>
  <c r="J24" i="42"/>
  <c r="K24" i="42"/>
  <c r="L24" i="42"/>
  <c r="M24" i="42"/>
  <c r="N24" i="42"/>
  <c r="O24" i="42"/>
  <c r="P24" i="42"/>
  <c r="Q24" i="42"/>
  <c r="R24" i="42"/>
  <c r="S24" i="42"/>
  <c r="T24" i="42"/>
  <c r="U24" i="42"/>
  <c r="V24" i="42"/>
  <c r="W24" i="42"/>
  <c r="X24" i="42"/>
  <c r="Y24" i="42"/>
  <c r="Z24" i="42"/>
  <c r="D26" i="42"/>
  <c r="D27" i="42"/>
  <c r="D30" i="42"/>
  <c r="F30" i="42"/>
  <c r="G30" i="42"/>
  <c r="H30" i="42"/>
  <c r="I30" i="42"/>
  <c r="J30" i="42"/>
  <c r="K30" i="42"/>
  <c r="L30" i="42"/>
  <c r="M30" i="42"/>
  <c r="N30" i="42"/>
  <c r="O30" i="42"/>
  <c r="P30" i="42"/>
  <c r="Q30" i="42"/>
  <c r="R30" i="42"/>
  <c r="S30" i="42"/>
  <c r="T30" i="42"/>
  <c r="U30" i="42"/>
  <c r="V30" i="42"/>
  <c r="W30" i="42"/>
  <c r="X30" i="42"/>
  <c r="Y30" i="42"/>
  <c r="Z30" i="42"/>
  <c r="D31" i="42"/>
  <c r="H31" i="42"/>
  <c r="I31" i="42"/>
  <c r="J31" i="42"/>
  <c r="K31" i="42"/>
  <c r="L31" i="42"/>
  <c r="M31" i="42"/>
  <c r="N31" i="42"/>
  <c r="O31" i="42"/>
  <c r="P31" i="42"/>
  <c r="Q31" i="42"/>
  <c r="R31" i="42"/>
  <c r="S31" i="42"/>
  <c r="T31" i="42"/>
  <c r="U31" i="42"/>
  <c r="V31" i="42"/>
  <c r="W31" i="42"/>
  <c r="X31" i="42"/>
  <c r="Y31" i="42"/>
  <c r="Z31" i="42"/>
  <c r="D32" i="42"/>
  <c r="J32" i="42"/>
  <c r="K32" i="42"/>
  <c r="L32" i="42"/>
  <c r="M32" i="42"/>
  <c r="N32" i="42"/>
  <c r="O32" i="42"/>
  <c r="P32" i="42"/>
  <c r="Q32" i="42"/>
  <c r="R32" i="42"/>
  <c r="S32" i="42"/>
  <c r="T32" i="42"/>
  <c r="U32" i="42"/>
  <c r="V32" i="42"/>
  <c r="W32" i="42"/>
  <c r="X32" i="42"/>
  <c r="Y32" i="42"/>
  <c r="Z32" i="42"/>
  <c r="F33" i="42"/>
  <c r="G33" i="42"/>
  <c r="H33" i="42"/>
  <c r="I33" i="42"/>
  <c r="J33" i="42"/>
  <c r="K33" i="42"/>
  <c r="L33" i="42"/>
  <c r="M33" i="42"/>
  <c r="N33" i="42"/>
  <c r="O33" i="42"/>
  <c r="P33" i="42"/>
  <c r="Q33" i="42"/>
  <c r="R33" i="42"/>
  <c r="S33" i="42"/>
  <c r="T33" i="42"/>
  <c r="U33" i="42"/>
  <c r="V33" i="42"/>
  <c r="W33" i="42"/>
  <c r="X33" i="42"/>
  <c r="Y33" i="42"/>
  <c r="Z33" i="42"/>
  <c r="D35" i="42"/>
  <c r="D36" i="42"/>
  <c r="F39" i="42"/>
  <c r="G39" i="42"/>
  <c r="H39" i="42"/>
  <c r="I39" i="42"/>
  <c r="J39" i="42"/>
  <c r="K39" i="42"/>
  <c r="L39" i="42"/>
  <c r="M39" i="42"/>
  <c r="N39" i="42"/>
  <c r="O39" i="42"/>
  <c r="P39" i="42"/>
  <c r="Q39" i="42"/>
  <c r="R39" i="42"/>
  <c r="S39" i="42"/>
  <c r="T39" i="42"/>
  <c r="U39" i="42"/>
  <c r="V39" i="42"/>
  <c r="W39" i="42"/>
  <c r="X39" i="42"/>
  <c r="Y39" i="42"/>
  <c r="Z39" i="42"/>
  <c r="F40" i="42"/>
  <c r="G40" i="42"/>
  <c r="H40" i="42"/>
  <c r="I40" i="42"/>
  <c r="J40" i="42"/>
  <c r="K40" i="42"/>
  <c r="L40" i="42"/>
  <c r="M40" i="42"/>
  <c r="N40" i="42"/>
  <c r="O40" i="42"/>
  <c r="P40" i="42"/>
  <c r="Q40" i="42"/>
  <c r="R40" i="42"/>
  <c r="S40" i="42"/>
  <c r="T40" i="42"/>
  <c r="U40" i="42"/>
  <c r="V40" i="42"/>
  <c r="W40" i="42"/>
  <c r="X40" i="42"/>
  <c r="Y40" i="42"/>
  <c r="Z40" i="42"/>
  <c r="H41" i="42"/>
  <c r="I41" i="42"/>
  <c r="J41" i="42"/>
  <c r="K41" i="42"/>
  <c r="L41" i="42"/>
  <c r="M41" i="42"/>
  <c r="N41" i="42"/>
  <c r="O41" i="42"/>
  <c r="P41" i="42"/>
  <c r="Q41" i="42"/>
  <c r="R41" i="42"/>
  <c r="S41" i="42"/>
  <c r="T41" i="42"/>
  <c r="U41" i="42"/>
  <c r="V41" i="42"/>
  <c r="W41" i="42"/>
  <c r="X41" i="42"/>
  <c r="Y41" i="42"/>
  <c r="Z41" i="42"/>
  <c r="H42" i="42"/>
  <c r="I42" i="42"/>
  <c r="J42" i="42"/>
  <c r="K42" i="42"/>
  <c r="L42" i="42"/>
  <c r="M42" i="42"/>
  <c r="N42" i="42"/>
  <c r="O42" i="42"/>
  <c r="P42" i="42"/>
  <c r="Q42" i="42"/>
  <c r="R42" i="42"/>
  <c r="S42" i="42"/>
  <c r="T42" i="42"/>
  <c r="U42" i="42"/>
  <c r="V42" i="42"/>
  <c r="W42" i="42"/>
  <c r="X42" i="42"/>
  <c r="Y42" i="42"/>
  <c r="Z42" i="42"/>
  <c r="J43" i="42"/>
  <c r="K43" i="42"/>
  <c r="L43" i="42"/>
  <c r="M43" i="42"/>
  <c r="N43" i="42"/>
  <c r="O43" i="42"/>
  <c r="P43" i="42"/>
  <c r="Q43" i="42"/>
  <c r="R43" i="42"/>
  <c r="S43" i="42"/>
  <c r="T43" i="42"/>
  <c r="U43" i="42"/>
  <c r="V43" i="42"/>
  <c r="W43" i="42"/>
  <c r="X43" i="42"/>
  <c r="Y43" i="42"/>
  <c r="Z43" i="42"/>
  <c r="J44" i="42"/>
  <c r="K44" i="42"/>
  <c r="L44" i="42"/>
  <c r="M44" i="42"/>
  <c r="N44" i="42"/>
  <c r="O44" i="42"/>
  <c r="P44" i="42"/>
  <c r="Q44" i="42"/>
  <c r="R44" i="42"/>
  <c r="S44" i="42"/>
  <c r="T44" i="42"/>
  <c r="U44" i="42"/>
  <c r="V44" i="42"/>
  <c r="W44" i="42"/>
  <c r="X44" i="42"/>
  <c r="Y44" i="42"/>
  <c r="Z44" i="42"/>
  <c r="F45" i="42"/>
  <c r="G45" i="42"/>
  <c r="H45" i="42"/>
  <c r="I45" i="42"/>
  <c r="J45" i="42"/>
  <c r="K45" i="42"/>
  <c r="L45" i="42"/>
  <c r="M45" i="42"/>
  <c r="N45" i="42"/>
  <c r="O45" i="42"/>
  <c r="P45" i="42"/>
  <c r="Q45" i="42"/>
  <c r="R45" i="42"/>
  <c r="S45" i="42"/>
  <c r="T45" i="42"/>
  <c r="U45" i="42"/>
  <c r="V45" i="42"/>
  <c r="W45" i="42"/>
  <c r="X45" i="42"/>
  <c r="Y45" i="42"/>
  <c r="Z45" i="42"/>
  <c r="F46" i="42"/>
  <c r="G46" i="42"/>
  <c r="H46" i="42"/>
  <c r="I46" i="42"/>
  <c r="J46" i="42"/>
  <c r="K46" i="42"/>
  <c r="L46" i="42"/>
  <c r="M46" i="42"/>
  <c r="N46" i="42"/>
  <c r="O46" i="42"/>
  <c r="P46" i="42"/>
  <c r="Q46" i="42"/>
  <c r="R46" i="42"/>
  <c r="S46" i="42"/>
  <c r="T46" i="42"/>
  <c r="U46" i="42"/>
  <c r="V46" i="42"/>
  <c r="W46" i="42"/>
  <c r="X46" i="42"/>
  <c r="Y46" i="42"/>
  <c r="Z46" i="42"/>
  <c r="F48" i="42"/>
  <c r="G48" i="42"/>
  <c r="H48" i="42"/>
  <c r="I48" i="42"/>
  <c r="J48" i="42"/>
  <c r="K48" i="42"/>
  <c r="L48" i="42"/>
  <c r="M48" i="42"/>
  <c r="N48" i="42"/>
  <c r="O48" i="42"/>
  <c r="P48" i="42"/>
  <c r="Q48" i="42"/>
  <c r="R48" i="42"/>
  <c r="S48" i="42"/>
  <c r="T48" i="42"/>
  <c r="U48" i="42"/>
  <c r="V48" i="42"/>
  <c r="W48" i="42"/>
  <c r="X48" i="42"/>
  <c r="Y48" i="42"/>
  <c r="Z48" i="42"/>
  <c r="H49" i="42"/>
  <c r="I49" i="42"/>
  <c r="J49" i="42"/>
  <c r="K49" i="42"/>
  <c r="L49" i="42"/>
  <c r="M49" i="42"/>
  <c r="N49" i="42"/>
  <c r="O49" i="42"/>
  <c r="P49" i="42"/>
  <c r="Q49" i="42"/>
  <c r="R49" i="42"/>
  <c r="S49" i="42"/>
  <c r="T49" i="42"/>
  <c r="U49" i="42"/>
  <c r="V49" i="42"/>
  <c r="W49" i="42"/>
  <c r="X49" i="42"/>
  <c r="Y49" i="42"/>
  <c r="Z49" i="42"/>
  <c r="J50" i="42"/>
  <c r="K50" i="42"/>
  <c r="L50" i="42"/>
  <c r="M50" i="42"/>
  <c r="N50" i="42"/>
  <c r="O50" i="42"/>
  <c r="P50" i="42"/>
  <c r="Q50" i="42"/>
  <c r="R50" i="42"/>
  <c r="S50" i="42"/>
  <c r="T50" i="42"/>
  <c r="U50" i="42"/>
  <c r="V50" i="42"/>
  <c r="W50" i="42"/>
  <c r="X50" i="42"/>
  <c r="Y50" i="42"/>
  <c r="Z50" i="42"/>
  <c r="F51" i="42"/>
  <c r="G51" i="42"/>
  <c r="H51" i="42"/>
  <c r="I51" i="42"/>
  <c r="J51" i="42"/>
  <c r="K51" i="42"/>
  <c r="L51" i="42"/>
  <c r="M51" i="42"/>
  <c r="N51" i="42"/>
  <c r="O51" i="42"/>
  <c r="P51" i="42"/>
  <c r="Q51" i="42"/>
  <c r="R51" i="42"/>
  <c r="S51" i="42"/>
  <c r="T51" i="42"/>
  <c r="U51" i="42"/>
  <c r="V51" i="42"/>
  <c r="W51" i="42"/>
  <c r="X51" i="42"/>
  <c r="Y51" i="42"/>
  <c r="Z51" i="42"/>
  <c r="C55" i="42"/>
  <c r="D55" i="42"/>
  <c r="E55" i="42"/>
  <c r="C56" i="42"/>
  <c r="D56" i="42"/>
  <c r="E56" i="42"/>
  <c r="C57" i="42"/>
  <c r="D57" i="42"/>
  <c r="E57" i="42"/>
  <c r="C58" i="42"/>
  <c r="D58" i="42"/>
  <c r="E58" i="42"/>
  <c r="F3" i="39"/>
  <c r="G3" i="39"/>
  <c r="H3" i="39"/>
  <c r="I3" i="39"/>
  <c r="F4" i="39"/>
  <c r="G4" i="39"/>
  <c r="H4" i="39"/>
  <c r="E5" i="39"/>
  <c r="G5" i="39"/>
  <c r="H5" i="39"/>
  <c r="J5" i="39"/>
  <c r="L5" i="39"/>
  <c r="N5" i="39"/>
  <c r="E6" i="39"/>
  <c r="F6" i="39"/>
  <c r="G6" i="39"/>
  <c r="H6" i="39"/>
  <c r="J6" i="39"/>
  <c r="L6" i="39"/>
  <c r="N6" i="39"/>
  <c r="E7" i="39"/>
  <c r="F7" i="39"/>
  <c r="H7" i="39"/>
  <c r="J7" i="39"/>
  <c r="L7" i="39"/>
  <c r="N7" i="39"/>
  <c r="E8" i="39"/>
  <c r="F8" i="39"/>
  <c r="G8" i="39"/>
  <c r="H8" i="39"/>
  <c r="J8" i="39"/>
  <c r="L8" i="39"/>
  <c r="N8" i="39"/>
  <c r="E9" i="39"/>
  <c r="F9" i="39"/>
  <c r="G9" i="39"/>
  <c r="H9" i="39"/>
  <c r="J9" i="39"/>
  <c r="L9" i="39"/>
  <c r="N9" i="39"/>
  <c r="E10" i="39"/>
  <c r="F10" i="39"/>
  <c r="G10" i="39"/>
  <c r="H10" i="39"/>
  <c r="J10" i="39"/>
  <c r="L10" i="39"/>
  <c r="N10" i="39"/>
  <c r="E13" i="39"/>
  <c r="F13" i="39"/>
  <c r="G13" i="39"/>
  <c r="H13" i="39"/>
  <c r="E15" i="39"/>
  <c r="G15" i="39"/>
  <c r="H15" i="39"/>
  <c r="I15" i="39"/>
  <c r="K15" i="39"/>
  <c r="M15" i="39"/>
  <c r="E16" i="39"/>
  <c r="F16" i="39"/>
  <c r="G16" i="39"/>
  <c r="H16" i="39"/>
  <c r="I16" i="39"/>
  <c r="K16" i="39"/>
  <c r="M16" i="39"/>
  <c r="E17" i="39"/>
  <c r="F17" i="39"/>
  <c r="H17" i="39"/>
  <c r="I17" i="39"/>
  <c r="K17" i="39"/>
  <c r="M17" i="39"/>
  <c r="E18" i="39"/>
  <c r="F18" i="39"/>
  <c r="G18" i="39"/>
  <c r="H18" i="39"/>
  <c r="I18" i="39"/>
  <c r="K18" i="39"/>
  <c r="M18" i="39"/>
  <c r="E19" i="39"/>
  <c r="F19" i="39"/>
  <c r="G19" i="39"/>
  <c r="H19" i="39"/>
  <c r="I19" i="39"/>
  <c r="K19" i="39"/>
  <c r="M19" i="39"/>
  <c r="E20" i="39"/>
  <c r="F20" i="39"/>
  <c r="G20" i="39"/>
  <c r="H20" i="39"/>
  <c r="I20" i="39"/>
  <c r="K20" i="39"/>
  <c r="M20" i="39"/>
  <c r="F23" i="39"/>
  <c r="G23" i="39"/>
  <c r="H23" i="39"/>
  <c r="E26" i="39"/>
  <c r="F26" i="39"/>
  <c r="G26" i="39"/>
  <c r="H26" i="39"/>
  <c r="E28" i="39"/>
  <c r="F28" i="39"/>
  <c r="G28" i="39"/>
  <c r="H28" i="39"/>
  <c r="F30" i="39"/>
  <c r="G30" i="39"/>
  <c r="H30" i="39"/>
  <c r="E31" i="39"/>
  <c r="F31" i="39"/>
  <c r="G31" i="39"/>
  <c r="H31" i="39"/>
  <c r="J31" i="39"/>
  <c r="L31" i="39"/>
  <c r="N31" i="39"/>
  <c r="E34" i="39"/>
  <c r="F34" i="39"/>
  <c r="G34" i="39"/>
  <c r="H34" i="39"/>
  <c r="E36" i="39"/>
  <c r="F36" i="39"/>
  <c r="G36" i="39"/>
  <c r="H36" i="39"/>
  <c r="I36" i="39"/>
  <c r="K36" i="39"/>
  <c r="M36" i="39"/>
  <c r="F39" i="39"/>
  <c r="G39" i="39"/>
  <c r="H39" i="39"/>
  <c r="E42" i="39"/>
  <c r="F42" i="39"/>
  <c r="G42" i="39"/>
  <c r="H42" i="39"/>
  <c r="E44" i="39"/>
  <c r="F44" i="39"/>
  <c r="G44" i="39"/>
  <c r="H44" i="39"/>
  <c r="F46" i="39"/>
  <c r="G46" i="39"/>
  <c r="H46" i="39"/>
  <c r="E47" i="39"/>
  <c r="F47" i="39"/>
  <c r="H47" i="39"/>
  <c r="J47" i="39"/>
  <c r="L47" i="39"/>
  <c r="N47" i="39"/>
  <c r="E50" i="39"/>
  <c r="F50" i="39"/>
  <c r="H50" i="39"/>
  <c r="E52" i="39"/>
  <c r="F52" i="39"/>
  <c r="H52" i="39"/>
  <c r="M52" i="39"/>
  <c r="F55" i="39"/>
  <c r="H55" i="39"/>
  <c r="E58" i="39"/>
  <c r="F58" i="39"/>
  <c r="H58" i="39"/>
  <c r="E60" i="39"/>
  <c r="F60" i="39"/>
  <c r="H60" i="39"/>
  <c r="E62" i="39"/>
  <c r="F62" i="39"/>
  <c r="G62" i="39"/>
  <c r="H62" i="39"/>
  <c r="I62" i="39"/>
  <c r="K62" i="39"/>
  <c r="M62" i="39"/>
  <c r="E63" i="39"/>
  <c r="F63" i="39"/>
  <c r="G63" i="39"/>
  <c r="H63" i="39"/>
  <c r="J63" i="39"/>
  <c r="L63" i="39"/>
  <c r="N63" i="39"/>
  <c r="E64" i="39"/>
  <c r="F64" i="39"/>
  <c r="G64" i="39"/>
  <c r="H64" i="39"/>
  <c r="E68" i="39"/>
  <c r="F68" i="39"/>
  <c r="E69" i="39"/>
  <c r="F69" i="39"/>
  <c r="E70" i="39"/>
  <c r="F70" i="39"/>
  <c r="E71" i="39"/>
  <c r="F71" i="39"/>
  <c r="E72" i="39"/>
  <c r="F72" i="39"/>
  <c r="E73" i="39"/>
  <c r="F73" i="39"/>
  <c r="E74" i="39"/>
  <c r="F74" i="39"/>
  <c r="E75" i="39"/>
  <c r="F75" i="39"/>
  <c r="E76" i="39"/>
  <c r="F76" i="39"/>
  <c r="E79" i="39"/>
  <c r="F79" i="39"/>
  <c r="E80" i="39"/>
  <c r="F80" i="39"/>
  <c r="E81" i="39"/>
  <c r="F81" i="39"/>
  <c r="E82" i="39"/>
  <c r="F82" i="39"/>
  <c r="E83" i="39"/>
  <c r="F83" i="39"/>
  <c r="E84" i="39"/>
  <c r="F84" i="39"/>
  <c r="E85" i="39"/>
  <c r="F85" i="39"/>
  <c r="E86" i="39"/>
  <c r="F86" i="39"/>
  <c r="E89" i="39"/>
  <c r="E90" i="39"/>
  <c r="E91" i="39"/>
  <c r="E97" i="39"/>
  <c r="F97" i="39"/>
  <c r="E98" i="39"/>
  <c r="F98" i="39"/>
  <c r="E99" i="39"/>
  <c r="F99" i="39"/>
  <c r="E100" i="39"/>
  <c r="F100" i="39"/>
  <c r="E101" i="39"/>
  <c r="F101" i="39"/>
  <c r="E102" i="39"/>
  <c r="F102" i="39"/>
  <c r="E103" i="39"/>
  <c r="F103" i="39"/>
  <c r="E104" i="39"/>
  <c r="F104" i="39"/>
  <c r="E105" i="39"/>
  <c r="F105" i="39"/>
  <c r="E108" i="39"/>
  <c r="F108" i="39"/>
  <c r="E109" i="39"/>
  <c r="F109" i="39"/>
  <c r="E110" i="39"/>
  <c r="F110" i="39"/>
  <c r="E111" i="39"/>
  <c r="F111" i="39"/>
  <c r="E112" i="39"/>
  <c r="F112" i="39"/>
  <c r="E113" i="39"/>
  <c r="F113" i="39"/>
  <c r="E115" i="39"/>
  <c r="F115" i="39"/>
  <c r="E118" i="39"/>
  <c r="E119" i="39"/>
  <c r="E120" i="39"/>
  <c r="E126" i="39"/>
  <c r="F126" i="39"/>
  <c r="E127" i="39"/>
  <c r="F127" i="39"/>
  <c r="E128" i="39"/>
  <c r="F128" i="39"/>
  <c r="E129" i="39"/>
  <c r="F129" i="39"/>
  <c r="E130" i="39"/>
  <c r="F130" i="39"/>
  <c r="E131" i="39"/>
  <c r="F131" i="39"/>
  <c r="E132" i="39"/>
  <c r="F132" i="39"/>
  <c r="E133" i="39"/>
  <c r="F133" i="39"/>
  <c r="E134" i="39"/>
  <c r="F134" i="39"/>
  <c r="E137" i="39"/>
  <c r="F137" i="39"/>
  <c r="E138" i="39"/>
  <c r="F138" i="39"/>
  <c r="E139" i="39"/>
  <c r="F139" i="39"/>
  <c r="E140" i="39"/>
  <c r="F140" i="39"/>
  <c r="E142" i="39"/>
  <c r="F142" i="39"/>
  <c r="E144" i="39"/>
  <c r="F144" i="39"/>
  <c r="E147" i="39"/>
  <c r="E148" i="39"/>
  <c r="E149" i="39"/>
  <c r="E155" i="39"/>
  <c r="F155" i="39"/>
  <c r="E156" i="39"/>
  <c r="F156" i="39"/>
  <c r="E157" i="39"/>
  <c r="F157" i="39"/>
  <c r="E158" i="39"/>
  <c r="F158" i="39"/>
  <c r="E159" i="39"/>
  <c r="F159" i="39"/>
  <c r="E160" i="39"/>
  <c r="F160" i="39"/>
  <c r="E161" i="39"/>
  <c r="F161" i="39"/>
  <c r="E162" i="39"/>
  <c r="F162" i="39"/>
  <c r="E163" i="39"/>
  <c r="F163" i="39"/>
  <c r="E166" i="39"/>
  <c r="F166" i="39"/>
  <c r="E167" i="39"/>
  <c r="F167" i="39"/>
  <c r="E168" i="39"/>
  <c r="F168" i="39"/>
  <c r="E169" i="39"/>
  <c r="F169" i="39"/>
  <c r="E170" i="39"/>
  <c r="F170" i="39"/>
  <c r="E171" i="39"/>
  <c r="F171" i="39"/>
  <c r="E172" i="39"/>
  <c r="F172" i="39"/>
  <c r="E173" i="39"/>
  <c r="F173" i="39"/>
  <c r="E176" i="39"/>
  <c r="E177" i="39"/>
  <c r="E178" i="39"/>
  <c r="D9" i="28"/>
  <c r="E9" i="28"/>
  <c r="F9" i="28"/>
  <c r="G9" i="28"/>
  <c r="H9" i="28"/>
  <c r="I9" i="28"/>
  <c r="J9" i="28"/>
  <c r="K9" i="28"/>
  <c r="L9" i="28"/>
  <c r="M9" i="28"/>
  <c r="N9" i="28"/>
  <c r="F12" i="28"/>
  <c r="G12" i="28"/>
  <c r="H12" i="28"/>
  <c r="I12" i="28"/>
  <c r="J12" i="28"/>
  <c r="K12" i="28"/>
  <c r="L12" i="28"/>
  <c r="M12" i="28"/>
  <c r="N12" i="28"/>
  <c r="D14" i="28"/>
  <c r="E14" i="28"/>
  <c r="F14" i="28"/>
  <c r="G14" i="28"/>
  <c r="H14" i="28"/>
  <c r="I14" i="28"/>
  <c r="J14" i="28"/>
  <c r="K14" i="28"/>
  <c r="L14" i="28"/>
  <c r="M14" i="28"/>
  <c r="N14" i="28"/>
  <c r="D15" i="28"/>
  <c r="E15" i="28"/>
  <c r="F15" i="28"/>
  <c r="G15" i="28"/>
  <c r="H15" i="28"/>
  <c r="I15" i="28"/>
  <c r="J15" i="28"/>
  <c r="K15" i="28"/>
  <c r="L15" i="28"/>
  <c r="M15" i="28"/>
  <c r="N15" i="28"/>
  <c r="D16" i="28"/>
  <c r="E16" i="28"/>
  <c r="F16" i="28"/>
  <c r="G16" i="28"/>
  <c r="H16" i="28"/>
  <c r="I16" i="28"/>
  <c r="J16" i="28"/>
  <c r="K16" i="28"/>
  <c r="L16" i="28"/>
  <c r="M16" i="28"/>
  <c r="N16" i="28"/>
  <c r="D17" i="28"/>
  <c r="E17" i="28"/>
  <c r="F17" i="28"/>
  <c r="G17" i="28"/>
  <c r="H17" i="28"/>
  <c r="I17" i="28"/>
  <c r="J17" i="28"/>
  <c r="K17" i="28"/>
  <c r="L17" i="28"/>
  <c r="M17" i="28"/>
  <c r="N17" i="28"/>
  <c r="D18" i="28"/>
  <c r="E18" i="28"/>
  <c r="F18" i="28"/>
  <c r="G18" i="28"/>
  <c r="H18" i="28"/>
  <c r="I18" i="28"/>
  <c r="J18" i="28"/>
  <c r="K18" i="28"/>
  <c r="L18" i="28"/>
  <c r="M18" i="28"/>
  <c r="N18" i="28"/>
  <c r="G20" i="28"/>
  <c r="H20" i="28"/>
  <c r="I20" i="28"/>
  <c r="J20" i="28"/>
  <c r="K20" i="28"/>
  <c r="L20" i="28"/>
  <c r="M20" i="28"/>
  <c r="N20" i="28"/>
  <c r="D25" i="28"/>
  <c r="E25" i="28"/>
  <c r="F25" i="28"/>
  <c r="G25" i="28"/>
  <c r="H25" i="28"/>
  <c r="I25" i="28"/>
  <c r="J25" i="28"/>
  <c r="K25" i="28"/>
  <c r="L25" i="28"/>
  <c r="M25" i="28"/>
  <c r="N25" i="28"/>
  <c r="N26" i="28"/>
  <c r="N27" i="28"/>
  <c r="D28" i="28"/>
  <c r="E28" i="28"/>
  <c r="F28" i="28"/>
  <c r="G28" i="28"/>
  <c r="H28" i="28"/>
  <c r="I28" i="28"/>
  <c r="J28" i="28"/>
  <c r="K28" i="28"/>
  <c r="L28" i="28"/>
  <c r="M28" i="28"/>
  <c r="N28" i="28"/>
  <c r="D49" i="28"/>
  <c r="E49" i="28"/>
  <c r="F49" i="28"/>
  <c r="G49" i="28"/>
  <c r="H49" i="28"/>
  <c r="I49" i="28"/>
  <c r="J49" i="28"/>
  <c r="K49" i="28"/>
  <c r="L49" i="28"/>
  <c r="M49" i="28"/>
  <c r="N49" i="28"/>
  <c r="D50" i="28"/>
  <c r="E50" i="28"/>
  <c r="F50" i="28"/>
  <c r="G50" i="28"/>
  <c r="H50" i="28"/>
  <c r="I50" i="28"/>
  <c r="J50" i="28"/>
  <c r="K50" i="28"/>
  <c r="L50" i="28"/>
  <c r="M50" i="28"/>
  <c r="N50" i="28"/>
  <c r="E51" i="28"/>
  <c r="F51" i="28"/>
  <c r="G51" i="28"/>
  <c r="H51" i="28"/>
  <c r="I51" i="28"/>
  <c r="J51" i="28"/>
  <c r="K51" i="28"/>
  <c r="D52" i="28"/>
  <c r="E52" i="28"/>
  <c r="F52" i="28"/>
  <c r="G52" i="28"/>
  <c r="H52" i="28"/>
  <c r="I52" i="28"/>
  <c r="J52" i="28"/>
  <c r="K52" i="28"/>
  <c r="L52" i="28"/>
  <c r="M52" i="28"/>
  <c r="N52" i="28"/>
  <c r="D55" i="28"/>
  <c r="E55" i="28"/>
  <c r="F55" i="28"/>
  <c r="G55" i="28"/>
  <c r="H55" i="28"/>
  <c r="I55" i="28"/>
  <c r="J55" i="28"/>
  <c r="K55" i="28"/>
  <c r="L55" i="28"/>
  <c r="M55" i="28"/>
  <c r="N55" i="28"/>
  <c r="N56" i="28"/>
  <c r="P56" i="28"/>
  <c r="N57" i="28"/>
  <c r="D58" i="28"/>
  <c r="E58" i="28"/>
  <c r="F58" i="28"/>
  <c r="G58" i="28"/>
  <c r="H58" i="28"/>
  <c r="I58" i="28"/>
  <c r="J58" i="28"/>
  <c r="K58" i="28"/>
  <c r="L58" i="28"/>
  <c r="M58" i="28"/>
  <c r="N58" i="28"/>
  <c r="D59" i="28"/>
  <c r="E59" i="28"/>
  <c r="F59" i="28"/>
  <c r="G59" i="28"/>
  <c r="H59" i="28"/>
  <c r="I59" i="28"/>
  <c r="J59" i="28"/>
  <c r="K59" i="28"/>
  <c r="L59" i="28"/>
  <c r="M59" i="28"/>
  <c r="N59" i="28"/>
  <c r="E60" i="28"/>
  <c r="F60" i="28"/>
  <c r="G60" i="28"/>
  <c r="H60" i="28"/>
  <c r="I60" i="28"/>
  <c r="J60" i="28"/>
  <c r="K60" i="28"/>
  <c r="D61" i="28"/>
  <c r="E61" i="28"/>
  <c r="F61" i="28"/>
  <c r="G61" i="28"/>
  <c r="H61" i="28"/>
  <c r="I61" i="28"/>
  <c r="J61" i="28"/>
  <c r="K61" i="28"/>
  <c r="L61" i="28"/>
  <c r="M61" i="28"/>
  <c r="N61" i="28"/>
  <c r="D62" i="28"/>
  <c r="E62" i="28"/>
  <c r="F62" i="28"/>
  <c r="G62" i="28"/>
  <c r="H62" i="28"/>
  <c r="I62" i="28"/>
  <c r="J62" i="28"/>
  <c r="K62" i="28"/>
  <c r="L62" i="28"/>
  <c r="M62" i="28"/>
  <c r="N62" i="28"/>
  <c r="D63" i="28"/>
  <c r="E63" i="28"/>
  <c r="F63" i="28"/>
  <c r="G63" i="28"/>
  <c r="H63" i="28"/>
  <c r="I63" i="28"/>
  <c r="J63" i="28"/>
  <c r="K63" i="28"/>
  <c r="L63" i="28"/>
  <c r="M63" i="28"/>
  <c r="N63" i="28"/>
  <c r="D64" i="28"/>
  <c r="E64" i="28"/>
  <c r="F64" i="28"/>
  <c r="G64" i="28"/>
  <c r="H64" i="28"/>
  <c r="I64" i="28"/>
  <c r="J64" i="28"/>
  <c r="K64" i="28"/>
  <c r="L64" i="28"/>
  <c r="M64" i="28"/>
  <c r="N64" i="28"/>
  <c r="D66" i="28"/>
  <c r="D67" i="28"/>
  <c r="D68" i="28"/>
  <c r="J68" i="28"/>
  <c r="D69" i="28"/>
  <c r="D70" i="28"/>
  <c r="J70" i="28"/>
  <c r="E110" i="28"/>
  <c r="G110" i="28"/>
  <c r="K111" i="28"/>
  <c r="M111" i="28"/>
  <c r="E113" i="28"/>
  <c r="G113" i="28"/>
  <c r="E115" i="28"/>
  <c r="G115" i="28"/>
  <c r="E116" i="28"/>
  <c r="G116" i="28"/>
  <c r="E117" i="28"/>
  <c r="G117" i="28"/>
  <c r="K117" i="28"/>
  <c r="E118" i="28"/>
  <c r="G118" i="28"/>
  <c r="M118" i="28"/>
  <c r="E119" i="28"/>
  <c r="G119" i="28"/>
  <c r="E120" i="28"/>
  <c r="G120" i="28"/>
  <c r="M120" i="28"/>
  <c r="K126" i="28"/>
  <c r="M126" i="28"/>
  <c r="F132" i="28"/>
  <c r="K132" i="28"/>
  <c r="M132" i="28"/>
  <c r="G38" i="43"/>
  <c r="F46" i="38"/>
  <c r="G46" i="38"/>
  <c r="H46" i="38"/>
  <c r="I46" i="38"/>
  <c r="J46" i="38"/>
  <c r="K46" i="38"/>
  <c r="L46" i="38"/>
  <c r="M46" i="38"/>
  <c r="N46" i="38"/>
  <c r="O46" i="38"/>
  <c r="P46" i="38"/>
  <c r="Q46" i="38"/>
  <c r="R46" i="38"/>
  <c r="S46" i="38"/>
  <c r="T46" i="38"/>
  <c r="U46" i="38"/>
  <c r="V46" i="38"/>
  <c r="W46" i="38"/>
  <c r="X46" i="38"/>
  <c r="Y46" i="38"/>
  <c r="Z46" i="38"/>
  <c r="F47" i="38"/>
  <c r="G47" i="38"/>
  <c r="H47" i="38"/>
  <c r="I47" i="38"/>
  <c r="J47" i="38"/>
  <c r="K47" i="38"/>
  <c r="L47" i="38"/>
  <c r="M47" i="38"/>
  <c r="N47" i="38"/>
  <c r="O47" i="38"/>
  <c r="P47" i="38"/>
  <c r="Q47" i="38"/>
  <c r="R47" i="38"/>
  <c r="S47" i="38"/>
  <c r="T47" i="38"/>
  <c r="U47" i="38"/>
  <c r="V47" i="38"/>
  <c r="W47" i="38"/>
  <c r="X47" i="38"/>
  <c r="Y47" i="38"/>
  <c r="Z47" i="38"/>
  <c r="F49" i="38"/>
  <c r="G49" i="38"/>
  <c r="H49" i="38"/>
  <c r="I49" i="38"/>
  <c r="J49" i="38"/>
  <c r="K49" i="38"/>
  <c r="L49" i="38"/>
  <c r="M49" i="38"/>
  <c r="N49" i="38"/>
  <c r="O49" i="38"/>
  <c r="P49" i="38"/>
  <c r="Q49" i="38"/>
  <c r="R49" i="38"/>
  <c r="S49" i="38"/>
  <c r="T49" i="38"/>
  <c r="U49" i="38"/>
  <c r="V49" i="38"/>
  <c r="W49" i="38"/>
  <c r="X49" i="38"/>
  <c r="Y49" i="38"/>
  <c r="Z49" i="38"/>
  <c r="F50" i="38"/>
  <c r="G50" i="38"/>
  <c r="H50" i="38"/>
  <c r="I50" i="38"/>
  <c r="J50" i="38"/>
  <c r="K50" i="38"/>
  <c r="L50" i="38"/>
  <c r="M50" i="38"/>
  <c r="N50" i="38"/>
  <c r="O50" i="38"/>
  <c r="P50" i="38"/>
  <c r="Q50" i="38"/>
  <c r="R50" i="38"/>
  <c r="S50" i="38"/>
  <c r="T50" i="38"/>
  <c r="U50" i="38"/>
  <c r="V50" i="38"/>
  <c r="W50" i="38"/>
  <c r="X50" i="38"/>
  <c r="Y50" i="38"/>
  <c r="Z50" i="38"/>
  <c r="F51" i="38"/>
  <c r="G51" i="38"/>
  <c r="H51" i="38"/>
  <c r="I51" i="38"/>
  <c r="J51" i="38"/>
  <c r="K51" i="38"/>
  <c r="L51" i="38"/>
  <c r="M51" i="38"/>
  <c r="N51" i="38"/>
  <c r="O51" i="38"/>
  <c r="P51" i="38"/>
  <c r="Q51" i="38"/>
  <c r="R51" i="38"/>
  <c r="S51" i="38"/>
  <c r="T51" i="38"/>
  <c r="U51" i="38"/>
  <c r="V51" i="38"/>
  <c r="W51" i="38"/>
  <c r="X51" i="38"/>
  <c r="Y51" i="38"/>
  <c r="Z51" i="38"/>
  <c r="F63" i="38"/>
  <c r="G63" i="38"/>
  <c r="H63" i="38"/>
  <c r="I63" i="38"/>
  <c r="J63" i="38"/>
  <c r="K63" i="38"/>
  <c r="L63" i="38"/>
  <c r="M63" i="38"/>
  <c r="N63" i="38"/>
  <c r="O63" i="38"/>
  <c r="P63" i="38"/>
  <c r="Q63" i="38"/>
  <c r="R63" i="38"/>
  <c r="S63" i="38"/>
  <c r="T63" i="38"/>
  <c r="U63" i="38"/>
  <c r="V63" i="38"/>
  <c r="W63" i="38"/>
  <c r="X63" i="38"/>
  <c r="Y63" i="38"/>
  <c r="Z63" i="38"/>
  <c r="F64" i="38"/>
  <c r="G64" i="38"/>
  <c r="H64" i="38"/>
  <c r="I64" i="38"/>
  <c r="J64" i="38"/>
  <c r="K64" i="38"/>
  <c r="L64" i="38"/>
  <c r="M64" i="38"/>
  <c r="N64" i="38"/>
  <c r="O64" i="38"/>
  <c r="P64" i="38"/>
  <c r="Q64" i="38"/>
  <c r="R64" i="38"/>
  <c r="S64" i="38"/>
  <c r="T64" i="38"/>
  <c r="U64" i="38"/>
  <c r="V64" i="38"/>
  <c r="W64" i="38"/>
  <c r="X64" i="38"/>
  <c r="Y64" i="38"/>
  <c r="Z64" i="38"/>
  <c r="F67" i="38"/>
  <c r="G67" i="38"/>
  <c r="H67" i="38"/>
  <c r="I67" i="38"/>
  <c r="J67" i="38"/>
  <c r="K67" i="38"/>
  <c r="L67" i="38"/>
  <c r="M67" i="38"/>
  <c r="N67" i="38"/>
  <c r="O67" i="38"/>
  <c r="P67" i="38"/>
  <c r="Q67" i="38"/>
  <c r="R67" i="38"/>
  <c r="S67" i="38"/>
  <c r="T67" i="38"/>
  <c r="U67" i="38"/>
  <c r="V67" i="38"/>
  <c r="W67" i="38"/>
  <c r="X67" i="38"/>
  <c r="Y67" i="38"/>
  <c r="Z67" i="38"/>
  <c r="F68" i="38"/>
  <c r="G68" i="38"/>
  <c r="H68" i="38"/>
  <c r="I68" i="38"/>
  <c r="J68" i="38"/>
  <c r="K68" i="38"/>
  <c r="L68" i="38"/>
  <c r="M68" i="38"/>
  <c r="N68" i="38"/>
  <c r="O68" i="38"/>
  <c r="P68" i="38"/>
  <c r="Q68" i="38"/>
  <c r="R68" i="38"/>
  <c r="S68" i="38"/>
  <c r="T68" i="38"/>
  <c r="U68" i="38"/>
  <c r="V68" i="38"/>
  <c r="W68" i="38"/>
  <c r="X68" i="38"/>
  <c r="Y68" i="38"/>
  <c r="Z68" i="38"/>
  <c r="F70" i="38"/>
  <c r="G70" i="38"/>
  <c r="H70" i="38"/>
  <c r="I70" i="38"/>
  <c r="J70" i="38"/>
  <c r="K70" i="38"/>
  <c r="L70" i="38"/>
  <c r="M70" i="38"/>
  <c r="N70" i="38"/>
  <c r="O70" i="38"/>
  <c r="P70" i="38"/>
  <c r="Q70" i="38"/>
  <c r="R70" i="38"/>
  <c r="S70" i="38"/>
  <c r="T70" i="38"/>
  <c r="U70" i="38"/>
  <c r="V70" i="38"/>
  <c r="W70" i="38"/>
  <c r="X70" i="38"/>
  <c r="Y70" i="38"/>
  <c r="Z70" i="38"/>
  <c r="F71" i="38"/>
  <c r="G71" i="38"/>
  <c r="H71" i="38"/>
  <c r="I71" i="38"/>
  <c r="J71" i="38"/>
  <c r="K71" i="38"/>
  <c r="L71" i="38"/>
  <c r="M71" i="38"/>
  <c r="N71" i="38"/>
  <c r="O71" i="38"/>
  <c r="P71" i="38"/>
  <c r="Q71" i="38"/>
  <c r="R71" i="38"/>
  <c r="S71" i="38"/>
  <c r="T71" i="38"/>
  <c r="U71" i="38"/>
  <c r="V71" i="38"/>
  <c r="W71" i="38"/>
  <c r="X71" i="38"/>
  <c r="Y71" i="38"/>
  <c r="Z71" i="38"/>
  <c r="F72" i="38"/>
  <c r="G72" i="38"/>
  <c r="H72" i="38"/>
  <c r="I72" i="38"/>
  <c r="J72" i="38"/>
  <c r="K72" i="38"/>
  <c r="L72" i="38"/>
  <c r="M72" i="38"/>
  <c r="N72" i="38"/>
  <c r="O72" i="38"/>
  <c r="P72" i="38"/>
  <c r="Q72" i="38"/>
  <c r="R72" i="38"/>
  <c r="S72" i="38"/>
  <c r="T72" i="38"/>
  <c r="U72" i="38"/>
  <c r="V72" i="38"/>
  <c r="W72" i="38"/>
  <c r="X72" i="38"/>
  <c r="Y72" i="38"/>
  <c r="Z72" i="38"/>
  <c r="F84" i="38"/>
  <c r="G84" i="38"/>
  <c r="H84" i="38"/>
  <c r="I84" i="38"/>
  <c r="J84" i="38"/>
  <c r="K84" i="38"/>
  <c r="L84" i="38"/>
  <c r="M84" i="38"/>
  <c r="N84" i="38"/>
  <c r="O84" i="38"/>
  <c r="P84" i="38"/>
  <c r="Q84" i="38"/>
  <c r="R84" i="38"/>
  <c r="S84" i="38"/>
  <c r="T84" i="38"/>
  <c r="U84" i="38"/>
  <c r="V84" i="38"/>
  <c r="W84" i="38"/>
  <c r="X84" i="38"/>
  <c r="Y84" i="38"/>
  <c r="Z84" i="38"/>
  <c r="F85" i="38"/>
  <c r="G85" i="38"/>
  <c r="H85" i="38"/>
  <c r="I85" i="38"/>
  <c r="J85" i="38"/>
  <c r="K85" i="38"/>
  <c r="L85" i="38"/>
  <c r="M85" i="38"/>
  <c r="N85" i="38"/>
  <c r="O85" i="38"/>
  <c r="P85" i="38"/>
  <c r="Q85" i="38"/>
  <c r="R85" i="38"/>
  <c r="S85" i="38"/>
  <c r="T85" i="38"/>
  <c r="U85" i="38"/>
  <c r="V85" i="38"/>
  <c r="W85" i="38"/>
  <c r="X85" i="38"/>
  <c r="Y85" i="38"/>
  <c r="Z85" i="38"/>
  <c r="F88" i="38"/>
  <c r="G88" i="38"/>
  <c r="H88" i="38"/>
  <c r="I88" i="38"/>
  <c r="J88" i="38"/>
  <c r="K88" i="38"/>
  <c r="L88" i="38"/>
  <c r="M88" i="38"/>
  <c r="N88" i="38"/>
  <c r="O88" i="38"/>
  <c r="P88" i="38"/>
  <c r="Q88" i="38"/>
  <c r="R88" i="38"/>
  <c r="S88" i="38"/>
  <c r="T88" i="38"/>
  <c r="U88" i="38"/>
  <c r="V88" i="38"/>
  <c r="W88" i="38"/>
  <c r="X88" i="38"/>
  <c r="Y88" i="38"/>
  <c r="Z88" i="38"/>
  <c r="F89" i="38"/>
  <c r="G89" i="38"/>
  <c r="H89" i="38"/>
  <c r="I89" i="38"/>
  <c r="J89" i="38"/>
  <c r="K89" i="38"/>
  <c r="L89" i="38"/>
  <c r="M89" i="38"/>
  <c r="N89" i="38"/>
  <c r="O89" i="38"/>
  <c r="P89" i="38"/>
  <c r="Q89" i="38"/>
  <c r="R89" i="38"/>
  <c r="S89" i="38"/>
  <c r="T89" i="38"/>
  <c r="U89" i="38"/>
  <c r="V89" i="38"/>
  <c r="W89" i="38"/>
  <c r="X89" i="38"/>
  <c r="Y89" i="38"/>
  <c r="Z89" i="38"/>
  <c r="F91" i="38"/>
  <c r="G91" i="38"/>
  <c r="H91" i="38"/>
  <c r="I91" i="38"/>
  <c r="J91" i="38"/>
  <c r="K91" i="38"/>
  <c r="L91" i="38"/>
  <c r="M91" i="38"/>
  <c r="N91" i="38"/>
  <c r="O91" i="38"/>
  <c r="P91" i="38"/>
  <c r="Q91" i="38"/>
  <c r="R91" i="38"/>
  <c r="S91" i="38"/>
  <c r="T91" i="38"/>
  <c r="U91" i="38"/>
  <c r="V91" i="38"/>
  <c r="W91" i="38"/>
  <c r="X91" i="38"/>
  <c r="Y91" i="38"/>
  <c r="Z91" i="38"/>
  <c r="F92" i="38"/>
  <c r="G92" i="38"/>
  <c r="H92" i="38"/>
  <c r="I92" i="38"/>
  <c r="J92" i="38"/>
  <c r="K92" i="38"/>
  <c r="L92" i="38"/>
  <c r="M92" i="38"/>
  <c r="N92" i="38"/>
  <c r="O92" i="38"/>
  <c r="P92" i="38"/>
  <c r="Q92" i="38"/>
  <c r="R92" i="38"/>
  <c r="S92" i="38"/>
  <c r="T92" i="38"/>
  <c r="U92" i="38"/>
  <c r="V92" i="38"/>
  <c r="W92" i="38"/>
  <c r="X92" i="38"/>
  <c r="Y92" i="38"/>
  <c r="Z92" i="38"/>
  <c r="F93" i="38"/>
  <c r="G93" i="38"/>
  <c r="H93" i="38"/>
  <c r="I93" i="38"/>
  <c r="J93" i="38"/>
  <c r="K93" i="38"/>
  <c r="L93" i="38"/>
  <c r="M93" i="38"/>
  <c r="N93" i="38"/>
  <c r="O93" i="38"/>
  <c r="P93" i="38"/>
  <c r="Q93" i="38"/>
  <c r="R93" i="38"/>
  <c r="S93" i="38"/>
  <c r="T93" i="38"/>
  <c r="U93" i="38"/>
  <c r="V93" i="38"/>
  <c r="W93" i="38"/>
  <c r="X93" i="38"/>
  <c r="Y93" i="38"/>
  <c r="Z93" i="38"/>
  <c r="F105" i="38"/>
  <c r="G105" i="38"/>
  <c r="H105" i="38"/>
  <c r="I105" i="38"/>
  <c r="J105" i="38"/>
  <c r="K105" i="38"/>
  <c r="L105" i="38"/>
  <c r="M105" i="38"/>
  <c r="N105" i="38"/>
  <c r="O105" i="38"/>
  <c r="P105" i="38"/>
  <c r="Q105" i="38"/>
  <c r="R105" i="38"/>
  <c r="S105" i="38"/>
  <c r="T105" i="38"/>
  <c r="U105" i="38"/>
  <c r="V105" i="38"/>
  <c r="W105" i="38"/>
  <c r="X105" i="38"/>
  <c r="Y105" i="38"/>
  <c r="Z105" i="38"/>
  <c r="F106" i="38"/>
  <c r="G106" i="38"/>
  <c r="H106" i="38"/>
  <c r="I106" i="38"/>
  <c r="J106" i="38"/>
  <c r="K106" i="38"/>
  <c r="L106" i="38"/>
  <c r="M106" i="38"/>
  <c r="N106" i="38"/>
  <c r="O106" i="38"/>
  <c r="P106" i="38"/>
  <c r="Q106" i="38"/>
  <c r="R106" i="38"/>
  <c r="S106" i="38"/>
  <c r="T106" i="38"/>
  <c r="U106" i="38"/>
  <c r="V106" i="38"/>
  <c r="W106" i="38"/>
  <c r="X106" i="38"/>
  <c r="Y106" i="38"/>
  <c r="Z106" i="38"/>
  <c r="F109" i="38"/>
  <c r="G109" i="38"/>
  <c r="H109" i="38"/>
  <c r="I109" i="38"/>
  <c r="J109" i="38"/>
  <c r="K109" i="38"/>
  <c r="L109" i="38"/>
  <c r="M109" i="38"/>
  <c r="N109" i="38"/>
  <c r="O109" i="38"/>
  <c r="P109" i="38"/>
  <c r="Q109" i="38"/>
  <c r="R109" i="38"/>
  <c r="S109" i="38"/>
  <c r="T109" i="38"/>
  <c r="U109" i="38"/>
  <c r="V109" i="38"/>
  <c r="W109" i="38"/>
  <c r="X109" i="38"/>
  <c r="Y109" i="38"/>
  <c r="Z109" i="38"/>
  <c r="F110" i="38"/>
  <c r="G110" i="38"/>
  <c r="H110" i="38"/>
  <c r="I110" i="38"/>
  <c r="J110" i="38"/>
  <c r="K110" i="38"/>
  <c r="L110" i="38"/>
  <c r="M110" i="38"/>
  <c r="N110" i="38"/>
  <c r="O110" i="38"/>
  <c r="P110" i="38"/>
  <c r="Q110" i="38"/>
  <c r="R110" i="38"/>
  <c r="S110" i="38"/>
  <c r="T110" i="38"/>
  <c r="U110" i="38"/>
  <c r="V110" i="38"/>
  <c r="W110" i="38"/>
  <c r="X110" i="38"/>
  <c r="Y110" i="38"/>
  <c r="Z110" i="38"/>
  <c r="F112" i="38"/>
  <c r="G112" i="38"/>
  <c r="H112" i="38"/>
  <c r="I112" i="38"/>
  <c r="J112" i="38"/>
  <c r="K112" i="38"/>
  <c r="L112" i="38"/>
  <c r="M112" i="38"/>
  <c r="N112" i="38"/>
  <c r="O112" i="38"/>
  <c r="P112" i="38"/>
  <c r="Q112" i="38"/>
  <c r="R112" i="38"/>
  <c r="S112" i="38"/>
  <c r="T112" i="38"/>
  <c r="U112" i="38"/>
  <c r="V112" i="38"/>
  <c r="W112" i="38"/>
  <c r="X112" i="38"/>
  <c r="Y112" i="38"/>
  <c r="Z112" i="38"/>
  <c r="F113" i="38"/>
  <c r="G113" i="38"/>
  <c r="H113" i="38"/>
  <c r="I113" i="38"/>
  <c r="J113" i="38"/>
  <c r="K113" i="38"/>
  <c r="L113" i="38"/>
  <c r="M113" i="38"/>
  <c r="N113" i="38"/>
  <c r="O113" i="38"/>
  <c r="P113" i="38"/>
  <c r="Q113" i="38"/>
  <c r="R113" i="38"/>
  <c r="S113" i="38"/>
  <c r="T113" i="38"/>
  <c r="U113" i="38"/>
  <c r="V113" i="38"/>
  <c r="W113" i="38"/>
  <c r="X113" i="38"/>
  <c r="Y113" i="38"/>
  <c r="Z113" i="38"/>
  <c r="F114" i="38"/>
  <c r="G114" i="38"/>
  <c r="H114" i="38"/>
  <c r="I114" i="38"/>
  <c r="J114" i="38"/>
  <c r="K114" i="38"/>
  <c r="L114" i="38"/>
  <c r="M114" i="38"/>
  <c r="N114" i="38"/>
  <c r="O114" i="38"/>
  <c r="P114" i="38"/>
  <c r="Q114" i="38"/>
  <c r="R114" i="38"/>
  <c r="S114" i="38"/>
  <c r="T114" i="38"/>
  <c r="U114" i="38"/>
  <c r="V114" i="38"/>
  <c r="W114" i="38"/>
  <c r="X114" i="38"/>
  <c r="Y114" i="38"/>
  <c r="Z114" i="38"/>
  <c r="F131" i="38"/>
  <c r="G131" i="38"/>
  <c r="H131" i="38"/>
  <c r="I131" i="38"/>
  <c r="J131" i="38"/>
  <c r="K131" i="38"/>
  <c r="L131" i="38"/>
  <c r="M131" i="38"/>
  <c r="N131" i="38"/>
  <c r="O131" i="38"/>
  <c r="P131" i="38"/>
  <c r="Q131" i="38"/>
  <c r="R131" i="38"/>
  <c r="S131" i="38"/>
  <c r="T131" i="38"/>
  <c r="U131" i="38"/>
  <c r="V131" i="38"/>
  <c r="W131" i="38"/>
  <c r="X131" i="38"/>
  <c r="Y131" i="38"/>
  <c r="Z131" i="38"/>
  <c r="F132" i="38"/>
  <c r="G132" i="38"/>
  <c r="H132" i="38"/>
  <c r="I132" i="38"/>
  <c r="J132" i="38"/>
  <c r="K132" i="38"/>
  <c r="L132" i="38"/>
  <c r="M132" i="38"/>
  <c r="N132" i="38"/>
  <c r="O132" i="38"/>
  <c r="P132" i="38"/>
  <c r="Q132" i="38"/>
  <c r="R132" i="38"/>
  <c r="S132" i="38"/>
  <c r="T132" i="38"/>
  <c r="U132" i="38"/>
  <c r="V132" i="38"/>
  <c r="W132" i="38"/>
  <c r="X132" i="38"/>
  <c r="Y132" i="38"/>
  <c r="Z132" i="38"/>
  <c r="F134" i="38"/>
  <c r="G134" i="38"/>
  <c r="H134" i="38"/>
  <c r="I134" i="38"/>
  <c r="J134" i="38"/>
  <c r="K134" i="38"/>
  <c r="L134" i="38"/>
  <c r="M134" i="38"/>
  <c r="N134" i="38"/>
  <c r="O134" i="38"/>
  <c r="P134" i="38"/>
  <c r="Q134" i="38"/>
  <c r="R134" i="38"/>
  <c r="S134" i="38"/>
  <c r="T134" i="38"/>
  <c r="U134" i="38"/>
  <c r="V134" i="38"/>
  <c r="W134" i="38"/>
  <c r="X134" i="38"/>
  <c r="Y134" i="38"/>
  <c r="Z134" i="38"/>
  <c r="F135" i="38"/>
  <c r="G135" i="38"/>
  <c r="H135" i="38"/>
  <c r="I135" i="38"/>
  <c r="J135" i="38"/>
  <c r="K135" i="38"/>
  <c r="L135" i="38"/>
  <c r="M135" i="38"/>
  <c r="N135" i="38"/>
  <c r="O135" i="38"/>
  <c r="P135" i="38"/>
  <c r="Q135" i="38"/>
  <c r="R135" i="38"/>
  <c r="S135" i="38"/>
  <c r="T135" i="38"/>
  <c r="U135" i="38"/>
  <c r="V135" i="38"/>
  <c r="W135" i="38"/>
  <c r="X135" i="38"/>
  <c r="Y135" i="38"/>
  <c r="Z135" i="38"/>
  <c r="F136" i="38"/>
  <c r="G136" i="38"/>
  <c r="H136" i="38"/>
  <c r="I136" i="38"/>
  <c r="J136" i="38"/>
  <c r="K136" i="38"/>
  <c r="L136" i="38"/>
  <c r="M136" i="38"/>
  <c r="N136" i="38"/>
  <c r="O136" i="38"/>
  <c r="P136" i="38"/>
  <c r="Q136" i="38"/>
  <c r="R136" i="38"/>
  <c r="S136" i="38"/>
  <c r="T136" i="38"/>
  <c r="U136" i="38"/>
  <c r="V136" i="38"/>
  <c r="W136" i="38"/>
  <c r="X136" i="38"/>
  <c r="Y136" i="38"/>
  <c r="Z136" i="38"/>
  <c r="F138" i="38"/>
  <c r="G138" i="38"/>
  <c r="H138" i="38"/>
  <c r="I138" i="38"/>
  <c r="J138" i="38"/>
  <c r="K138" i="38"/>
  <c r="L138" i="38"/>
  <c r="M138" i="38"/>
  <c r="N138" i="38"/>
  <c r="O138" i="38"/>
  <c r="P138" i="38"/>
  <c r="Q138" i="38"/>
  <c r="R138" i="38"/>
  <c r="S138" i="38"/>
  <c r="T138" i="38"/>
  <c r="U138" i="38"/>
  <c r="V138" i="38"/>
  <c r="W138" i="38"/>
  <c r="X138" i="38"/>
  <c r="Y138" i="38"/>
  <c r="Z138" i="38"/>
  <c r="G141" i="38"/>
  <c r="H141" i="38"/>
  <c r="I141" i="38"/>
  <c r="J141" i="38"/>
  <c r="K141" i="38"/>
  <c r="L141" i="38"/>
  <c r="M141" i="38"/>
  <c r="N141" i="38"/>
  <c r="O141" i="38"/>
  <c r="P141" i="38"/>
  <c r="Q141" i="38"/>
  <c r="R141" i="38"/>
  <c r="S141" i="38"/>
  <c r="T141" i="38"/>
  <c r="U141" i="38"/>
  <c r="V141" i="38"/>
  <c r="W141" i="38"/>
  <c r="X141" i="38"/>
  <c r="Y141" i="38"/>
  <c r="Z141" i="38"/>
  <c r="I142" i="38"/>
  <c r="F143" i="38"/>
  <c r="G143" i="38"/>
  <c r="H143" i="38"/>
  <c r="I143" i="38"/>
  <c r="J143" i="38"/>
  <c r="K143" i="38"/>
  <c r="L143" i="38"/>
  <c r="M143" i="38"/>
  <c r="N143" i="38"/>
  <c r="O143" i="38"/>
  <c r="P143" i="38"/>
  <c r="Q143" i="38"/>
  <c r="R143" i="38"/>
  <c r="S143" i="38"/>
  <c r="T143" i="38"/>
  <c r="U143" i="38"/>
  <c r="V143" i="38"/>
  <c r="W143" i="38"/>
  <c r="X143" i="38"/>
  <c r="Y143" i="38"/>
  <c r="Z143" i="38"/>
  <c r="F144" i="38"/>
  <c r="G144" i="38"/>
  <c r="H144" i="38"/>
  <c r="I144" i="38"/>
  <c r="J144" i="38"/>
  <c r="K144" i="38"/>
  <c r="L144" i="38"/>
  <c r="M144" i="38"/>
  <c r="N144" i="38"/>
  <c r="O144" i="38"/>
  <c r="P144" i="38"/>
  <c r="Q144" i="38"/>
  <c r="R144" i="38"/>
  <c r="S144" i="38"/>
  <c r="T144" i="38"/>
  <c r="U144" i="38"/>
  <c r="V144" i="38"/>
  <c r="W144" i="38"/>
  <c r="X144" i="38"/>
  <c r="Y144" i="38"/>
  <c r="Z144" i="38"/>
  <c r="F146" i="38"/>
  <c r="G146" i="38"/>
  <c r="H146" i="38"/>
  <c r="I146" i="38"/>
  <c r="J146" i="38"/>
  <c r="K146" i="38"/>
  <c r="L146" i="38"/>
  <c r="M146" i="38"/>
  <c r="N146" i="38"/>
  <c r="O146" i="38"/>
  <c r="P146" i="38"/>
  <c r="Q146" i="38"/>
  <c r="R146" i="38"/>
  <c r="S146" i="38"/>
  <c r="T146" i="38"/>
  <c r="U146" i="38"/>
  <c r="V146" i="38"/>
  <c r="W146" i="38"/>
  <c r="X146" i="38"/>
  <c r="Y146" i="38"/>
  <c r="Z146" i="38"/>
  <c r="F147" i="38"/>
  <c r="G147" i="38"/>
  <c r="H147" i="38"/>
  <c r="I147" i="38"/>
  <c r="J147" i="38"/>
  <c r="K147" i="38"/>
  <c r="L147" i="38"/>
  <c r="M147" i="38"/>
  <c r="N147" i="38"/>
  <c r="O147" i="38"/>
  <c r="P147" i="38"/>
  <c r="Q147" i="38"/>
  <c r="R147" i="38"/>
  <c r="S147" i="38"/>
  <c r="T147" i="38"/>
  <c r="U147" i="38"/>
  <c r="V147" i="38"/>
  <c r="W147" i="38"/>
  <c r="X147" i="38"/>
  <c r="Y147" i="38"/>
  <c r="Z147" i="38"/>
  <c r="F148" i="38"/>
  <c r="G148" i="38"/>
  <c r="H148" i="38"/>
  <c r="I148" i="38"/>
  <c r="J148" i="38"/>
  <c r="K148" i="38"/>
  <c r="L148" i="38"/>
  <c r="M148" i="38"/>
  <c r="N148" i="38"/>
  <c r="O148" i="38"/>
  <c r="P148" i="38"/>
  <c r="Q148" i="38"/>
  <c r="R148" i="38"/>
  <c r="S148" i="38"/>
  <c r="T148" i="38"/>
  <c r="U148" i="38"/>
  <c r="V148" i="38"/>
  <c r="W148" i="38"/>
  <c r="X148" i="38"/>
  <c r="Y148" i="38"/>
  <c r="Z148" i="38"/>
  <c r="I150" i="38"/>
  <c r="F152" i="38"/>
  <c r="G152" i="38"/>
  <c r="H152" i="38"/>
  <c r="I152" i="38"/>
  <c r="J152" i="38"/>
  <c r="K152" i="38"/>
  <c r="L152" i="38"/>
  <c r="M152" i="38"/>
  <c r="N152" i="38"/>
  <c r="O152" i="38"/>
  <c r="P152" i="38"/>
  <c r="Q152" i="38"/>
  <c r="R152" i="38"/>
  <c r="S152" i="38"/>
  <c r="T152" i="38"/>
  <c r="U152" i="38"/>
  <c r="V152" i="38"/>
  <c r="W152" i="38"/>
  <c r="X152" i="38"/>
  <c r="Y152" i="38"/>
  <c r="Z152" i="38"/>
  <c r="P155" i="38"/>
  <c r="I156" i="38"/>
  <c r="P157" i="38"/>
  <c r="P158" i="38"/>
  <c r="I159" i="38"/>
  <c r="P159" i="38"/>
  <c r="F162" i="38"/>
  <c r="G162" i="38"/>
  <c r="H162" i="38"/>
  <c r="I162" i="38"/>
  <c r="J162" i="38"/>
  <c r="K162" i="38"/>
  <c r="L162" i="38"/>
  <c r="M162" i="38"/>
  <c r="N162" i="38"/>
  <c r="O162" i="38"/>
  <c r="P162" i="38"/>
  <c r="D196" i="38"/>
  <c r="F196" i="38"/>
  <c r="G196" i="38"/>
  <c r="H196" i="38"/>
  <c r="I196" i="38"/>
  <c r="J196" i="38"/>
  <c r="K196" i="38"/>
  <c r="L196" i="38"/>
  <c r="M196" i="38"/>
  <c r="N196" i="38"/>
  <c r="O196" i="38"/>
  <c r="P196" i="38"/>
  <c r="Q196" i="38"/>
  <c r="R196" i="38"/>
  <c r="S196" i="38"/>
  <c r="T196" i="38"/>
  <c r="U196" i="38"/>
  <c r="V196" i="38"/>
  <c r="W196" i="38"/>
  <c r="X196" i="38"/>
  <c r="Y196" i="38"/>
  <c r="Z196" i="38"/>
  <c r="F200" i="38"/>
  <c r="G200" i="38"/>
  <c r="H200" i="38"/>
  <c r="I200" i="38"/>
  <c r="J200" i="38"/>
  <c r="K200" i="38"/>
  <c r="L200" i="38"/>
  <c r="M200" i="38"/>
  <c r="N200" i="38"/>
  <c r="O200" i="38"/>
  <c r="P200" i="38"/>
  <c r="Q200" i="38"/>
  <c r="R200" i="38"/>
  <c r="S200" i="38"/>
  <c r="T200" i="38"/>
  <c r="U200" i="38"/>
  <c r="V200" i="38"/>
  <c r="W200" i="38"/>
  <c r="X200" i="38"/>
  <c r="Y200" i="38"/>
  <c r="Z200" i="38"/>
  <c r="F202" i="38"/>
  <c r="G202" i="38"/>
  <c r="H202" i="38"/>
  <c r="I202" i="38"/>
  <c r="J202" i="38"/>
  <c r="K202" i="38"/>
  <c r="L202" i="38"/>
  <c r="M202" i="38"/>
  <c r="N202" i="38"/>
  <c r="O202" i="38"/>
  <c r="P202" i="38"/>
  <c r="Q202" i="38"/>
  <c r="R202" i="38"/>
  <c r="S202" i="38"/>
  <c r="T202" i="38"/>
  <c r="U202" i="38"/>
  <c r="V202" i="38"/>
  <c r="W202" i="38"/>
  <c r="X202" i="38"/>
  <c r="Y202" i="38"/>
  <c r="Z202" i="38"/>
  <c r="F206" i="38"/>
  <c r="G206" i="38"/>
  <c r="H206" i="38"/>
  <c r="I206" i="38"/>
  <c r="J206" i="38"/>
  <c r="K206" i="38"/>
  <c r="L206" i="38"/>
  <c r="M206" i="38"/>
  <c r="N206" i="38"/>
  <c r="O206" i="38"/>
  <c r="P206" i="38"/>
  <c r="Q206" i="38"/>
  <c r="R206" i="38"/>
  <c r="S206" i="38"/>
  <c r="T206" i="38"/>
  <c r="U206" i="38"/>
  <c r="V206" i="38"/>
  <c r="W206" i="38"/>
  <c r="X206" i="38"/>
  <c r="Y206" i="38"/>
  <c r="Z206" i="38"/>
  <c r="F207" i="38"/>
  <c r="G207" i="38"/>
  <c r="H207" i="38"/>
  <c r="I207" i="38"/>
  <c r="J207" i="38"/>
  <c r="K207" i="38"/>
  <c r="L207" i="38"/>
  <c r="M207" i="38"/>
  <c r="N207" i="38"/>
  <c r="O207" i="38"/>
  <c r="P207" i="38"/>
  <c r="Q207" i="38"/>
  <c r="R207" i="38"/>
  <c r="S207" i="38"/>
  <c r="T207" i="38"/>
  <c r="U207" i="38"/>
  <c r="V207" i="38"/>
  <c r="W207" i="38"/>
  <c r="X207" i="38"/>
  <c r="Y207" i="38"/>
  <c r="Z207" i="38"/>
  <c r="F208" i="38"/>
  <c r="G208" i="38"/>
  <c r="H208" i="38"/>
  <c r="I208" i="38"/>
  <c r="J208" i="38"/>
  <c r="K208" i="38"/>
  <c r="L208" i="38"/>
  <c r="M208" i="38"/>
  <c r="N208" i="38"/>
  <c r="O208" i="38"/>
  <c r="P208" i="38"/>
  <c r="Q208" i="38"/>
  <c r="R208" i="38"/>
  <c r="S208" i="38"/>
  <c r="T208" i="38"/>
  <c r="U208" i="38"/>
  <c r="V208" i="38"/>
  <c r="W208" i="38"/>
  <c r="X208" i="38"/>
  <c r="Y208" i="38"/>
  <c r="Z208" i="38"/>
  <c r="F218" i="38"/>
  <c r="G218" i="38"/>
  <c r="H218" i="38"/>
  <c r="I218" i="38"/>
  <c r="J218" i="38"/>
  <c r="K218" i="38"/>
  <c r="L218" i="38"/>
  <c r="M218" i="38"/>
  <c r="N218" i="38"/>
  <c r="O218" i="38"/>
  <c r="P218" i="38"/>
  <c r="Q218" i="38"/>
  <c r="R218" i="38"/>
  <c r="S218" i="38"/>
  <c r="T218" i="38"/>
  <c r="U218" i="38"/>
  <c r="V218" i="38"/>
  <c r="W218" i="38"/>
  <c r="X218" i="38"/>
  <c r="Y218" i="38"/>
  <c r="Z218" i="38"/>
  <c r="F222" i="38"/>
  <c r="G222" i="38"/>
  <c r="H222" i="38"/>
  <c r="I222" i="38"/>
  <c r="J222" i="38"/>
  <c r="K222" i="38"/>
  <c r="L222" i="38"/>
  <c r="M222" i="38"/>
  <c r="N222" i="38"/>
  <c r="O222" i="38"/>
  <c r="P222" i="38"/>
  <c r="Q222" i="38"/>
  <c r="R222" i="38"/>
  <c r="S222" i="38"/>
  <c r="T222" i="38"/>
  <c r="U222" i="38"/>
  <c r="V222" i="38"/>
  <c r="W222" i="38"/>
  <c r="X222" i="38"/>
  <c r="Y222" i="38"/>
  <c r="Z222" i="38"/>
  <c r="P225" i="38"/>
  <c r="P226" i="38"/>
  <c r="P228" i="38"/>
  <c r="F230" i="38"/>
  <c r="G230" i="38"/>
  <c r="H230" i="38"/>
  <c r="I230" i="38"/>
  <c r="J230" i="38"/>
  <c r="K230" i="38"/>
  <c r="L230" i="38"/>
  <c r="M230" i="38"/>
  <c r="N230" i="38"/>
  <c r="O230" i="38"/>
  <c r="P230" i="38"/>
  <c r="I244" i="38"/>
  <c r="J244" i="38"/>
  <c r="K244" i="38"/>
  <c r="L244" i="38"/>
  <c r="M244" i="38"/>
  <c r="N244" i="38"/>
  <c r="O244" i="38"/>
  <c r="P244" i="38"/>
  <c r="Q244" i="38"/>
  <c r="R244" i="38"/>
  <c r="S244" i="38"/>
  <c r="T244" i="38"/>
  <c r="U244" i="38"/>
  <c r="V244" i="38"/>
  <c r="W244" i="38"/>
  <c r="X244" i="38"/>
  <c r="Y244" i="38"/>
  <c r="Z244" i="38"/>
  <c r="I245" i="38"/>
  <c r="J245" i="38"/>
  <c r="K245" i="38"/>
  <c r="L245" i="38"/>
  <c r="M245" i="38"/>
  <c r="N245" i="38"/>
  <c r="O245" i="38"/>
  <c r="P245" i="38"/>
  <c r="Q245" i="38"/>
  <c r="R245" i="38"/>
  <c r="S245" i="38"/>
  <c r="T245" i="38"/>
  <c r="U245" i="38"/>
  <c r="V245" i="38"/>
  <c r="W245" i="38"/>
  <c r="X245" i="38"/>
  <c r="Y245" i="38"/>
  <c r="Z245" i="38"/>
  <c r="I248" i="38"/>
  <c r="J248" i="38"/>
  <c r="K248" i="38"/>
  <c r="L248" i="38"/>
  <c r="M248" i="38"/>
  <c r="N248" i="38"/>
  <c r="O248" i="38"/>
  <c r="P248" i="38"/>
  <c r="Q248" i="38"/>
  <c r="R248" i="38"/>
  <c r="S248" i="38"/>
  <c r="T248" i="38"/>
  <c r="U248" i="38"/>
  <c r="V248" i="38"/>
  <c r="W248" i="38"/>
  <c r="X248" i="38"/>
  <c r="Y248" i="38"/>
  <c r="Z248" i="38"/>
  <c r="I249" i="38"/>
  <c r="J249" i="38"/>
  <c r="K249" i="38"/>
  <c r="L249" i="38"/>
  <c r="M249" i="38"/>
  <c r="N249" i="38"/>
  <c r="O249" i="38"/>
  <c r="P249" i="38"/>
  <c r="Q249" i="38"/>
  <c r="R249" i="38"/>
  <c r="S249" i="38"/>
  <c r="T249" i="38"/>
  <c r="U249" i="38"/>
  <c r="V249" i="38"/>
  <c r="W249" i="38"/>
  <c r="X249" i="38"/>
  <c r="Y249" i="38"/>
  <c r="Z249" i="38"/>
  <c r="I251" i="38"/>
  <c r="J251" i="38"/>
  <c r="K251" i="38"/>
  <c r="L251" i="38"/>
  <c r="M251" i="38"/>
  <c r="N251" i="38"/>
  <c r="O251" i="38"/>
  <c r="P251" i="38"/>
  <c r="Q251" i="38"/>
  <c r="R251" i="38"/>
  <c r="S251" i="38"/>
  <c r="T251" i="38"/>
  <c r="U251" i="38"/>
  <c r="V251" i="38"/>
  <c r="W251" i="38"/>
  <c r="X251" i="38"/>
  <c r="Y251" i="38"/>
  <c r="Z251" i="38"/>
  <c r="I252" i="38"/>
  <c r="J252" i="38"/>
  <c r="K252" i="38"/>
  <c r="L252" i="38"/>
  <c r="M252" i="38"/>
  <c r="N252" i="38"/>
  <c r="O252" i="38"/>
  <c r="P252" i="38"/>
  <c r="Q252" i="38"/>
  <c r="R252" i="38"/>
  <c r="S252" i="38"/>
  <c r="T252" i="38"/>
  <c r="U252" i="38"/>
  <c r="V252" i="38"/>
  <c r="W252" i="38"/>
  <c r="X252" i="38"/>
  <c r="Y252" i="38"/>
  <c r="Z252" i="38"/>
  <c r="I253" i="38"/>
  <c r="J253" i="38"/>
  <c r="K253" i="38"/>
  <c r="L253" i="38"/>
  <c r="M253" i="38"/>
  <c r="N253" i="38"/>
  <c r="O253" i="38"/>
  <c r="P253" i="38"/>
  <c r="Q253" i="38"/>
  <c r="R253" i="38"/>
  <c r="S253" i="38"/>
  <c r="T253" i="38"/>
  <c r="U253" i="38"/>
  <c r="V253" i="38"/>
  <c r="W253" i="38"/>
  <c r="X253" i="38"/>
  <c r="Y253" i="38"/>
  <c r="Z253" i="38"/>
  <c r="J256" i="38"/>
  <c r="K256" i="38"/>
  <c r="L256" i="38"/>
  <c r="M256" i="38"/>
  <c r="N256" i="38"/>
  <c r="O256" i="38"/>
  <c r="P256" i="38"/>
  <c r="Q256" i="38"/>
  <c r="R256" i="38"/>
  <c r="S256" i="38"/>
  <c r="T256" i="38"/>
  <c r="U256" i="38"/>
  <c r="V256" i="38"/>
  <c r="W256" i="38"/>
  <c r="X256" i="38"/>
  <c r="Y256" i="38"/>
  <c r="Z256" i="38"/>
  <c r="I257" i="38"/>
  <c r="I259" i="38"/>
  <c r="J259" i="38"/>
  <c r="K259" i="38"/>
  <c r="L259" i="38"/>
  <c r="M259" i="38"/>
  <c r="N259" i="38"/>
  <c r="O259" i="38"/>
  <c r="P259" i="38"/>
  <c r="Q259" i="38"/>
  <c r="R259" i="38"/>
  <c r="S259" i="38"/>
  <c r="T259" i="38"/>
  <c r="U259" i="38"/>
  <c r="V259" i="38"/>
  <c r="W259" i="38"/>
  <c r="X259" i="38"/>
  <c r="Y259" i="38"/>
  <c r="Z259" i="38"/>
  <c r="I261" i="38"/>
  <c r="J261" i="38"/>
  <c r="K261" i="38"/>
  <c r="L261" i="38"/>
  <c r="M261" i="38"/>
  <c r="N261" i="38"/>
  <c r="O261" i="38"/>
  <c r="P261" i="38"/>
  <c r="Q261" i="38"/>
  <c r="R261" i="38"/>
  <c r="S261" i="38"/>
  <c r="T261" i="38"/>
  <c r="U261" i="38"/>
  <c r="V261" i="38"/>
  <c r="W261" i="38"/>
  <c r="X261" i="38"/>
  <c r="Y261" i="38"/>
  <c r="Z261" i="38"/>
  <c r="I262" i="38"/>
  <c r="J262" i="38"/>
  <c r="K262" i="38"/>
  <c r="L262" i="38"/>
  <c r="M262" i="38"/>
  <c r="N262" i="38"/>
  <c r="O262" i="38"/>
  <c r="P262" i="38"/>
  <c r="Q262" i="38"/>
  <c r="R262" i="38"/>
  <c r="S262" i="38"/>
  <c r="T262" i="38"/>
  <c r="U262" i="38"/>
  <c r="V262" i="38"/>
  <c r="W262" i="38"/>
  <c r="X262" i="38"/>
  <c r="Y262" i="38"/>
  <c r="Z262" i="38"/>
  <c r="I263" i="38"/>
  <c r="J263" i="38"/>
  <c r="K263" i="38"/>
  <c r="L263" i="38"/>
  <c r="M263" i="38"/>
  <c r="N263" i="38"/>
  <c r="O263" i="38"/>
  <c r="P263" i="38"/>
  <c r="Q263" i="38"/>
  <c r="R263" i="38"/>
  <c r="S263" i="38"/>
  <c r="T263" i="38"/>
  <c r="U263" i="38"/>
  <c r="V263" i="38"/>
  <c r="W263" i="38"/>
  <c r="X263" i="38"/>
  <c r="Y263" i="38"/>
  <c r="Z263" i="38"/>
  <c r="I265" i="38"/>
  <c r="I267" i="38"/>
  <c r="J267" i="38"/>
  <c r="K267" i="38"/>
  <c r="L267" i="38"/>
  <c r="M267" i="38"/>
  <c r="N267" i="38"/>
  <c r="O267" i="38"/>
  <c r="P267" i="38"/>
  <c r="Q267" i="38"/>
  <c r="R267" i="38"/>
  <c r="S267" i="38"/>
  <c r="T267" i="38"/>
  <c r="U267" i="38"/>
  <c r="V267" i="38"/>
  <c r="W267" i="38"/>
  <c r="X267" i="38"/>
  <c r="Y267" i="38"/>
  <c r="Z267" i="38"/>
  <c r="P270" i="38"/>
  <c r="P271" i="38"/>
  <c r="P272" i="38"/>
  <c r="P273" i="38"/>
  <c r="I275" i="38"/>
  <c r="J275" i="38"/>
  <c r="K275" i="38"/>
  <c r="L275" i="38"/>
  <c r="M275" i="38"/>
  <c r="N275" i="38"/>
  <c r="O275" i="38"/>
  <c r="P275" i="38"/>
  <c r="F277" i="38"/>
  <c r="G277" i="38"/>
  <c r="H277" i="38"/>
  <c r="I277" i="38"/>
  <c r="J277" i="38"/>
  <c r="K277" i="38"/>
  <c r="L277" i="38"/>
  <c r="M277" i="38"/>
  <c r="N277" i="38"/>
  <c r="O277" i="38"/>
  <c r="P277" i="38"/>
  <c r="F279" i="38"/>
  <c r="G279" i="38"/>
  <c r="H279" i="38"/>
  <c r="I279" i="38"/>
  <c r="J279" i="38"/>
  <c r="K279" i="38"/>
  <c r="L279" i="38"/>
  <c r="M279" i="38"/>
  <c r="N279" i="38"/>
  <c r="O279" i="38"/>
  <c r="P279" i="38"/>
  <c r="Q279" i="38"/>
  <c r="R279" i="38"/>
  <c r="S279" i="38"/>
  <c r="T279" i="38"/>
  <c r="U279" i="38"/>
  <c r="V279" i="38"/>
  <c r="W279" i="38"/>
  <c r="X279" i="38"/>
  <c r="Y279" i="38"/>
  <c r="Z279" i="38"/>
  <c r="F280" i="38"/>
  <c r="G280" i="38"/>
  <c r="H280" i="38"/>
  <c r="I280" i="38"/>
  <c r="J280" i="38"/>
  <c r="K280" i="38"/>
  <c r="L280" i="38"/>
  <c r="M280" i="38"/>
  <c r="N280" i="38"/>
  <c r="O280" i="38"/>
  <c r="P280" i="38"/>
  <c r="Q280" i="38"/>
  <c r="R280" i="38"/>
  <c r="S280" i="38"/>
  <c r="T280" i="38"/>
  <c r="U280" i="38"/>
  <c r="V280" i="38"/>
  <c r="W280" i="38"/>
  <c r="X280" i="38"/>
  <c r="Y280" i="38"/>
  <c r="Z280" i="38"/>
  <c r="D289" i="38"/>
  <c r="G289" i="38"/>
  <c r="H289" i="38"/>
  <c r="D292" i="38"/>
  <c r="G292" i="38"/>
  <c r="H292" i="38"/>
  <c r="D295" i="38"/>
  <c r="F295" i="38"/>
  <c r="G295" i="38"/>
  <c r="H295" i="38"/>
  <c r="I295" i="38"/>
  <c r="J295" i="38"/>
  <c r="K295" i="38"/>
  <c r="L295" i="38"/>
  <c r="M295" i="38"/>
  <c r="N295" i="38"/>
  <c r="O295" i="38"/>
  <c r="P295" i="38"/>
  <c r="Q295" i="38"/>
  <c r="R295" i="38"/>
  <c r="S295" i="38"/>
  <c r="T295" i="38"/>
  <c r="U295" i="38"/>
  <c r="V295" i="38"/>
  <c r="W295" i="38"/>
  <c r="X295" i="38"/>
  <c r="Y295" i="38"/>
  <c r="Z295" i="38"/>
  <c r="D296" i="38"/>
  <c r="F296" i="38"/>
  <c r="G296" i="38"/>
  <c r="H296" i="38"/>
  <c r="I296" i="38"/>
  <c r="J296" i="38"/>
  <c r="K296" i="38"/>
  <c r="L296" i="38"/>
  <c r="M296" i="38"/>
  <c r="N296" i="38"/>
  <c r="O296" i="38"/>
  <c r="P296" i="38"/>
  <c r="Q296" i="38"/>
  <c r="R296" i="38"/>
  <c r="S296" i="38"/>
  <c r="T296" i="38"/>
  <c r="U296" i="38"/>
  <c r="V296" i="38"/>
  <c r="W296" i="38"/>
  <c r="X296" i="38"/>
  <c r="Y296" i="38"/>
  <c r="Z296" i="38"/>
  <c r="D297" i="38"/>
  <c r="F297" i="38"/>
  <c r="G297" i="38"/>
  <c r="H297" i="38"/>
  <c r="I297" i="38"/>
  <c r="J297" i="38"/>
  <c r="K297" i="38"/>
  <c r="L297" i="38"/>
  <c r="M297" i="38"/>
  <c r="N297" i="38"/>
  <c r="O297" i="38"/>
  <c r="P297" i="38"/>
  <c r="Q297" i="38"/>
  <c r="R297" i="38"/>
  <c r="S297" i="38"/>
  <c r="T297" i="38"/>
  <c r="U297" i="38"/>
  <c r="V297" i="38"/>
  <c r="W297" i="38"/>
  <c r="X297" i="38"/>
  <c r="Y297" i="38"/>
  <c r="Z297" i="38"/>
  <c r="D298" i="38"/>
  <c r="F298" i="38"/>
  <c r="G298" i="38"/>
  <c r="H298" i="38"/>
  <c r="I298" i="38"/>
  <c r="J298" i="38"/>
  <c r="K298" i="38"/>
  <c r="L298" i="38"/>
  <c r="M298" i="38"/>
  <c r="N298" i="38"/>
  <c r="O298" i="38"/>
  <c r="P298" i="38"/>
  <c r="Q298" i="38"/>
  <c r="R298" i="38"/>
  <c r="S298" i="38"/>
  <c r="T298" i="38"/>
  <c r="U298" i="38"/>
  <c r="V298" i="38"/>
  <c r="W298" i="38"/>
  <c r="X298" i="38"/>
  <c r="Y298" i="38"/>
  <c r="Z298" i="38"/>
  <c r="D299" i="38"/>
  <c r="F299" i="38"/>
  <c r="G299" i="38"/>
  <c r="H299" i="38"/>
  <c r="I299" i="38"/>
  <c r="J299" i="38"/>
  <c r="K299" i="38"/>
  <c r="L299" i="38"/>
  <c r="M299" i="38"/>
  <c r="N299" i="38"/>
  <c r="O299" i="38"/>
  <c r="P299" i="38"/>
  <c r="Q299" i="38"/>
  <c r="R299" i="38"/>
  <c r="S299" i="38"/>
  <c r="T299" i="38"/>
  <c r="U299" i="38"/>
  <c r="V299" i="38"/>
  <c r="W299" i="38"/>
  <c r="X299" i="38"/>
  <c r="Y299" i="38"/>
  <c r="Z299" i="38"/>
  <c r="D300" i="38"/>
  <c r="F300" i="38"/>
  <c r="G300" i="38"/>
  <c r="H300" i="38"/>
  <c r="I300" i="38"/>
  <c r="J300" i="38"/>
  <c r="K300" i="38"/>
  <c r="L300" i="38"/>
  <c r="M300" i="38"/>
  <c r="N300" i="38"/>
  <c r="O300" i="38"/>
  <c r="P300" i="38"/>
  <c r="Q300" i="38"/>
  <c r="R300" i="38"/>
  <c r="S300" i="38"/>
  <c r="T300" i="38"/>
  <c r="U300" i="38"/>
  <c r="V300" i="38"/>
  <c r="W300" i="38"/>
  <c r="X300" i="38"/>
  <c r="Y300" i="38"/>
  <c r="Z300" i="38"/>
  <c r="D301" i="38"/>
  <c r="F301" i="38"/>
  <c r="G301" i="38"/>
  <c r="H301" i="38"/>
  <c r="I301" i="38"/>
  <c r="J301" i="38"/>
  <c r="K301" i="38"/>
  <c r="L301" i="38"/>
  <c r="M301" i="38"/>
  <c r="N301" i="38"/>
  <c r="O301" i="38"/>
  <c r="P301" i="38"/>
  <c r="Q301" i="38"/>
  <c r="R301" i="38"/>
  <c r="S301" i="38"/>
  <c r="T301" i="38"/>
  <c r="U301" i="38"/>
  <c r="V301" i="38"/>
  <c r="W301" i="38"/>
  <c r="X301" i="38"/>
  <c r="Y301" i="38"/>
  <c r="Z301" i="38"/>
  <c r="D302" i="38"/>
  <c r="F302" i="38"/>
  <c r="G302" i="38"/>
  <c r="H302" i="38"/>
  <c r="I302" i="38"/>
  <c r="J302" i="38"/>
  <c r="K302" i="38"/>
  <c r="L302" i="38"/>
  <c r="M302" i="38"/>
  <c r="N302" i="38"/>
  <c r="O302" i="38"/>
  <c r="P302" i="38"/>
  <c r="Q302" i="38"/>
  <c r="R302" i="38"/>
  <c r="S302" i="38"/>
  <c r="T302" i="38"/>
  <c r="U302" i="38"/>
  <c r="V302" i="38"/>
  <c r="W302" i="38"/>
  <c r="X302" i="38"/>
  <c r="Y302" i="38"/>
  <c r="Z302" i="38"/>
  <c r="D304" i="38"/>
  <c r="F304" i="38"/>
  <c r="G304" i="38"/>
  <c r="H304" i="38"/>
  <c r="I304" i="38"/>
  <c r="J304" i="38"/>
  <c r="K304" i="38"/>
  <c r="L304" i="38"/>
  <c r="M304" i="38"/>
  <c r="N304" i="38"/>
  <c r="O304" i="38"/>
  <c r="P304" i="38"/>
  <c r="Q304" i="38"/>
  <c r="R304" i="38"/>
  <c r="S304" i="38"/>
  <c r="T304" i="38"/>
  <c r="U304" i="38"/>
  <c r="V304" i="38"/>
  <c r="W304" i="38"/>
  <c r="X304" i="38"/>
  <c r="Y304" i="38"/>
  <c r="Z304" i="38"/>
  <c r="D307" i="38"/>
  <c r="F307" i="38"/>
  <c r="G307" i="38"/>
  <c r="H307" i="38"/>
  <c r="I307" i="38"/>
  <c r="J307" i="38"/>
  <c r="K307" i="38"/>
  <c r="L307" i="38"/>
  <c r="M307" i="38"/>
  <c r="N307" i="38"/>
  <c r="O307" i="38"/>
  <c r="P307" i="38"/>
  <c r="Q307" i="38"/>
  <c r="R307" i="38"/>
  <c r="S307" i="38"/>
  <c r="T307" i="38"/>
  <c r="U307" i="38"/>
  <c r="V307" i="38"/>
  <c r="W307" i="38"/>
  <c r="X307" i="38"/>
  <c r="Y307" i="38"/>
  <c r="Z307" i="38"/>
  <c r="D308" i="38"/>
  <c r="F308" i="38"/>
  <c r="G308" i="38"/>
  <c r="H308" i="38"/>
  <c r="I308" i="38"/>
  <c r="J308" i="38"/>
  <c r="K308" i="38"/>
  <c r="L308" i="38"/>
  <c r="M308" i="38"/>
  <c r="N308" i="38"/>
  <c r="O308" i="38"/>
  <c r="P308" i="38"/>
  <c r="D309" i="38"/>
  <c r="F309" i="38"/>
  <c r="G309" i="38"/>
  <c r="H309" i="38"/>
  <c r="I309" i="38"/>
  <c r="J309" i="38"/>
  <c r="K309" i="38"/>
  <c r="L309" i="38"/>
  <c r="M309" i="38"/>
  <c r="N309" i="38"/>
  <c r="O309" i="38"/>
  <c r="P309" i="38"/>
  <c r="Q309" i="38"/>
  <c r="R309" i="38"/>
  <c r="S309" i="38"/>
  <c r="T309" i="38"/>
  <c r="U309" i="38"/>
  <c r="V309" i="38"/>
  <c r="W309" i="38"/>
  <c r="X309" i="38"/>
  <c r="Y309" i="38"/>
  <c r="Z309" i="38"/>
  <c r="D311" i="38"/>
  <c r="D312" i="38"/>
  <c r="D313" i="38"/>
  <c r="F318" i="38"/>
  <c r="G318" i="38"/>
  <c r="H318" i="38"/>
  <c r="I318" i="38"/>
  <c r="J318" i="38"/>
  <c r="K318" i="38"/>
  <c r="L318" i="38"/>
  <c r="M318" i="38"/>
  <c r="N318" i="38"/>
  <c r="O318" i="38"/>
  <c r="P318" i="38"/>
  <c r="Q318" i="38"/>
  <c r="R318" i="38"/>
  <c r="S318" i="38"/>
  <c r="T318" i="38"/>
  <c r="U318" i="38"/>
  <c r="V318" i="38"/>
  <c r="W318" i="38"/>
  <c r="X318" i="38"/>
  <c r="Y318" i="38"/>
  <c r="Z318" i="38"/>
  <c r="F319" i="38"/>
  <c r="G319" i="38"/>
  <c r="H319" i="38"/>
  <c r="I319" i="38"/>
  <c r="J319" i="38"/>
  <c r="K319" i="38"/>
  <c r="L319" i="38"/>
  <c r="M319" i="38"/>
  <c r="N319" i="38"/>
  <c r="O319" i="38"/>
  <c r="P319" i="38"/>
  <c r="Q319" i="38"/>
  <c r="R319" i="38"/>
  <c r="S319" i="38"/>
  <c r="T319" i="38"/>
  <c r="U319" i="38"/>
  <c r="V319" i="38"/>
  <c r="W319" i="38"/>
  <c r="X319" i="38"/>
  <c r="Y319" i="38"/>
  <c r="Z319" i="38"/>
  <c r="I320" i="38"/>
  <c r="J320" i="38"/>
  <c r="K320" i="38"/>
  <c r="L320" i="38"/>
  <c r="M320" i="38"/>
  <c r="N320" i="38"/>
  <c r="O320" i="38"/>
  <c r="P320" i="38"/>
  <c r="Q320" i="38"/>
  <c r="R320" i="38"/>
  <c r="S320" i="38"/>
  <c r="T320" i="38"/>
  <c r="U320" i="38"/>
  <c r="V320" i="38"/>
  <c r="W320" i="38"/>
  <c r="X320" i="38"/>
  <c r="Y320" i="38"/>
  <c r="Z320" i="38"/>
  <c r="F321" i="38"/>
  <c r="G321" i="38"/>
  <c r="H321" i="38"/>
  <c r="I321" i="38"/>
  <c r="J321" i="38"/>
  <c r="K321" i="38"/>
  <c r="L321" i="38"/>
  <c r="M321" i="38"/>
  <c r="N321" i="38"/>
  <c r="O321" i="38"/>
  <c r="P321" i="38"/>
  <c r="Q321" i="38"/>
  <c r="R321" i="38"/>
  <c r="S321" i="38"/>
  <c r="T321" i="38"/>
  <c r="U321" i="38"/>
  <c r="V321" i="38"/>
  <c r="W321" i="38"/>
  <c r="X321" i="38"/>
  <c r="Y321" i="38"/>
  <c r="Z321" i="38"/>
  <c r="P324" i="38"/>
  <c r="P325" i="38"/>
  <c r="P326" i="38"/>
  <c r="D339" i="38"/>
  <c r="F339" i="38"/>
  <c r="G339" i="38"/>
  <c r="H339" i="38"/>
  <c r="I339" i="38"/>
  <c r="J339" i="38"/>
  <c r="K339" i="38"/>
  <c r="L339" i="38"/>
  <c r="M339" i="38"/>
  <c r="N339" i="38"/>
  <c r="O339" i="38"/>
  <c r="P339" i="38"/>
  <c r="Q339" i="38"/>
  <c r="R339" i="38"/>
  <c r="S339" i="38"/>
  <c r="T339" i="38"/>
  <c r="U339" i="38"/>
  <c r="V339" i="38"/>
  <c r="W339" i="38"/>
  <c r="X339" i="38"/>
  <c r="Y339" i="38"/>
  <c r="Z339" i="38"/>
  <c r="D340" i="38"/>
  <c r="F340" i="38"/>
  <c r="G340" i="38"/>
  <c r="H340" i="38"/>
  <c r="I340" i="38"/>
  <c r="J340" i="38"/>
  <c r="K340" i="38"/>
  <c r="L340" i="38"/>
  <c r="M340" i="38"/>
  <c r="N340" i="38"/>
  <c r="O340" i="38"/>
  <c r="P340" i="38"/>
  <c r="Q340" i="38"/>
  <c r="R340" i="38"/>
  <c r="S340" i="38"/>
  <c r="T340" i="38"/>
  <c r="U340" i="38"/>
  <c r="V340" i="38"/>
  <c r="W340" i="38"/>
  <c r="X340" i="38"/>
  <c r="Y340" i="38"/>
  <c r="Z340" i="38"/>
  <c r="D341" i="38"/>
  <c r="F341" i="38"/>
  <c r="G341" i="38"/>
  <c r="H341" i="38"/>
  <c r="I341" i="38"/>
  <c r="J341" i="38"/>
  <c r="K341" i="38"/>
  <c r="L341" i="38"/>
  <c r="M341" i="38"/>
  <c r="N341" i="38"/>
  <c r="O341" i="38"/>
  <c r="P341" i="38"/>
  <c r="Q341" i="38"/>
  <c r="R341" i="38"/>
  <c r="S341" i="38"/>
  <c r="T341" i="38"/>
  <c r="U341" i="38"/>
  <c r="V341" i="38"/>
  <c r="W341" i="38"/>
  <c r="X341" i="38"/>
  <c r="Y341" i="38"/>
  <c r="Z341" i="38"/>
  <c r="D342" i="38"/>
  <c r="F342" i="38"/>
  <c r="G342" i="38"/>
  <c r="H342" i="38"/>
  <c r="I342" i="38"/>
  <c r="J342" i="38"/>
  <c r="K342" i="38"/>
  <c r="L342" i="38"/>
  <c r="M342" i="38"/>
  <c r="N342" i="38"/>
  <c r="O342" i="38"/>
  <c r="P342" i="38"/>
  <c r="Q342" i="38"/>
  <c r="R342" i="38"/>
  <c r="S342" i="38"/>
  <c r="T342" i="38"/>
  <c r="U342" i="38"/>
  <c r="V342" i="38"/>
  <c r="W342" i="38"/>
  <c r="X342" i="38"/>
  <c r="Y342" i="38"/>
  <c r="Z342" i="38"/>
  <c r="D343" i="38"/>
  <c r="F343" i="38"/>
  <c r="G343" i="38"/>
  <c r="H343" i="38"/>
  <c r="I343" i="38"/>
  <c r="J343" i="38"/>
  <c r="K343" i="38"/>
  <c r="L343" i="38"/>
  <c r="M343" i="38"/>
  <c r="N343" i="38"/>
  <c r="O343" i="38"/>
  <c r="P343" i="38"/>
  <c r="Q343" i="38"/>
  <c r="R343" i="38"/>
  <c r="S343" i="38"/>
  <c r="T343" i="38"/>
  <c r="U343" i="38"/>
  <c r="V343" i="38"/>
  <c r="W343" i="38"/>
  <c r="X343" i="38"/>
  <c r="Y343" i="38"/>
  <c r="Z343" i="38"/>
  <c r="D345" i="38"/>
  <c r="F345" i="38"/>
  <c r="G345" i="38"/>
  <c r="H345" i="38"/>
  <c r="I345" i="38"/>
  <c r="J345" i="38"/>
  <c r="K345" i="38"/>
  <c r="L345" i="38"/>
  <c r="M345" i="38"/>
  <c r="N345" i="38"/>
  <c r="O345" i="38"/>
  <c r="P345" i="38"/>
  <c r="Q345" i="38"/>
  <c r="R345" i="38"/>
  <c r="S345" i="38"/>
  <c r="T345" i="38"/>
  <c r="U345" i="38"/>
  <c r="V345" i="38"/>
  <c r="W345" i="38"/>
  <c r="X345" i="38"/>
  <c r="Y345" i="38"/>
  <c r="Z345" i="38"/>
  <c r="D346" i="38"/>
  <c r="F346" i="38"/>
  <c r="G346" i="38"/>
  <c r="H346" i="38"/>
  <c r="I346" i="38"/>
  <c r="J346" i="38"/>
  <c r="K346" i="38"/>
  <c r="L346" i="38"/>
  <c r="M346" i="38"/>
  <c r="N346" i="38"/>
  <c r="O346" i="38"/>
  <c r="P346" i="38"/>
  <c r="Q346" i="38"/>
  <c r="R346" i="38"/>
  <c r="S346" i="38"/>
  <c r="T346" i="38"/>
  <c r="U346" i="38"/>
  <c r="V346" i="38"/>
  <c r="W346" i="38"/>
  <c r="X346" i="38"/>
  <c r="Y346" i="38"/>
  <c r="Z346" i="38"/>
  <c r="D349" i="38"/>
  <c r="F349" i="38"/>
  <c r="G349" i="38"/>
  <c r="H349" i="38"/>
  <c r="I349" i="38"/>
  <c r="J349" i="38"/>
  <c r="K349" i="38"/>
  <c r="L349" i="38"/>
  <c r="M349" i="38"/>
  <c r="N349" i="38"/>
  <c r="O349" i="38"/>
  <c r="P349" i="38"/>
  <c r="Q349" i="38"/>
  <c r="R349" i="38"/>
  <c r="S349" i="38"/>
  <c r="T349" i="38"/>
  <c r="U349" i="38"/>
  <c r="V349" i="38"/>
  <c r="W349" i="38"/>
  <c r="X349" i="38"/>
  <c r="Y349" i="38"/>
  <c r="Z349" i="38"/>
  <c r="D350" i="38"/>
  <c r="F350" i="38"/>
  <c r="G350" i="38"/>
  <c r="H350" i="38"/>
  <c r="I350" i="38"/>
  <c r="J350" i="38"/>
  <c r="K350" i="38"/>
  <c r="L350" i="38"/>
  <c r="M350" i="38"/>
  <c r="N350" i="38"/>
  <c r="O350" i="38"/>
  <c r="P350" i="38"/>
  <c r="D351" i="38"/>
  <c r="F351" i="38"/>
  <c r="G351" i="38"/>
  <c r="H351" i="38"/>
  <c r="I351" i="38"/>
  <c r="J351" i="38"/>
  <c r="K351" i="38"/>
  <c r="L351" i="38"/>
  <c r="M351" i="38"/>
  <c r="N351" i="38"/>
  <c r="O351" i="38"/>
  <c r="P351" i="38"/>
  <c r="Q351" i="38"/>
  <c r="R351" i="38"/>
  <c r="S351" i="38"/>
  <c r="T351" i="38"/>
  <c r="U351" i="38"/>
  <c r="V351" i="38"/>
  <c r="W351" i="38"/>
  <c r="X351" i="38"/>
  <c r="Y351" i="38"/>
  <c r="Z351" i="38"/>
  <c r="D353" i="38"/>
  <c r="D354" i="38"/>
  <c r="D355" i="38"/>
  <c r="F360" i="38"/>
  <c r="G360" i="38"/>
  <c r="H360" i="38"/>
  <c r="I360" i="38"/>
  <c r="J360" i="38"/>
  <c r="K360" i="38"/>
  <c r="L360" i="38"/>
  <c r="M360" i="38"/>
  <c r="N360" i="38"/>
  <c r="O360" i="38"/>
  <c r="P360" i="38"/>
  <c r="Q360" i="38"/>
  <c r="R360" i="38"/>
  <c r="S360" i="38"/>
  <c r="T360" i="38"/>
  <c r="U360" i="38"/>
  <c r="V360" i="38"/>
  <c r="W360" i="38"/>
  <c r="X360" i="38"/>
  <c r="Y360" i="38"/>
  <c r="Z360" i="38"/>
  <c r="F363" i="38"/>
  <c r="G363" i="38"/>
  <c r="H363" i="38"/>
  <c r="I363" i="38"/>
  <c r="J363" i="38"/>
  <c r="K363" i="38"/>
  <c r="L363" i="38"/>
  <c r="M363" i="38"/>
  <c r="N363" i="38"/>
  <c r="O363" i="38"/>
  <c r="P363" i="38"/>
  <c r="F364" i="38"/>
  <c r="G364" i="38"/>
  <c r="H364" i="38"/>
  <c r="I364" i="38"/>
  <c r="J364" i="38"/>
  <c r="K364" i="38"/>
  <c r="L364" i="38"/>
  <c r="M364" i="38"/>
  <c r="N364" i="38"/>
  <c r="O364" i="38"/>
  <c r="P364" i="38"/>
  <c r="P365" i="38"/>
  <c r="P366" i="38"/>
  <c r="D367" i="38"/>
  <c r="F367" i="38"/>
  <c r="G367" i="38"/>
  <c r="H367" i="38"/>
  <c r="I367" i="38"/>
  <c r="J367" i="38"/>
  <c r="K367" i="38"/>
  <c r="L367" i="38"/>
  <c r="M367" i="38"/>
  <c r="N367" i="38"/>
  <c r="O367" i="38"/>
  <c r="P367" i="38"/>
  <c r="Q367" i="38"/>
  <c r="R367" i="38"/>
  <c r="S367" i="38"/>
  <c r="T367" i="38"/>
  <c r="U367" i="38"/>
  <c r="V367" i="38"/>
  <c r="W367" i="38"/>
  <c r="X367" i="38"/>
  <c r="Y367" i="38"/>
  <c r="Z367" i="38"/>
  <c r="D369" i="38"/>
  <c r="F372" i="38"/>
  <c r="G372" i="38"/>
  <c r="H372" i="38"/>
  <c r="I372" i="38"/>
  <c r="J372" i="38"/>
  <c r="K372" i="38"/>
  <c r="L372" i="38"/>
  <c r="M372" i="38"/>
  <c r="N372" i="38"/>
  <c r="O372" i="38"/>
  <c r="P372" i="38"/>
  <c r="Q372" i="38"/>
  <c r="R372" i="38"/>
  <c r="S372" i="38"/>
  <c r="T372" i="38"/>
  <c r="U372" i="38"/>
  <c r="V372" i="38"/>
  <c r="W372" i="38"/>
  <c r="X372" i="38"/>
  <c r="Y372" i="38"/>
  <c r="Z372" i="38"/>
  <c r="F373" i="38"/>
  <c r="G373" i="38"/>
  <c r="H373" i="38"/>
  <c r="I373" i="38"/>
  <c r="J373" i="38"/>
  <c r="K373" i="38"/>
  <c r="L373" i="38"/>
  <c r="M373" i="38"/>
  <c r="N373" i="38"/>
  <c r="O373" i="38"/>
  <c r="P373" i="38"/>
  <c r="Q373" i="38"/>
  <c r="R373" i="38"/>
  <c r="S373" i="38"/>
  <c r="T373" i="38"/>
  <c r="U373" i="38"/>
  <c r="V373" i="38"/>
  <c r="W373" i="38"/>
  <c r="X373" i="38"/>
  <c r="Y373" i="38"/>
  <c r="Z373" i="38"/>
  <c r="K374" i="38"/>
  <c r="K375" i="38"/>
  <c r="F376" i="38"/>
  <c r="G376" i="38"/>
  <c r="H376" i="38"/>
  <c r="I376" i="38"/>
  <c r="J376" i="38"/>
  <c r="K376" i="38"/>
  <c r="L376" i="38"/>
  <c r="M376" i="38"/>
  <c r="N376" i="38"/>
  <c r="O376" i="38"/>
  <c r="P376" i="38"/>
  <c r="F377" i="38"/>
  <c r="G377" i="38"/>
  <c r="H377" i="38"/>
  <c r="I377" i="38"/>
  <c r="J377" i="38"/>
  <c r="K377" i="38"/>
  <c r="L377" i="38"/>
  <c r="M377" i="38"/>
  <c r="N377" i="38"/>
  <c r="O377" i="38"/>
  <c r="P377" i="38"/>
  <c r="P378" i="38"/>
  <c r="D380" i="38"/>
  <c r="F380" i="38"/>
  <c r="G380" i="38"/>
  <c r="H380" i="38"/>
  <c r="I380" i="38"/>
  <c r="J380" i="38"/>
  <c r="K380" i="38"/>
  <c r="L380" i="38"/>
  <c r="M380" i="38"/>
  <c r="N380" i="38"/>
  <c r="O380" i="38"/>
  <c r="P380" i="38"/>
  <c r="Q380" i="38"/>
  <c r="R380" i="38"/>
  <c r="S380" i="38"/>
  <c r="T380" i="38"/>
  <c r="U380" i="38"/>
  <c r="V380" i="38"/>
  <c r="W380" i="38"/>
  <c r="X380" i="38"/>
  <c r="Y380" i="38"/>
  <c r="Z380" i="38"/>
  <c r="D382" i="38"/>
  <c r="D383" i="38"/>
  <c r="K385" i="38"/>
  <c r="L385" i="38"/>
  <c r="M385" i="38"/>
  <c r="N385" i="38"/>
  <c r="O385" i="38"/>
  <c r="P385" i="38"/>
  <c r="D388" i="38"/>
  <c r="G388" i="38"/>
  <c r="H388" i="38"/>
  <c r="I388" i="38"/>
  <c r="J388" i="38"/>
  <c r="K388" i="38"/>
  <c r="L388" i="38"/>
  <c r="M388" i="38"/>
  <c r="N388" i="38"/>
  <c r="O388" i="38"/>
  <c r="P388" i="38"/>
  <c r="Q388" i="38"/>
  <c r="R388" i="38"/>
  <c r="S388" i="38"/>
  <c r="T388" i="38"/>
  <c r="U388" i="38"/>
  <c r="V388" i="38"/>
  <c r="W388" i="38"/>
  <c r="X388" i="38"/>
  <c r="Y388" i="38"/>
  <c r="Z388" i="38"/>
  <c r="D389" i="38"/>
  <c r="F389" i="38"/>
  <c r="G389" i="38"/>
  <c r="H389" i="38"/>
  <c r="I389" i="38"/>
  <c r="J389" i="38"/>
  <c r="K389" i="38"/>
  <c r="L389" i="38"/>
  <c r="M389" i="38"/>
  <c r="N389" i="38"/>
  <c r="O389" i="38"/>
  <c r="P389" i="38"/>
  <c r="Q389" i="38"/>
  <c r="R389" i="38"/>
  <c r="S389" i="38"/>
  <c r="T389" i="38"/>
  <c r="U389" i="38"/>
  <c r="V389" i="38"/>
  <c r="W389" i="38"/>
  <c r="X389" i="38"/>
  <c r="Y389" i="38"/>
  <c r="Z389" i="38"/>
  <c r="D390" i="38"/>
  <c r="F390" i="38"/>
  <c r="G390" i="38"/>
  <c r="H390" i="38"/>
  <c r="I390" i="38"/>
  <c r="J390" i="38"/>
  <c r="K390" i="38"/>
  <c r="L390" i="38"/>
  <c r="M390" i="38"/>
  <c r="N390" i="38"/>
  <c r="O390" i="38"/>
  <c r="P390" i="38"/>
  <c r="D392" i="38"/>
  <c r="F392" i="38"/>
  <c r="G392" i="38"/>
  <c r="H392" i="38"/>
  <c r="I392" i="38"/>
  <c r="J392" i="38"/>
  <c r="K392" i="38"/>
  <c r="L392" i="38"/>
  <c r="M392" i="38"/>
  <c r="N392" i="38"/>
  <c r="O392" i="38"/>
  <c r="P392" i="38"/>
  <c r="D393" i="38"/>
  <c r="P393" i="38"/>
  <c r="D394" i="38"/>
  <c r="P394" i="38"/>
  <c r="D395" i="38"/>
  <c r="F395" i="38"/>
  <c r="G395" i="38"/>
  <c r="H395" i="38"/>
  <c r="I395" i="38"/>
  <c r="J395" i="38"/>
  <c r="K395" i="38"/>
  <c r="L395" i="38"/>
  <c r="M395" i="38"/>
  <c r="N395" i="38"/>
  <c r="O395" i="38"/>
  <c r="P395" i="38"/>
  <c r="Q395" i="38"/>
  <c r="R395" i="38"/>
  <c r="S395" i="38"/>
  <c r="T395" i="38"/>
  <c r="U395" i="38"/>
  <c r="V395" i="38"/>
  <c r="W395" i="38"/>
  <c r="X395" i="38"/>
  <c r="Y395" i="38"/>
  <c r="Z395" i="38"/>
  <c r="F400" i="38"/>
  <c r="G400" i="38"/>
  <c r="H400" i="38"/>
  <c r="I400" i="38"/>
  <c r="J400" i="38"/>
  <c r="K400" i="38"/>
  <c r="L400" i="38"/>
  <c r="M400" i="38"/>
  <c r="N400" i="38"/>
  <c r="O400" i="38"/>
  <c r="P400" i="38"/>
  <c r="Q400" i="38"/>
  <c r="R400" i="38"/>
  <c r="S400" i="38"/>
  <c r="T400" i="38"/>
  <c r="U400" i="38"/>
  <c r="V400" i="38"/>
  <c r="W400" i="38"/>
  <c r="X400" i="38"/>
  <c r="Y400" i="38"/>
  <c r="Z400" i="38"/>
  <c r="F403" i="38"/>
  <c r="G403" i="38"/>
  <c r="H403" i="38"/>
  <c r="I403" i="38"/>
  <c r="J403" i="38"/>
  <c r="K403" i="38"/>
  <c r="L403" i="38"/>
  <c r="M403" i="38"/>
  <c r="N403" i="38"/>
  <c r="O403" i="38"/>
  <c r="P403" i="38"/>
  <c r="F404" i="38"/>
  <c r="G404" i="38"/>
  <c r="H404" i="38"/>
  <c r="I404" i="38"/>
  <c r="J404" i="38"/>
  <c r="K404" i="38"/>
  <c r="L404" i="38"/>
  <c r="M404" i="38"/>
  <c r="N404" i="38"/>
  <c r="O404" i="38"/>
  <c r="P404" i="38"/>
  <c r="I405" i="38"/>
  <c r="P405" i="38"/>
  <c r="P406" i="38"/>
  <c r="D407" i="38"/>
  <c r="F407" i="38"/>
  <c r="G407" i="38"/>
  <c r="H407" i="38"/>
  <c r="I407" i="38"/>
  <c r="J407" i="38"/>
  <c r="K407" i="38"/>
  <c r="L407" i="38"/>
  <c r="M407" i="38"/>
  <c r="N407" i="38"/>
  <c r="O407" i="38"/>
  <c r="P407" i="38"/>
  <c r="Q407" i="38"/>
  <c r="R407" i="38"/>
  <c r="S407" i="38"/>
  <c r="T407" i="38"/>
  <c r="U407" i="38"/>
  <c r="V407" i="38"/>
  <c r="W407" i="38"/>
  <c r="X407" i="38"/>
  <c r="Y407" i="38"/>
  <c r="Z407" i="38"/>
  <c r="D409" i="38"/>
  <c r="F412" i="38"/>
  <c r="G412" i="38"/>
  <c r="H412" i="38"/>
  <c r="I412" i="38"/>
  <c r="J412" i="38"/>
  <c r="K412" i="38"/>
  <c r="L412" i="38"/>
  <c r="M412" i="38"/>
  <c r="N412" i="38"/>
  <c r="O412" i="38"/>
  <c r="P412" i="38"/>
  <c r="Q412" i="38"/>
  <c r="R412" i="38"/>
  <c r="S412" i="38"/>
  <c r="T412" i="38"/>
  <c r="U412" i="38"/>
  <c r="V412" i="38"/>
  <c r="W412" i="38"/>
  <c r="X412" i="38"/>
  <c r="Y412" i="38"/>
  <c r="Z412" i="38"/>
  <c r="F413" i="38"/>
  <c r="G413" i="38"/>
  <c r="H413" i="38"/>
  <c r="I413" i="38"/>
  <c r="J413" i="38"/>
  <c r="K413" i="38"/>
  <c r="L413" i="38"/>
  <c r="M413" i="38"/>
  <c r="N413" i="38"/>
  <c r="O413" i="38"/>
  <c r="P413" i="38"/>
  <c r="Q413" i="38"/>
  <c r="R413" i="38"/>
  <c r="S413" i="38"/>
  <c r="T413" i="38"/>
  <c r="U413" i="38"/>
  <c r="V413" i="38"/>
  <c r="W413" i="38"/>
  <c r="X413" i="38"/>
  <c r="Y413" i="38"/>
  <c r="Z413" i="38"/>
  <c r="K414" i="38"/>
  <c r="K415" i="38"/>
  <c r="F416" i="38"/>
  <c r="G416" i="38"/>
  <c r="H416" i="38"/>
  <c r="I416" i="38"/>
  <c r="J416" i="38"/>
  <c r="K416" i="38"/>
  <c r="L416" i="38"/>
  <c r="M416" i="38"/>
  <c r="N416" i="38"/>
  <c r="O416" i="38"/>
  <c r="P416" i="38"/>
  <c r="F417" i="38"/>
  <c r="G417" i="38"/>
  <c r="H417" i="38"/>
  <c r="I417" i="38"/>
  <c r="J417" i="38"/>
  <c r="K417" i="38"/>
  <c r="L417" i="38"/>
  <c r="M417" i="38"/>
  <c r="N417" i="38"/>
  <c r="O417" i="38"/>
  <c r="P417" i="38"/>
  <c r="I418" i="38"/>
  <c r="P418" i="38"/>
  <c r="D420" i="38"/>
  <c r="F420" i="38"/>
  <c r="G420" i="38"/>
  <c r="H420" i="38"/>
  <c r="I420" i="38"/>
  <c r="J420" i="38"/>
  <c r="K420" i="38"/>
  <c r="L420" i="38"/>
  <c r="M420" i="38"/>
  <c r="N420" i="38"/>
  <c r="O420" i="38"/>
  <c r="P420" i="38"/>
  <c r="Q420" i="38"/>
  <c r="R420" i="38"/>
  <c r="S420" i="38"/>
  <c r="T420" i="38"/>
  <c r="U420" i="38"/>
  <c r="V420" i="38"/>
  <c r="W420" i="38"/>
  <c r="X420" i="38"/>
  <c r="Y420" i="38"/>
  <c r="Z420" i="38"/>
  <c r="D422" i="38"/>
  <c r="D423" i="38"/>
  <c r="K425" i="38"/>
  <c r="L425" i="38"/>
  <c r="M425" i="38"/>
  <c r="N425" i="38"/>
  <c r="O425" i="38"/>
  <c r="P425" i="38"/>
  <c r="D428" i="38"/>
  <c r="G428" i="38"/>
  <c r="H428" i="38"/>
  <c r="I428" i="38"/>
  <c r="J428" i="38"/>
  <c r="K428" i="38"/>
  <c r="L428" i="38"/>
  <c r="M428" i="38"/>
  <c r="N428" i="38"/>
  <c r="O428" i="38"/>
  <c r="P428" i="38"/>
  <c r="Q428" i="38"/>
  <c r="R428" i="38"/>
  <c r="S428" i="38"/>
  <c r="T428" i="38"/>
  <c r="U428" i="38"/>
  <c r="V428" i="38"/>
  <c r="W428" i="38"/>
  <c r="X428" i="38"/>
  <c r="Y428" i="38"/>
  <c r="Z428" i="38"/>
  <c r="D429" i="38"/>
  <c r="F429" i="38"/>
  <c r="G429" i="38"/>
  <c r="H429" i="38"/>
  <c r="I429" i="38"/>
  <c r="J429" i="38"/>
  <c r="K429" i="38"/>
  <c r="L429" i="38"/>
  <c r="M429" i="38"/>
  <c r="N429" i="38"/>
  <c r="O429" i="38"/>
  <c r="P429" i="38"/>
  <c r="Q429" i="38"/>
  <c r="R429" i="38"/>
  <c r="S429" i="38"/>
  <c r="T429" i="38"/>
  <c r="U429" i="38"/>
  <c r="V429" i="38"/>
  <c r="W429" i="38"/>
  <c r="X429" i="38"/>
  <c r="Y429" i="38"/>
  <c r="Z429" i="38"/>
  <c r="D430" i="38"/>
  <c r="F430" i="38"/>
  <c r="G430" i="38"/>
  <c r="H430" i="38"/>
  <c r="I430" i="38"/>
  <c r="J430" i="38"/>
  <c r="K430" i="38"/>
  <c r="L430" i="38"/>
  <c r="M430" i="38"/>
  <c r="N430" i="38"/>
  <c r="O430" i="38"/>
  <c r="P430" i="38"/>
  <c r="D432" i="38"/>
  <c r="F432" i="38"/>
  <c r="G432" i="38"/>
  <c r="H432" i="38"/>
  <c r="I432" i="38"/>
  <c r="J432" i="38"/>
  <c r="K432" i="38"/>
  <c r="L432" i="38"/>
  <c r="M432" i="38"/>
  <c r="N432" i="38"/>
  <c r="O432" i="38"/>
  <c r="P432" i="38"/>
  <c r="D433" i="38"/>
  <c r="I433" i="38"/>
  <c r="P433" i="38"/>
  <c r="D434" i="38"/>
  <c r="P434" i="38"/>
  <c r="D435" i="38"/>
  <c r="F435" i="38"/>
  <c r="G435" i="38"/>
  <c r="H435" i="38"/>
  <c r="I435" i="38"/>
  <c r="J435" i="38"/>
  <c r="K435" i="38"/>
  <c r="L435" i="38"/>
  <c r="M435" i="38"/>
  <c r="N435" i="38"/>
  <c r="O435" i="38"/>
  <c r="P435" i="38"/>
  <c r="Q435" i="38"/>
  <c r="R435" i="38"/>
  <c r="S435" i="38"/>
  <c r="T435" i="38"/>
  <c r="U435" i="38"/>
  <c r="V435" i="38"/>
  <c r="W435" i="38"/>
  <c r="X435" i="38"/>
  <c r="Y435" i="38"/>
  <c r="Z435" i="38"/>
  <c r="F23" i="40"/>
  <c r="G23" i="40"/>
  <c r="H23" i="40"/>
  <c r="I23" i="40"/>
  <c r="J23" i="40"/>
  <c r="K23" i="40"/>
  <c r="L23" i="40"/>
  <c r="M23" i="40"/>
  <c r="N23" i="40"/>
  <c r="O23" i="40"/>
  <c r="P23" i="40"/>
  <c r="Q23" i="40"/>
  <c r="R23" i="40"/>
  <c r="S23" i="40"/>
  <c r="T23" i="40"/>
  <c r="U23" i="40"/>
  <c r="V23" i="40"/>
  <c r="W23" i="40"/>
  <c r="X23" i="40"/>
  <c r="Y23" i="40"/>
  <c r="Z23" i="40"/>
  <c r="F24" i="40"/>
  <c r="G24" i="40"/>
  <c r="H24" i="40"/>
  <c r="I24" i="40"/>
  <c r="J24" i="40"/>
  <c r="K24" i="40"/>
  <c r="L24" i="40"/>
  <c r="M24" i="40"/>
  <c r="N24" i="40"/>
  <c r="O24" i="40"/>
  <c r="P24" i="40"/>
  <c r="Q24" i="40"/>
  <c r="R24" i="40"/>
  <c r="S24" i="40"/>
  <c r="T24" i="40"/>
  <c r="U24" i="40"/>
  <c r="V24" i="40"/>
  <c r="W24" i="40"/>
  <c r="X24" i="40"/>
  <c r="Y24" i="40"/>
  <c r="Z24" i="40"/>
  <c r="F26" i="40"/>
  <c r="G26" i="40"/>
  <c r="H26" i="40"/>
  <c r="I26" i="40"/>
  <c r="J26" i="40"/>
  <c r="K26" i="40"/>
  <c r="L26" i="40"/>
  <c r="M26" i="40"/>
  <c r="N26" i="40"/>
  <c r="O26" i="40"/>
  <c r="P26" i="40"/>
  <c r="Q26" i="40"/>
  <c r="R26" i="40"/>
  <c r="S26" i="40"/>
  <c r="T26" i="40"/>
  <c r="U26" i="40"/>
  <c r="V26" i="40"/>
  <c r="W26" i="40"/>
  <c r="X26" i="40"/>
  <c r="Y26" i="40"/>
  <c r="Z26" i="40"/>
  <c r="F27" i="40"/>
  <c r="G27" i="40"/>
  <c r="H27" i="40"/>
  <c r="I27" i="40"/>
  <c r="J27" i="40"/>
  <c r="K27" i="40"/>
  <c r="L27" i="40"/>
  <c r="M27" i="40"/>
  <c r="N27" i="40"/>
  <c r="O27" i="40"/>
  <c r="P27" i="40"/>
  <c r="Q27" i="40"/>
  <c r="R27" i="40"/>
  <c r="S27" i="40"/>
  <c r="T27" i="40"/>
  <c r="U27" i="40"/>
  <c r="V27" i="40"/>
  <c r="W27" i="40"/>
  <c r="X27" i="40"/>
  <c r="Y27" i="40"/>
  <c r="Z27" i="40"/>
  <c r="F28" i="40"/>
  <c r="G28" i="40"/>
  <c r="H28" i="40"/>
  <c r="I28" i="40"/>
  <c r="J28" i="40"/>
  <c r="K28" i="40"/>
  <c r="L28" i="40"/>
  <c r="M28" i="40"/>
  <c r="N28" i="40"/>
  <c r="O28" i="40"/>
  <c r="P28" i="40"/>
  <c r="Q28" i="40"/>
  <c r="R28" i="40"/>
  <c r="S28" i="40"/>
  <c r="T28" i="40"/>
  <c r="U28" i="40"/>
  <c r="V28" i="40"/>
  <c r="W28" i="40"/>
  <c r="X28" i="40"/>
  <c r="Y28" i="40"/>
  <c r="Z28" i="40"/>
  <c r="F46" i="40"/>
  <c r="G46" i="40"/>
  <c r="H46" i="40"/>
  <c r="I46" i="40"/>
  <c r="J46" i="40"/>
  <c r="K46" i="40"/>
  <c r="L46" i="40"/>
  <c r="M46" i="40"/>
  <c r="N46" i="40"/>
  <c r="O46" i="40"/>
  <c r="P46" i="40"/>
  <c r="Q46" i="40"/>
  <c r="R46" i="40"/>
  <c r="S46" i="40"/>
  <c r="T46" i="40"/>
  <c r="U46" i="40"/>
  <c r="V46" i="40"/>
  <c r="W46" i="40"/>
  <c r="X46" i="40"/>
  <c r="Y46" i="40"/>
  <c r="Z46" i="40"/>
  <c r="F47" i="40"/>
  <c r="G47" i="40"/>
  <c r="H47" i="40"/>
  <c r="I47" i="40"/>
  <c r="J47" i="40"/>
  <c r="K47" i="40"/>
  <c r="L47" i="40"/>
  <c r="M47" i="40"/>
  <c r="N47" i="40"/>
  <c r="O47" i="40"/>
  <c r="P47" i="40"/>
  <c r="Q47" i="40"/>
  <c r="R47" i="40"/>
  <c r="S47" i="40"/>
  <c r="T47" i="40"/>
  <c r="U47" i="40"/>
  <c r="V47" i="40"/>
  <c r="W47" i="40"/>
  <c r="X47" i="40"/>
  <c r="Y47" i="40"/>
  <c r="Z47" i="40"/>
  <c r="F49" i="40"/>
  <c r="G49" i="40"/>
  <c r="H49" i="40"/>
  <c r="I49" i="40"/>
  <c r="J49" i="40"/>
  <c r="K49" i="40"/>
  <c r="L49" i="40"/>
  <c r="M49" i="40"/>
  <c r="N49" i="40"/>
  <c r="O49" i="40"/>
  <c r="P49" i="40"/>
  <c r="Q49" i="40"/>
  <c r="R49" i="40"/>
  <c r="S49" i="40"/>
  <c r="T49" i="40"/>
  <c r="U49" i="40"/>
  <c r="V49" i="40"/>
  <c r="W49" i="40"/>
  <c r="X49" i="40"/>
  <c r="Y49" i="40"/>
  <c r="Z49" i="40"/>
  <c r="F50" i="40"/>
  <c r="G50" i="40"/>
  <c r="H50" i="40"/>
  <c r="I50" i="40"/>
  <c r="J50" i="40"/>
  <c r="K50" i="40"/>
  <c r="L50" i="40"/>
  <c r="M50" i="40"/>
  <c r="N50" i="40"/>
  <c r="O50" i="40"/>
  <c r="P50" i="40"/>
  <c r="Q50" i="40"/>
  <c r="R50" i="40"/>
  <c r="S50" i="40"/>
  <c r="T50" i="40"/>
  <c r="U50" i="40"/>
  <c r="V50" i="40"/>
  <c r="W50" i="40"/>
  <c r="X50" i="40"/>
  <c r="Y50" i="40"/>
  <c r="Z50" i="40"/>
  <c r="F51" i="40"/>
  <c r="G51" i="40"/>
  <c r="H51" i="40"/>
  <c r="I51" i="40"/>
  <c r="J51" i="40"/>
  <c r="K51" i="40"/>
  <c r="L51" i="40"/>
  <c r="M51" i="40"/>
  <c r="N51" i="40"/>
  <c r="O51" i="40"/>
  <c r="P51" i="40"/>
  <c r="Q51" i="40"/>
  <c r="R51" i="40"/>
  <c r="S51" i="40"/>
  <c r="T51" i="40"/>
  <c r="U51" i="40"/>
  <c r="V51" i="40"/>
  <c r="W51" i="40"/>
  <c r="X51" i="40"/>
  <c r="Y51" i="40"/>
  <c r="Z51" i="40"/>
  <c r="F84" i="40"/>
  <c r="G84" i="40"/>
  <c r="H84" i="40"/>
  <c r="I84" i="40"/>
  <c r="J84" i="40"/>
  <c r="K84" i="40"/>
  <c r="L84" i="40"/>
  <c r="M84" i="40"/>
  <c r="N84" i="40"/>
  <c r="O84" i="40"/>
  <c r="P84" i="40"/>
  <c r="Q84" i="40"/>
  <c r="R84" i="40"/>
  <c r="S84" i="40"/>
  <c r="T84" i="40"/>
  <c r="U84" i="40"/>
  <c r="V84" i="40"/>
  <c r="W84" i="40"/>
  <c r="X84" i="40"/>
  <c r="Y84" i="40"/>
  <c r="Z84" i="40"/>
  <c r="F85" i="40"/>
  <c r="G85" i="40"/>
  <c r="H85" i="40"/>
  <c r="I85" i="40"/>
  <c r="J85" i="40"/>
  <c r="K85" i="40"/>
  <c r="L85" i="40"/>
  <c r="M85" i="40"/>
  <c r="N85" i="40"/>
  <c r="O85" i="40"/>
  <c r="P85" i="40"/>
  <c r="Q85" i="40"/>
  <c r="R85" i="40"/>
  <c r="S85" i="40"/>
  <c r="T85" i="40"/>
  <c r="U85" i="40"/>
  <c r="V85" i="40"/>
  <c r="W85" i="40"/>
  <c r="X85" i="40"/>
  <c r="Y85" i="40"/>
  <c r="Z85" i="40"/>
  <c r="F88" i="40"/>
  <c r="G88" i="40"/>
  <c r="H88" i="40"/>
  <c r="I88" i="40"/>
  <c r="J88" i="40"/>
  <c r="K88" i="40"/>
  <c r="L88" i="40"/>
  <c r="M88" i="40"/>
  <c r="N88" i="40"/>
  <c r="O88" i="40"/>
  <c r="P88" i="40"/>
  <c r="Q88" i="40"/>
  <c r="R88" i="40"/>
  <c r="S88" i="40"/>
  <c r="T88" i="40"/>
  <c r="U88" i="40"/>
  <c r="V88" i="40"/>
  <c r="W88" i="40"/>
  <c r="X88" i="40"/>
  <c r="Y88" i="40"/>
  <c r="Z88" i="40"/>
  <c r="F89" i="40"/>
  <c r="G89" i="40"/>
  <c r="H89" i="40"/>
  <c r="I89" i="40"/>
  <c r="J89" i="40"/>
  <c r="K89" i="40"/>
  <c r="L89" i="40"/>
  <c r="M89" i="40"/>
  <c r="N89" i="40"/>
  <c r="O89" i="40"/>
  <c r="P89" i="40"/>
  <c r="Q89" i="40"/>
  <c r="R89" i="40"/>
  <c r="S89" i="40"/>
  <c r="T89" i="40"/>
  <c r="U89" i="40"/>
  <c r="V89" i="40"/>
  <c r="W89" i="40"/>
  <c r="X89" i="40"/>
  <c r="Y89" i="40"/>
  <c r="Z89" i="40"/>
  <c r="F91" i="40"/>
  <c r="G91" i="40"/>
  <c r="H91" i="40"/>
  <c r="I91" i="40"/>
  <c r="J91" i="40"/>
  <c r="K91" i="40"/>
  <c r="L91" i="40"/>
  <c r="M91" i="40"/>
  <c r="N91" i="40"/>
  <c r="O91" i="40"/>
  <c r="P91" i="40"/>
  <c r="Q91" i="40"/>
  <c r="R91" i="40"/>
  <c r="S91" i="40"/>
  <c r="T91" i="40"/>
  <c r="U91" i="40"/>
  <c r="V91" i="40"/>
  <c r="W91" i="40"/>
  <c r="X91" i="40"/>
  <c r="Y91" i="40"/>
  <c r="Z91" i="40"/>
  <c r="F92" i="40"/>
  <c r="G92" i="40"/>
  <c r="H92" i="40"/>
  <c r="I92" i="40"/>
  <c r="J92" i="40"/>
  <c r="K92" i="40"/>
  <c r="L92" i="40"/>
  <c r="M92" i="40"/>
  <c r="N92" i="40"/>
  <c r="O92" i="40"/>
  <c r="P92" i="40"/>
  <c r="Q92" i="40"/>
  <c r="R92" i="40"/>
  <c r="S92" i="40"/>
  <c r="T92" i="40"/>
  <c r="U92" i="40"/>
  <c r="V92" i="40"/>
  <c r="W92" i="40"/>
  <c r="X92" i="40"/>
  <c r="Y92" i="40"/>
  <c r="Z92" i="40"/>
  <c r="F93" i="40"/>
  <c r="G93" i="40"/>
  <c r="H93" i="40"/>
  <c r="I93" i="40"/>
  <c r="J93" i="40"/>
  <c r="K93" i="40"/>
  <c r="L93" i="40"/>
  <c r="M93" i="40"/>
  <c r="N93" i="40"/>
  <c r="O93" i="40"/>
  <c r="P93" i="40"/>
  <c r="Q93" i="40"/>
  <c r="R93" i="40"/>
  <c r="S93" i="40"/>
  <c r="T93" i="40"/>
  <c r="U93" i="40"/>
  <c r="V93" i="40"/>
  <c r="W93" i="40"/>
  <c r="X93" i="40"/>
  <c r="Y93" i="40"/>
  <c r="Z93" i="40"/>
  <c r="F105" i="40"/>
  <c r="G105" i="40"/>
  <c r="H105" i="40"/>
  <c r="I105" i="40"/>
  <c r="J105" i="40"/>
  <c r="K105" i="40"/>
  <c r="L105" i="40"/>
  <c r="M105" i="40"/>
  <c r="N105" i="40"/>
  <c r="O105" i="40"/>
  <c r="P105" i="40"/>
  <c r="Q105" i="40"/>
  <c r="R105" i="40"/>
  <c r="S105" i="40"/>
  <c r="T105" i="40"/>
  <c r="U105" i="40"/>
  <c r="V105" i="40"/>
  <c r="W105" i="40"/>
  <c r="X105" i="40"/>
  <c r="Y105" i="40"/>
  <c r="Z105" i="40"/>
  <c r="F106" i="40"/>
  <c r="G106" i="40"/>
  <c r="H106" i="40"/>
  <c r="I106" i="40"/>
  <c r="J106" i="40"/>
  <c r="K106" i="40"/>
  <c r="L106" i="40"/>
  <c r="M106" i="40"/>
  <c r="N106" i="40"/>
  <c r="O106" i="40"/>
  <c r="P106" i="40"/>
  <c r="Q106" i="40"/>
  <c r="R106" i="40"/>
  <c r="S106" i="40"/>
  <c r="T106" i="40"/>
  <c r="U106" i="40"/>
  <c r="V106" i="40"/>
  <c r="W106" i="40"/>
  <c r="X106" i="40"/>
  <c r="Y106" i="40"/>
  <c r="Z106" i="40"/>
  <c r="F109" i="40"/>
  <c r="G109" i="40"/>
  <c r="H109" i="40"/>
  <c r="I109" i="40"/>
  <c r="J109" i="40"/>
  <c r="K109" i="40"/>
  <c r="L109" i="40"/>
  <c r="M109" i="40"/>
  <c r="N109" i="40"/>
  <c r="O109" i="40"/>
  <c r="P109" i="40"/>
  <c r="Q109" i="40"/>
  <c r="R109" i="40"/>
  <c r="S109" i="40"/>
  <c r="T109" i="40"/>
  <c r="U109" i="40"/>
  <c r="V109" i="40"/>
  <c r="W109" i="40"/>
  <c r="X109" i="40"/>
  <c r="Y109" i="40"/>
  <c r="Z109" i="40"/>
  <c r="F110" i="40"/>
  <c r="G110" i="40"/>
  <c r="H110" i="40"/>
  <c r="I110" i="40"/>
  <c r="J110" i="40"/>
  <c r="K110" i="40"/>
  <c r="L110" i="40"/>
  <c r="M110" i="40"/>
  <c r="N110" i="40"/>
  <c r="O110" i="40"/>
  <c r="P110" i="40"/>
  <c r="Q110" i="40"/>
  <c r="R110" i="40"/>
  <c r="S110" i="40"/>
  <c r="T110" i="40"/>
  <c r="U110" i="40"/>
  <c r="V110" i="40"/>
  <c r="W110" i="40"/>
  <c r="X110" i="40"/>
  <c r="Y110" i="40"/>
  <c r="Z110" i="40"/>
  <c r="F112" i="40"/>
  <c r="G112" i="40"/>
  <c r="H112" i="40"/>
  <c r="I112" i="40"/>
  <c r="J112" i="40"/>
  <c r="K112" i="40"/>
  <c r="L112" i="40"/>
  <c r="M112" i="40"/>
  <c r="N112" i="40"/>
  <c r="O112" i="40"/>
  <c r="P112" i="40"/>
  <c r="Q112" i="40"/>
  <c r="R112" i="40"/>
  <c r="S112" i="40"/>
  <c r="T112" i="40"/>
  <c r="U112" i="40"/>
  <c r="V112" i="40"/>
  <c r="W112" i="40"/>
  <c r="X112" i="40"/>
  <c r="Y112" i="40"/>
  <c r="Z112" i="40"/>
  <c r="F113" i="40"/>
  <c r="G113" i="40"/>
  <c r="H113" i="40"/>
  <c r="I113" i="40"/>
  <c r="J113" i="40"/>
  <c r="K113" i="40"/>
  <c r="L113" i="40"/>
  <c r="M113" i="40"/>
  <c r="N113" i="40"/>
  <c r="O113" i="40"/>
  <c r="P113" i="40"/>
  <c r="Q113" i="40"/>
  <c r="R113" i="40"/>
  <c r="S113" i="40"/>
  <c r="T113" i="40"/>
  <c r="U113" i="40"/>
  <c r="V113" i="40"/>
  <c r="W113" i="40"/>
  <c r="X113" i="40"/>
  <c r="Y113" i="40"/>
  <c r="Z113" i="40"/>
  <c r="F114" i="40"/>
  <c r="G114" i="40"/>
  <c r="H114" i="40"/>
  <c r="I114" i="40"/>
  <c r="J114" i="40"/>
  <c r="K114" i="40"/>
  <c r="L114" i="40"/>
  <c r="M114" i="40"/>
  <c r="N114" i="40"/>
  <c r="O114" i="40"/>
  <c r="P114" i="40"/>
  <c r="Q114" i="40"/>
  <c r="R114" i="40"/>
  <c r="S114" i="40"/>
  <c r="T114" i="40"/>
  <c r="U114" i="40"/>
  <c r="V114" i="40"/>
  <c r="W114" i="40"/>
  <c r="X114" i="40"/>
  <c r="Y114" i="40"/>
  <c r="Z114" i="40"/>
  <c r="F131" i="40"/>
  <c r="G131" i="40"/>
  <c r="H131" i="40"/>
  <c r="I131" i="40"/>
  <c r="J131" i="40"/>
  <c r="K131" i="40"/>
  <c r="L131" i="40"/>
  <c r="M131" i="40"/>
  <c r="N131" i="40"/>
  <c r="O131" i="40"/>
  <c r="P131" i="40"/>
  <c r="Q131" i="40"/>
  <c r="R131" i="40"/>
  <c r="S131" i="40"/>
  <c r="T131" i="40"/>
  <c r="U131" i="40"/>
  <c r="V131" i="40"/>
  <c r="W131" i="40"/>
  <c r="X131" i="40"/>
  <c r="Y131" i="40"/>
  <c r="Z131" i="40"/>
  <c r="F132" i="40"/>
  <c r="G132" i="40"/>
  <c r="H132" i="40"/>
  <c r="I132" i="40"/>
  <c r="J132" i="40"/>
  <c r="K132" i="40"/>
  <c r="L132" i="40"/>
  <c r="M132" i="40"/>
  <c r="N132" i="40"/>
  <c r="O132" i="40"/>
  <c r="P132" i="40"/>
  <c r="Q132" i="40"/>
  <c r="R132" i="40"/>
  <c r="S132" i="40"/>
  <c r="T132" i="40"/>
  <c r="U132" i="40"/>
  <c r="V132" i="40"/>
  <c r="W132" i="40"/>
  <c r="X132" i="40"/>
  <c r="Y132" i="40"/>
  <c r="Z132" i="40"/>
  <c r="F134" i="40"/>
  <c r="G134" i="40"/>
  <c r="H134" i="40"/>
  <c r="I134" i="40"/>
  <c r="J134" i="40"/>
  <c r="K134" i="40"/>
  <c r="L134" i="40"/>
  <c r="M134" i="40"/>
  <c r="N134" i="40"/>
  <c r="O134" i="40"/>
  <c r="P134" i="40"/>
  <c r="Q134" i="40"/>
  <c r="R134" i="40"/>
  <c r="S134" i="40"/>
  <c r="T134" i="40"/>
  <c r="U134" i="40"/>
  <c r="V134" i="40"/>
  <c r="W134" i="40"/>
  <c r="X134" i="40"/>
  <c r="Y134" i="40"/>
  <c r="Z134" i="40"/>
  <c r="F135" i="40"/>
  <c r="G135" i="40"/>
  <c r="H135" i="40"/>
  <c r="I135" i="40"/>
  <c r="J135" i="40"/>
  <c r="K135" i="40"/>
  <c r="L135" i="40"/>
  <c r="M135" i="40"/>
  <c r="N135" i="40"/>
  <c r="O135" i="40"/>
  <c r="P135" i="40"/>
  <c r="Q135" i="40"/>
  <c r="R135" i="40"/>
  <c r="S135" i="40"/>
  <c r="T135" i="40"/>
  <c r="U135" i="40"/>
  <c r="V135" i="40"/>
  <c r="W135" i="40"/>
  <c r="X135" i="40"/>
  <c r="Y135" i="40"/>
  <c r="Z135" i="40"/>
  <c r="F136" i="40"/>
  <c r="G136" i="40"/>
  <c r="H136" i="40"/>
  <c r="I136" i="40"/>
  <c r="J136" i="40"/>
  <c r="K136" i="40"/>
  <c r="L136" i="40"/>
  <c r="M136" i="40"/>
  <c r="N136" i="40"/>
  <c r="O136" i="40"/>
  <c r="P136" i="40"/>
  <c r="Q136" i="40"/>
  <c r="R136" i="40"/>
  <c r="S136" i="40"/>
  <c r="T136" i="40"/>
  <c r="U136" i="40"/>
  <c r="V136" i="40"/>
  <c r="W136" i="40"/>
  <c r="X136" i="40"/>
  <c r="Y136" i="40"/>
  <c r="Z136" i="40"/>
  <c r="F138" i="40"/>
  <c r="G138" i="40"/>
  <c r="H138" i="40"/>
  <c r="I138" i="40"/>
  <c r="J138" i="40"/>
  <c r="K138" i="40"/>
  <c r="L138" i="40"/>
  <c r="M138" i="40"/>
  <c r="N138" i="40"/>
  <c r="O138" i="40"/>
  <c r="P138" i="40"/>
  <c r="Q138" i="40"/>
  <c r="R138" i="40"/>
  <c r="S138" i="40"/>
  <c r="T138" i="40"/>
  <c r="U138" i="40"/>
  <c r="V138" i="40"/>
  <c r="W138" i="40"/>
  <c r="X138" i="40"/>
  <c r="Y138" i="40"/>
  <c r="Z138" i="40"/>
  <c r="G141" i="40"/>
  <c r="H141" i="40"/>
  <c r="I141" i="40"/>
  <c r="J141" i="40"/>
  <c r="K141" i="40"/>
  <c r="L141" i="40"/>
  <c r="M141" i="40"/>
  <c r="N141" i="40"/>
  <c r="O141" i="40"/>
  <c r="P141" i="40"/>
  <c r="Q141" i="40"/>
  <c r="R141" i="40"/>
  <c r="S141" i="40"/>
  <c r="T141" i="40"/>
  <c r="U141" i="40"/>
  <c r="V141" i="40"/>
  <c r="W141" i="40"/>
  <c r="X141" i="40"/>
  <c r="Y141" i="40"/>
  <c r="Z141" i="40"/>
  <c r="I142" i="40"/>
  <c r="F143" i="40"/>
  <c r="G143" i="40"/>
  <c r="H143" i="40"/>
  <c r="I143" i="40"/>
  <c r="J143" i="40"/>
  <c r="K143" i="40"/>
  <c r="L143" i="40"/>
  <c r="M143" i="40"/>
  <c r="N143" i="40"/>
  <c r="O143" i="40"/>
  <c r="P143" i="40"/>
  <c r="Q143" i="40"/>
  <c r="R143" i="40"/>
  <c r="S143" i="40"/>
  <c r="T143" i="40"/>
  <c r="U143" i="40"/>
  <c r="V143" i="40"/>
  <c r="W143" i="40"/>
  <c r="X143" i="40"/>
  <c r="Y143" i="40"/>
  <c r="Z143" i="40"/>
  <c r="F144" i="40"/>
  <c r="G144" i="40"/>
  <c r="H144" i="40"/>
  <c r="I144" i="40"/>
  <c r="J144" i="40"/>
  <c r="K144" i="40"/>
  <c r="L144" i="40"/>
  <c r="M144" i="40"/>
  <c r="N144" i="40"/>
  <c r="O144" i="40"/>
  <c r="P144" i="40"/>
  <c r="Q144" i="40"/>
  <c r="R144" i="40"/>
  <c r="S144" i="40"/>
  <c r="T144" i="40"/>
  <c r="U144" i="40"/>
  <c r="V144" i="40"/>
  <c r="W144" i="40"/>
  <c r="X144" i="40"/>
  <c r="Y144" i="40"/>
  <c r="Z144" i="40"/>
  <c r="F146" i="40"/>
  <c r="G146" i="40"/>
  <c r="H146" i="40"/>
  <c r="I146" i="40"/>
  <c r="J146" i="40"/>
  <c r="K146" i="40"/>
  <c r="L146" i="40"/>
  <c r="M146" i="40"/>
  <c r="N146" i="40"/>
  <c r="O146" i="40"/>
  <c r="P146" i="40"/>
  <c r="Q146" i="40"/>
  <c r="R146" i="40"/>
  <c r="S146" i="40"/>
  <c r="T146" i="40"/>
  <c r="U146" i="40"/>
  <c r="V146" i="40"/>
  <c r="W146" i="40"/>
  <c r="X146" i="40"/>
  <c r="Y146" i="40"/>
  <c r="Z146" i="40"/>
  <c r="F147" i="40"/>
  <c r="G147" i="40"/>
  <c r="H147" i="40"/>
  <c r="I147" i="40"/>
  <c r="J147" i="40"/>
  <c r="K147" i="40"/>
  <c r="L147" i="40"/>
  <c r="M147" i="40"/>
  <c r="N147" i="40"/>
  <c r="O147" i="40"/>
  <c r="P147" i="40"/>
  <c r="Q147" i="40"/>
  <c r="R147" i="40"/>
  <c r="S147" i="40"/>
  <c r="T147" i="40"/>
  <c r="U147" i="40"/>
  <c r="V147" i="40"/>
  <c r="W147" i="40"/>
  <c r="X147" i="40"/>
  <c r="Y147" i="40"/>
  <c r="Z147" i="40"/>
  <c r="F148" i="40"/>
  <c r="G148" i="40"/>
  <c r="H148" i="40"/>
  <c r="I148" i="40"/>
  <c r="J148" i="40"/>
  <c r="K148" i="40"/>
  <c r="L148" i="40"/>
  <c r="M148" i="40"/>
  <c r="N148" i="40"/>
  <c r="O148" i="40"/>
  <c r="P148" i="40"/>
  <c r="Q148" i="40"/>
  <c r="R148" i="40"/>
  <c r="S148" i="40"/>
  <c r="T148" i="40"/>
  <c r="U148" i="40"/>
  <c r="V148" i="40"/>
  <c r="W148" i="40"/>
  <c r="X148" i="40"/>
  <c r="Y148" i="40"/>
  <c r="Z148" i="40"/>
  <c r="I150" i="40"/>
  <c r="F152" i="40"/>
  <c r="G152" i="40"/>
  <c r="H152" i="40"/>
  <c r="I152" i="40"/>
  <c r="J152" i="40"/>
  <c r="K152" i="40"/>
  <c r="L152" i="40"/>
  <c r="M152" i="40"/>
  <c r="N152" i="40"/>
  <c r="O152" i="40"/>
  <c r="P152" i="40"/>
  <c r="Q152" i="40"/>
  <c r="R152" i="40"/>
  <c r="S152" i="40"/>
  <c r="T152" i="40"/>
  <c r="U152" i="40"/>
  <c r="V152" i="40"/>
  <c r="W152" i="40"/>
  <c r="X152" i="40"/>
  <c r="Y152" i="40"/>
  <c r="Z152" i="40"/>
  <c r="N156" i="40"/>
  <c r="I157" i="40"/>
  <c r="N158" i="40"/>
  <c r="N159" i="40"/>
  <c r="I160" i="40"/>
  <c r="N160" i="40"/>
  <c r="F163" i="40"/>
  <c r="G163" i="40"/>
  <c r="H163" i="40"/>
  <c r="I163" i="40"/>
  <c r="J163" i="40"/>
  <c r="K163" i="40"/>
  <c r="L163" i="40"/>
  <c r="M163" i="40"/>
  <c r="N163" i="40"/>
  <c r="D197" i="40"/>
  <c r="F197" i="40"/>
  <c r="G197" i="40"/>
  <c r="H197" i="40"/>
  <c r="I197" i="40"/>
  <c r="K197" i="40"/>
  <c r="L197" i="40"/>
  <c r="M197" i="40"/>
  <c r="N197" i="40"/>
  <c r="O197" i="40"/>
  <c r="Q197" i="40"/>
  <c r="R197" i="40"/>
  <c r="S197" i="40"/>
  <c r="T197" i="40"/>
  <c r="U197" i="40"/>
  <c r="V197" i="40"/>
  <c r="W197" i="40"/>
  <c r="X197" i="40"/>
  <c r="Y197" i="40"/>
  <c r="Z197" i="40"/>
  <c r="F201" i="40"/>
  <c r="G201" i="40"/>
  <c r="H201" i="40"/>
  <c r="I201" i="40"/>
  <c r="K201" i="40"/>
  <c r="L201" i="40"/>
  <c r="M201" i="40"/>
  <c r="N201" i="40"/>
  <c r="O201" i="40"/>
  <c r="Q201" i="40"/>
  <c r="R201" i="40"/>
  <c r="S201" i="40"/>
  <c r="T201" i="40"/>
  <c r="U201" i="40"/>
  <c r="V201" i="40"/>
  <c r="W201" i="40"/>
  <c r="X201" i="40"/>
  <c r="Y201" i="40"/>
  <c r="Z201" i="40"/>
  <c r="F203" i="40"/>
  <c r="G203" i="40"/>
  <c r="H203" i="40"/>
  <c r="I203" i="40"/>
  <c r="K203" i="40"/>
  <c r="L203" i="40"/>
  <c r="M203" i="40"/>
  <c r="N203" i="40"/>
  <c r="O203" i="40"/>
  <c r="Q203" i="40"/>
  <c r="R203" i="40"/>
  <c r="S203" i="40"/>
  <c r="T203" i="40"/>
  <c r="U203" i="40"/>
  <c r="V203" i="40"/>
  <c r="W203" i="40"/>
  <c r="X203" i="40"/>
  <c r="Y203" i="40"/>
  <c r="Z203" i="40"/>
  <c r="F207" i="40"/>
  <c r="G207" i="40"/>
  <c r="H207" i="40"/>
  <c r="I207" i="40"/>
  <c r="K207" i="40"/>
  <c r="L207" i="40"/>
  <c r="M207" i="40"/>
  <c r="N207" i="40"/>
  <c r="O207" i="40"/>
  <c r="Q207" i="40"/>
  <c r="R207" i="40"/>
  <c r="S207" i="40"/>
  <c r="T207" i="40"/>
  <c r="U207" i="40"/>
  <c r="V207" i="40"/>
  <c r="W207" i="40"/>
  <c r="X207" i="40"/>
  <c r="Y207" i="40"/>
  <c r="Z207" i="40"/>
  <c r="F208" i="40"/>
  <c r="G208" i="40"/>
  <c r="H208" i="40"/>
  <c r="I208" i="40"/>
  <c r="K208" i="40"/>
  <c r="L208" i="40"/>
  <c r="M208" i="40"/>
  <c r="N208" i="40"/>
  <c r="O208" i="40"/>
  <c r="Q208" i="40"/>
  <c r="R208" i="40"/>
  <c r="S208" i="40"/>
  <c r="T208" i="40"/>
  <c r="U208" i="40"/>
  <c r="V208" i="40"/>
  <c r="W208" i="40"/>
  <c r="X208" i="40"/>
  <c r="Y208" i="40"/>
  <c r="Z208" i="40"/>
  <c r="F209" i="40"/>
  <c r="G209" i="40"/>
  <c r="H209" i="40"/>
  <c r="I209" i="40"/>
  <c r="K209" i="40"/>
  <c r="L209" i="40"/>
  <c r="M209" i="40"/>
  <c r="N209" i="40"/>
  <c r="O209" i="40"/>
  <c r="Q209" i="40"/>
  <c r="R209" i="40"/>
  <c r="S209" i="40"/>
  <c r="T209" i="40"/>
  <c r="U209" i="40"/>
  <c r="V209" i="40"/>
  <c r="W209" i="40"/>
  <c r="X209" i="40"/>
  <c r="Y209" i="40"/>
  <c r="Z209" i="40"/>
  <c r="F219" i="40"/>
  <c r="G219" i="40"/>
  <c r="H219" i="40"/>
  <c r="I219" i="40"/>
  <c r="K219" i="40"/>
  <c r="L219" i="40"/>
  <c r="M219" i="40"/>
  <c r="N219" i="40"/>
  <c r="O219" i="40"/>
  <c r="Q219" i="40"/>
  <c r="R219" i="40"/>
  <c r="S219" i="40"/>
  <c r="T219" i="40"/>
  <c r="U219" i="40"/>
  <c r="V219" i="40"/>
  <c r="W219" i="40"/>
  <c r="X219" i="40"/>
  <c r="Y219" i="40"/>
  <c r="Z219" i="40"/>
  <c r="F223" i="40"/>
  <c r="G223" i="40"/>
  <c r="H223" i="40"/>
  <c r="I223" i="40"/>
  <c r="K223" i="40"/>
  <c r="L223" i="40"/>
  <c r="M223" i="40"/>
  <c r="N223" i="40"/>
  <c r="O223" i="40"/>
  <c r="Q223" i="40"/>
  <c r="R223" i="40"/>
  <c r="S223" i="40"/>
  <c r="T223" i="40"/>
  <c r="U223" i="40"/>
  <c r="V223" i="40"/>
  <c r="W223" i="40"/>
  <c r="X223" i="40"/>
  <c r="Y223" i="40"/>
  <c r="Z223" i="40"/>
  <c r="N227" i="40"/>
  <c r="N228" i="40"/>
  <c r="N230" i="40"/>
  <c r="F232" i="40"/>
  <c r="G232" i="40"/>
  <c r="H232" i="40"/>
  <c r="I232" i="40"/>
  <c r="K232" i="40"/>
  <c r="L232" i="40"/>
  <c r="M232" i="40"/>
  <c r="N232" i="40"/>
  <c r="F280" i="40"/>
  <c r="G280" i="40"/>
  <c r="H280" i="40"/>
  <c r="I280" i="40"/>
  <c r="J280" i="40"/>
  <c r="K280" i="40"/>
  <c r="L280" i="40"/>
  <c r="M280" i="40"/>
  <c r="N280" i="40"/>
  <c r="F282" i="40"/>
  <c r="G282" i="40"/>
  <c r="H282" i="40"/>
  <c r="I282" i="40"/>
  <c r="J282" i="40"/>
  <c r="K282" i="40"/>
  <c r="L282" i="40"/>
  <c r="M282" i="40"/>
  <c r="N282" i="40"/>
  <c r="O282" i="40"/>
  <c r="P282" i="40"/>
  <c r="Q282" i="40"/>
  <c r="R282" i="40"/>
  <c r="S282" i="40"/>
  <c r="T282" i="40"/>
  <c r="U282" i="40"/>
  <c r="V282" i="40"/>
  <c r="W282" i="40"/>
  <c r="X282" i="40"/>
  <c r="Y282" i="40"/>
  <c r="Z282" i="40"/>
  <c r="F283" i="40"/>
  <c r="G283" i="40"/>
  <c r="H283" i="40"/>
  <c r="I283" i="40"/>
  <c r="J283" i="40"/>
  <c r="K283" i="40"/>
  <c r="L283" i="40"/>
  <c r="M283" i="40"/>
  <c r="N283" i="40"/>
  <c r="O283" i="40"/>
  <c r="P283" i="40"/>
  <c r="Q283" i="40"/>
  <c r="R283" i="40"/>
  <c r="S283" i="40"/>
  <c r="T283" i="40"/>
  <c r="U283" i="40"/>
  <c r="V283" i="40"/>
  <c r="W283" i="40"/>
  <c r="X283" i="40"/>
  <c r="Y283" i="40"/>
  <c r="Z283" i="40"/>
  <c r="D292" i="40"/>
  <c r="G292" i="40"/>
  <c r="H292" i="40"/>
  <c r="D295" i="40"/>
  <c r="G295" i="40"/>
  <c r="H295" i="40"/>
  <c r="D298" i="40"/>
  <c r="F298" i="40"/>
  <c r="G298" i="40"/>
  <c r="H298" i="40"/>
  <c r="I298" i="40"/>
  <c r="J298" i="40"/>
  <c r="K298" i="40"/>
  <c r="L298" i="40"/>
  <c r="M298" i="40"/>
  <c r="N298" i="40"/>
  <c r="O298" i="40"/>
  <c r="P298" i="40"/>
  <c r="Q298" i="40"/>
  <c r="R298" i="40"/>
  <c r="S298" i="40"/>
  <c r="T298" i="40"/>
  <c r="U298" i="40"/>
  <c r="V298" i="40"/>
  <c r="W298" i="40"/>
  <c r="X298" i="40"/>
  <c r="Y298" i="40"/>
  <c r="Z298" i="40"/>
  <c r="D299" i="40"/>
  <c r="F299" i="40"/>
  <c r="G299" i="40"/>
  <c r="H299" i="40"/>
  <c r="I299" i="40"/>
  <c r="J299" i="40"/>
  <c r="K299" i="40"/>
  <c r="L299" i="40"/>
  <c r="M299" i="40"/>
  <c r="N299" i="40"/>
  <c r="O299" i="40"/>
  <c r="P299" i="40"/>
  <c r="Q299" i="40"/>
  <c r="R299" i="40"/>
  <c r="S299" i="40"/>
  <c r="T299" i="40"/>
  <c r="U299" i="40"/>
  <c r="V299" i="40"/>
  <c r="W299" i="40"/>
  <c r="X299" i="40"/>
  <c r="Y299" i="40"/>
  <c r="Z299" i="40"/>
  <c r="D300" i="40"/>
  <c r="F300" i="40"/>
  <c r="G300" i="40"/>
  <c r="H300" i="40"/>
  <c r="I300" i="40"/>
  <c r="J300" i="40"/>
  <c r="K300" i="40"/>
  <c r="L300" i="40"/>
  <c r="M300" i="40"/>
  <c r="N300" i="40"/>
  <c r="O300" i="40"/>
  <c r="P300" i="40"/>
  <c r="Q300" i="40"/>
  <c r="R300" i="40"/>
  <c r="S300" i="40"/>
  <c r="T300" i="40"/>
  <c r="U300" i="40"/>
  <c r="V300" i="40"/>
  <c r="W300" i="40"/>
  <c r="X300" i="40"/>
  <c r="Y300" i="40"/>
  <c r="Z300" i="40"/>
  <c r="D301" i="40"/>
  <c r="F301" i="40"/>
  <c r="G301" i="40"/>
  <c r="H301" i="40"/>
  <c r="I301" i="40"/>
  <c r="J301" i="40"/>
  <c r="K301" i="40"/>
  <c r="L301" i="40"/>
  <c r="M301" i="40"/>
  <c r="N301" i="40"/>
  <c r="O301" i="40"/>
  <c r="P301" i="40"/>
  <c r="Q301" i="40"/>
  <c r="R301" i="40"/>
  <c r="S301" i="40"/>
  <c r="T301" i="40"/>
  <c r="U301" i="40"/>
  <c r="V301" i="40"/>
  <c r="W301" i="40"/>
  <c r="X301" i="40"/>
  <c r="Y301" i="40"/>
  <c r="Z301" i="40"/>
  <c r="D302" i="40"/>
  <c r="F302" i="40"/>
  <c r="G302" i="40"/>
  <c r="H302" i="40"/>
  <c r="I302" i="40"/>
  <c r="J302" i="40"/>
  <c r="K302" i="40"/>
  <c r="L302" i="40"/>
  <c r="M302" i="40"/>
  <c r="N302" i="40"/>
  <c r="O302" i="40"/>
  <c r="P302" i="40"/>
  <c r="Q302" i="40"/>
  <c r="R302" i="40"/>
  <c r="S302" i="40"/>
  <c r="T302" i="40"/>
  <c r="U302" i="40"/>
  <c r="V302" i="40"/>
  <c r="W302" i="40"/>
  <c r="X302" i="40"/>
  <c r="Y302" i="40"/>
  <c r="Z302" i="40"/>
  <c r="D303" i="40"/>
  <c r="F303" i="40"/>
  <c r="G303" i="40"/>
  <c r="H303" i="40"/>
  <c r="I303" i="40"/>
  <c r="J303" i="40"/>
  <c r="K303" i="40"/>
  <c r="L303" i="40"/>
  <c r="M303" i="40"/>
  <c r="N303" i="40"/>
  <c r="O303" i="40"/>
  <c r="P303" i="40"/>
  <c r="Q303" i="40"/>
  <c r="R303" i="40"/>
  <c r="S303" i="40"/>
  <c r="T303" i="40"/>
  <c r="U303" i="40"/>
  <c r="V303" i="40"/>
  <c r="W303" i="40"/>
  <c r="X303" i="40"/>
  <c r="Y303" i="40"/>
  <c r="Z303" i="40"/>
  <c r="D304" i="40"/>
  <c r="F304" i="40"/>
  <c r="G304" i="40"/>
  <c r="H304" i="40"/>
  <c r="I304" i="40"/>
  <c r="J304" i="40"/>
  <c r="K304" i="40"/>
  <c r="L304" i="40"/>
  <c r="M304" i="40"/>
  <c r="N304" i="40"/>
  <c r="O304" i="40"/>
  <c r="P304" i="40"/>
  <c r="Q304" i="40"/>
  <c r="R304" i="40"/>
  <c r="S304" i="40"/>
  <c r="T304" i="40"/>
  <c r="U304" i="40"/>
  <c r="V304" i="40"/>
  <c r="W304" i="40"/>
  <c r="X304" i="40"/>
  <c r="Y304" i="40"/>
  <c r="Z304" i="40"/>
  <c r="D305" i="40"/>
  <c r="F305" i="40"/>
  <c r="G305" i="40"/>
  <c r="H305" i="40"/>
  <c r="I305" i="40"/>
  <c r="J305" i="40"/>
  <c r="K305" i="40"/>
  <c r="L305" i="40"/>
  <c r="M305" i="40"/>
  <c r="N305" i="40"/>
  <c r="O305" i="40"/>
  <c r="P305" i="40"/>
  <c r="Q305" i="40"/>
  <c r="R305" i="40"/>
  <c r="S305" i="40"/>
  <c r="T305" i="40"/>
  <c r="U305" i="40"/>
  <c r="V305" i="40"/>
  <c r="W305" i="40"/>
  <c r="X305" i="40"/>
  <c r="Y305" i="40"/>
  <c r="Z305" i="40"/>
  <c r="D307" i="40"/>
  <c r="F307" i="40"/>
  <c r="G307" i="40"/>
  <c r="H307" i="40"/>
  <c r="I307" i="40"/>
  <c r="J307" i="40"/>
  <c r="K307" i="40"/>
  <c r="L307" i="40"/>
  <c r="M307" i="40"/>
  <c r="N307" i="40"/>
  <c r="O307" i="40"/>
  <c r="P307" i="40"/>
  <c r="Q307" i="40"/>
  <c r="R307" i="40"/>
  <c r="S307" i="40"/>
  <c r="T307" i="40"/>
  <c r="U307" i="40"/>
  <c r="V307" i="40"/>
  <c r="W307" i="40"/>
  <c r="X307" i="40"/>
  <c r="Y307" i="40"/>
  <c r="Z307" i="40"/>
  <c r="D311" i="40"/>
  <c r="F311" i="40"/>
  <c r="G311" i="40"/>
  <c r="H311" i="40"/>
  <c r="I311" i="40"/>
  <c r="J311" i="40"/>
  <c r="K311" i="40"/>
  <c r="L311" i="40"/>
  <c r="M311" i="40"/>
  <c r="N311" i="40"/>
  <c r="O311" i="40"/>
  <c r="P311" i="40"/>
  <c r="Q311" i="40"/>
  <c r="R311" i="40"/>
  <c r="S311" i="40"/>
  <c r="T311" i="40"/>
  <c r="U311" i="40"/>
  <c r="V311" i="40"/>
  <c r="W311" i="40"/>
  <c r="X311" i="40"/>
  <c r="Y311" i="40"/>
  <c r="Z311" i="40"/>
  <c r="D312" i="40"/>
  <c r="F312" i="40"/>
  <c r="G312" i="40"/>
  <c r="H312" i="40"/>
  <c r="I312" i="40"/>
  <c r="J312" i="40"/>
  <c r="K312" i="40"/>
  <c r="L312" i="40"/>
  <c r="M312" i="40"/>
  <c r="N312" i="40"/>
  <c r="D313" i="40"/>
  <c r="F313" i="40"/>
  <c r="G313" i="40"/>
  <c r="H313" i="40"/>
  <c r="I313" i="40"/>
  <c r="J313" i="40"/>
  <c r="K313" i="40"/>
  <c r="L313" i="40"/>
  <c r="M313" i="40"/>
  <c r="N313" i="40"/>
  <c r="O313" i="40"/>
  <c r="P313" i="40"/>
  <c r="Q313" i="40"/>
  <c r="R313" i="40"/>
  <c r="S313" i="40"/>
  <c r="T313" i="40"/>
  <c r="U313" i="40"/>
  <c r="V313" i="40"/>
  <c r="W313" i="40"/>
  <c r="X313" i="40"/>
  <c r="Y313" i="40"/>
  <c r="Z313" i="40"/>
  <c r="D315" i="40"/>
  <c r="D316" i="40"/>
  <c r="D317" i="40"/>
  <c r="F322" i="40"/>
  <c r="G322" i="40"/>
  <c r="H322" i="40"/>
  <c r="I322" i="40"/>
  <c r="J322" i="40"/>
  <c r="K322" i="40"/>
  <c r="L322" i="40"/>
  <c r="M322" i="40"/>
  <c r="N322" i="40"/>
  <c r="O322" i="40"/>
  <c r="P322" i="40"/>
  <c r="Q322" i="40"/>
  <c r="R322" i="40"/>
  <c r="S322" i="40"/>
  <c r="T322" i="40"/>
  <c r="U322" i="40"/>
  <c r="V322" i="40"/>
  <c r="W322" i="40"/>
  <c r="X322" i="40"/>
  <c r="Y322" i="40"/>
  <c r="Z322" i="40"/>
  <c r="F323" i="40"/>
  <c r="G323" i="40"/>
  <c r="H323" i="40"/>
  <c r="I323" i="40"/>
  <c r="K323" i="40"/>
  <c r="L323" i="40"/>
  <c r="M323" i="40"/>
  <c r="N323" i="40"/>
  <c r="O323" i="40"/>
  <c r="Q323" i="40"/>
  <c r="R323" i="40"/>
  <c r="S323" i="40"/>
  <c r="T323" i="40"/>
  <c r="U323" i="40"/>
  <c r="V323" i="40"/>
  <c r="W323" i="40"/>
  <c r="X323" i="40"/>
  <c r="Y323" i="40"/>
  <c r="Z323" i="40"/>
  <c r="F325" i="40"/>
  <c r="G325" i="40"/>
  <c r="H325" i="40"/>
  <c r="I325" i="40"/>
  <c r="J325" i="40"/>
  <c r="K325" i="40"/>
  <c r="L325" i="40"/>
  <c r="M325" i="40"/>
  <c r="N325" i="40"/>
  <c r="O325" i="40"/>
  <c r="P325" i="40"/>
  <c r="Q325" i="40"/>
  <c r="R325" i="40"/>
  <c r="S325" i="40"/>
  <c r="T325" i="40"/>
  <c r="U325" i="40"/>
  <c r="V325" i="40"/>
  <c r="W325" i="40"/>
  <c r="X325" i="40"/>
  <c r="Y325" i="40"/>
  <c r="Z325" i="40"/>
  <c r="N329" i="40"/>
  <c r="N330" i="40"/>
  <c r="N331" i="40"/>
  <c r="D344" i="40"/>
  <c r="F344" i="40"/>
  <c r="G344" i="40"/>
  <c r="H344" i="40"/>
  <c r="I344" i="40"/>
  <c r="J344" i="40"/>
  <c r="K344" i="40"/>
  <c r="L344" i="40"/>
  <c r="M344" i="40"/>
  <c r="N344" i="40"/>
  <c r="O344" i="40"/>
  <c r="P344" i="40"/>
  <c r="Q344" i="40"/>
  <c r="R344" i="40"/>
  <c r="S344" i="40"/>
  <c r="T344" i="40"/>
  <c r="U344" i="40"/>
  <c r="V344" i="40"/>
  <c r="W344" i="40"/>
  <c r="X344" i="40"/>
  <c r="Y344" i="40"/>
  <c r="Z344" i="40"/>
  <c r="D345" i="40"/>
  <c r="F345" i="40"/>
  <c r="G345" i="40"/>
  <c r="H345" i="40"/>
  <c r="I345" i="40"/>
  <c r="J345" i="40"/>
  <c r="K345" i="40"/>
  <c r="L345" i="40"/>
  <c r="M345" i="40"/>
  <c r="N345" i="40"/>
  <c r="O345" i="40"/>
  <c r="P345" i="40"/>
  <c r="Q345" i="40"/>
  <c r="R345" i="40"/>
  <c r="S345" i="40"/>
  <c r="T345" i="40"/>
  <c r="U345" i="40"/>
  <c r="V345" i="40"/>
  <c r="W345" i="40"/>
  <c r="X345" i="40"/>
  <c r="Y345" i="40"/>
  <c r="Z345" i="40"/>
  <c r="D346" i="40"/>
  <c r="F346" i="40"/>
  <c r="G346" i="40"/>
  <c r="H346" i="40"/>
  <c r="I346" i="40"/>
  <c r="J346" i="40"/>
  <c r="K346" i="40"/>
  <c r="L346" i="40"/>
  <c r="M346" i="40"/>
  <c r="N346" i="40"/>
  <c r="O346" i="40"/>
  <c r="P346" i="40"/>
  <c r="Q346" i="40"/>
  <c r="R346" i="40"/>
  <c r="S346" i="40"/>
  <c r="T346" i="40"/>
  <c r="U346" i="40"/>
  <c r="V346" i="40"/>
  <c r="W346" i="40"/>
  <c r="X346" i="40"/>
  <c r="Y346" i="40"/>
  <c r="Z346" i="40"/>
  <c r="D347" i="40"/>
  <c r="F347" i="40"/>
  <c r="G347" i="40"/>
  <c r="H347" i="40"/>
  <c r="I347" i="40"/>
  <c r="J347" i="40"/>
  <c r="K347" i="40"/>
  <c r="L347" i="40"/>
  <c r="M347" i="40"/>
  <c r="N347" i="40"/>
  <c r="O347" i="40"/>
  <c r="P347" i="40"/>
  <c r="Q347" i="40"/>
  <c r="R347" i="40"/>
  <c r="S347" i="40"/>
  <c r="T347" i="40"/>
  <c r="U347" i="40"/>
  <c r="V347" i="40"/>
  <c r="W347" i="40"/>
  <c r="X347" i="40"/>
  <c r="Y347" i="40"/>
  <c r="Z347" i="40"/>
  <c r="D348" i="40"/>
  <c r="F348" i="40"/>
  <c r="G348" i="40"/>
  <c r="H348" i="40"/>
  <c r="I348" i="40"/>
  <c r="J348" i="40"/>
  <c r="K348" i="40"/>
  <c r="L348" i="40"/>
  <c r="M348" i="40"/>
  <c r="N348" i="40"/>
  <c r="O348" i="40"/>
  <c r="P348" i="40"/>
  <c r="Q348" i="40"/>
  <c r="R348" i="40"/>
  <c r="S348" i="40"/>
  <c r="T348" i="40"/>
  <c r="U348" i="40"/>
  <c r="V348" i="40"/>
  <c r="W348" i="40"/>
  <c r="X348" i="40"/>
  <c r="Y348" i="40"/>
  <c r="Z348" i="40"/>
  <c r="D350" i="40"/>
  <c r="F350" i="40"/>
  <c r="G350" i="40"/>
  <c r="H350" i="40"/>
  <c r="I350" i="40"/>
  <c r="J350" i="40"/>
  <c r="K350" i="40"/>
  <c r="L350" i="40"/>
  <c r="M350" i="40"/>
  <c r="N350" i="40"/>
  <c r="O350" i="40"/>
  <c r="P350" i="40"/>
  <c r="Q350" i="40"/>
  <c r="R350" i="40"/>
  <c r="S350" i="40"/>
  <c r="T350" i="40"/>
  <c r="U350" i="40"/>
  <c r="V350" i="40"/>
  <c r="W350" i="40"/>
  <c r="X350" i="40"/>
  <c r="Y350" i="40"/>
  <c r="Z350" i="40"/>
  <c r="D351" i="40"/>
  <c r="F351" i="40"/>
  <c r="G351" i="40"/>
  <c r="H351" i="40"/>
  <c r="I351" i="40"/>
  <c r="J351" i="40"/>
  <c r="K351" i="40"/>
  <c r="L351" i="40"/>
  <c r="M351" i="40"/>
  <c r="N351" i="40"/>
  <c r="O351" i="40"/>
  <c r="P351" i="40"/>
  <c r="Q351" i="40"/>
  <c r="R351" i="40"/>
  <c r="S351" i="40"/>
  <c r="T351" i="40"/>
  <c r="U351" i="40"/>
  <c r="V351" i="40"/>
  <c r="W351" i="40"/>
  <c r="X351" i="40"/>
  <c r="Y351" i="40"/>
  <c r="Z351" i="40"/>
  <c r="D354" i="40"/>
  <c r="F354" i="40"/>
  <c r="G354" i="40"/>
  <c r="H354" i="40"/>
  <c r="I354" i="40"/>
  <c r="J354" i="40"/>
  <c r="K354" i="40"/>
  <c r="L354" i="40"/>
  <c r="M354" i="40"/>
  <c r="N354" i="40"/>
  <c r="O354" i="40"/>
  <c r="P354" i="40"/>
  <c r="Q354" i="40"/>
  <c r="R354" i="40"/>
  <c r="S354" i="40"/>
  <c r="T354" i="40"/>
  <c r="U354" i="40"/>
  <c r="V354" i="40"/>
  <c r="W354" i="40"/>
  <c r="X354" i="40"/>
  <c r="Y354" i="40"/>
  <c r="Z354" i="40"/>
  <c r="D355" i="40"/>
  <c r="F355" i="40"/>
  <c r="G355" i="40"/>
  <c r="H355" i="40"/>
  <c r="I355" i="40"/>
  <c r="J355" i="40"/>
  <c r="K355" i="40"/>
  <c r="L355" i="40"/>
  <c r="M355" i="40"/>
  <c r="N355" i="40"/>
  <c r="D356" i="40"/>
  <c r="F356" i="40"/>
  <c r="G356" i="40"/>
  <c r="H356" i="40"/>
  <c r="I356" i="40"/>
  <c r="J356" i="40"/>
  <c r="K356" i="40"/>
  <c r="L356" i="40"/>
  <c r="M356" i="40"/>
  <c r="N356" i="40"/>
  <c r="O356" i="40"/>
  <c r="P356" i="40"/>
  <c r="Q356" i="40"/>
  <c r="R356" i="40"/>
  <c r="S356" i="40"/>
  <c r="T356" i="40"/>
  <c r="U356" i="40"/>
  <c r="V356" i="40"/>
  <c r="W356" i="40"/>
  <c r="X356" i="40"/>
  <c r="Y356" i="40"/>
  <c r="Z356" i="40"/>
  <c r="D358" i="40"/>
  <c r="D359" i="40"/>
  <c r="D360" i="40"/>
  <c r="F365" i="40"/>
  <c r="G365" i="40"/>
  <c r="H365" i="40"/>
  <c r="I365" i="40"/>
  <c r="J365" i="40"/>
  <c r="K365" i="40"/>
  <c r="L365" i="40"/>
  <c r="M365" i="40"/>
  <c r="N365" i="40"/>
  <c r="O365" i="40"/>
  <c r="P365" i="40"/>
  <c r="Q365" i="40"/>
  <c r="R365" i="40"/>
  <c r="S365" i="40"/>
  <c r="T365" i="40"/>
  <c r="U365" i="40"/>
  <c r="V365" i="40"/>
  <c r="W365" i="40"/>
  <c r="X365" i="40"/>
  <c r="Y365" i="40"/>
  <c r="Z365" i="40"/>
  <c r="F368" i="40"/>
  <c r="G368" i="40"/>
  <c r="H368" i="40"/>
  <c r="I368" i="40"/>
  <c r="J368" i="40"/>
  <c r="K368" i="40"/>
  <c r="L368" i="40"/>
  <c r="M368" i="40"/>
  <c r="N368" i="40"/>
  <c r="F369" i="40"/>
  <c r="G369" i="40"/>
  <c r="H369" i="40"/>
  <c r="I369" i="40"/>
  <c r="J369" i="40"/>
  <c r="K369" i="40"/>
  <c r="L369" i="40"/>
  <c r="M369" i="40"/>
  <c r="N369" i="40"/>
  <c r="N370" i="40"/>
  <c r="N371" i="40"/>
  <c r="D372" i="40"/>
  <c r="F372" i="40"/>
  <c r="G372" i="40"/>
  <c r="H372" i="40"/>
  <c r="I372" i="40"/>
  <c r="J372" i="40"/>
  <c r="K372" i="40"/>
  <c r="L372" i="40"/>
  <c r="M372" i="40"/>
  <c r="N372" i="40"/>
  <c r="O372" i="40"/>
  <c r="P372" i="40"/>
  <c r="Q372" i="40"/>
  <c r="R372" i="40"/>
  <c r="S372" i="40"/>
  <c r="T372" i="40"/>
  <c r="U372" i="40"/>
  <c r="V372" i="40"/>
  <c r="W372" i="40"/>
  <c r="X372" i="40"/>
  <c r="Y372" i="40"/>
  <c r="Z372" i="40"/>
  <c r="D374" i="40"/>
  <c r="F377" i="40"/>
  <c r="G377" i="40"/>
  <c r="H377" i="40"/>
  <c r="I377" i="40"/>
  <c r="J377" i="40"/>
  <c r="K377" i="40"/>
  <c r="L377" i="40"/>
  <c r="M377" i="40"/>
  <c r="N377" i="40"/>
  <c r="O377" i="40"/>
  <c r="P377" i="40"/>
  <c r="Q377" i="40"/>
  <c r="R377" i="40"/>
  <c r="S377" i="40"/>
  <c r="T377" i="40"/>
  <c r="U377" i="40"/>
  <c r="V377" i="40"/>
  <c r="W377" i="40"/>
  <c r="X377" i="40"/>
  <c r="Y377" i="40"/>
  <c r="Z377" i="40"/>
  <c r="F378" i="40"/>
  <c r="G378" i="40"/>
  <c r="H378" i="40"/>
  <c r="I378" i="40"/>
  <c r="J378" i="40"/>
  <c r="K378" i="40"/>
  <c r="L378" i="40"/>
  <c r="M378" i="40"/>
  <c r="N378" i="40"/>
  <c r="O378" i="40"/>
  <c r="P378" i="40"/>
  <c r="Q378" i="40"/>
  <c r="R378" i="40"/>
  <c r="S378" i="40"/>
  <c r="T378" i="40"/>
  <c r="U378" i="40"/>
  <c r="V378" i="40"/>
  <c r="W378" i="40"/>
  <c r="X378" i="40"/>
  <c r="Y378" i="40"/>
  <c r="Z378" i="40"/>
  <c r="I379" i="40"/>
  <c r="I380" i="40"/>
  <c r="F381" i="40"/>
  <c r="G381" i="40"/>
  <c r="H381" i="40"/>
  <c r="I381" i="40"/>
  <c r="J381" i="40"/>
  <c r="K381" i="40"/>
  <c r="L381" i="40"/>
  <c r="M381" i="40"/>
  <c r="N381" i="40"/>
  <c r="F382" i="40"/>
  <c r="G382" i="40"/>
  <c r="H382" i="40"/>
  <c r="I382" i="40"/>
  <c r="J382" i="40"/>
  <c r="K382" i="40"/>
  <c r="L382" i="40"/>
  <c r="M382" i="40"/>
  <c r="N382" i="40"/>
  <c r="N383" i="40"/>
  <c r="N384" i="40"/>
  <c r="D385" i="40"/>
  <c r="F385" i="40"/>
  <c r="G385" i="40"/>
  <c r="H385" i="40"/>
  <c r="I385" i="40"/>
  <c r="J385" i="40"/>
  <c r="K385" i="40"/>
  <c r="L385" i="40"/>
  <c r="M385" i="40"/>
  <c r="N385" i="40"/>
  <c r="O385" i="40"/>
  <c r="P385" i="40"/>
  <c r="Q385" i="40"/>
  <c r="R385" i="40"/>
  <c r="S385" i="40"/>
  <c r="T385" i="40"/>
  <c r="U385" i="40"/>
  <c r="V385" i="40"/>
  <c r="W385" i="40"/>
  <c r="X385" i="40"/>
  <c r="Y385" i="40"/>
  <c r="Z385" i="40"/>
  <c r="D387" i="40"/>
  <c r="D388" i="40"/>
  <c r="K390" i="40"/>
  <c r="L390" i="40"/>
  <c r="M390" i="40"/>
  <c r="N390" i="40"/>
  <c r="D393" i="40"/>
  <c r="G393" i="40"/>
  <c r="H393" i="40"/>
  <c r="I393" i="40"/>
  <c r="J393" i="40"/>
  <c r="K393" i="40"/>
  <c r="L393" i="40"/>
  <c r="M393" i="40"/>
  <c r="N393" i="40"/>
  <c r="O393" i="40"/>
  <c r="P393" i="40"/>
  <c r="Q393" i="40"/>
  <c r="R393" i="40"/>
  <c r="S393" i="40"/>
  <c r="T393" i="40"/>
  <c r="U393" i="40"/>
  <c r="V393" i="40"/>
  <c r="W393" i="40"/>
  <c r="X393" i="40"/>
  <c r="Y393" i="40"/>
  <c r="Z393" i="40"/>
  <c r="D394" i="40"/>
  <c r="F394" i="40"/>
  <c r="G394" i="40"/>
  <c r="H394" i="40"/>
  <c r="I394" i="40"/>
  <c r="J394" i="40"/>
  <c r="K394" i="40"/>
  <c r="L394" i="40"/>
  <c r="M394" i="40"/>
  <c r="N394" i="40"/>
  <c r="O394" i="40"/>
  <c r="P394" i="40"/>
  <c r="Q394" i="40"/>
  <c r="R394" i="40"/>
  <c r="S394" i="40"/>
  <c r="T394" i="40"/>
  <c r="U394" i="40"/>
  <c r="V394" i="40"/>
  <c r="W394" i="40"/>
  <c r="X394" i="40"/>
  <c r="Y394" i="40"/>
  <c r="Z394" i="40"/>
  <c r="D395" i="40"/>
  <c r="F395" i="40"/>
  <c r="G395" i="40"/>
  <c r="H395" i="40"/>
  <c r="I395" i="40"/>
  <c r="J395" i="40"/>
  <c r="K395" i="40"/>
  <c r="L395" i="40"/>
  <c r="M395" i="40"/>
  <c r="N395" i="40"/>
  <c r="D397" i="40"/>
  <c r="F397" i="40"/>
  <c r="G397" i="40"/>
  <c r="H397" i="40"/>
  <c r="I397" i="40"/>
  <c r="J397" i="40"/>
  <c r="K397" i="40"/>
  <c r="L397" i="40"/>
  <c r="M397" i="40"/>
  <c r="N397" i="40"/>
  <c r="D398" i="40"/>
  <c r="N398" i="40"/>
  <c r="D399" i="40"/>
  <c r="N399" i="40"/>
  <c r="D400" i="40"/>
  <c r="F400" i="40"/>
  <c r="G400" i="40"/>
  <c r="H400" i="40"/>
  <c r="I400" i="40"/>
  <c r="J400" i="40"/>
  <c r="K400" i="40"/>
  <c r="L400" i="40"/>
  <c r="M400" i="40"/>
  <c r="N400" i="40"/>
  <c r="O400" i="40"/>
  <c r="P400" i="40"/>
  <c r="Q400" i="40"/>
  <c r="R400" i="40"/>
  <c r="S400" i="40"/>
  <c r="T400" i="40"/>
  <c r="U400" i="40"/>
  <c r="V400" i="40"/>
  <c r="W400" i="40"/>
  <c r="X400" i="40"/>
  <c r="Y400" i="40"/>
  <c r="Z400" i="40"/>
  <c r="F405" i="40"/>
  <c r="G405" i="40"/>
  <c r="H405" i="40"/>
  <c r="I405" i="40"/>
  <c r="J405" i="40"/>
  <c r="K405" i="40"/>
  <c r="L405" i="40"/>
  <c r="M405" i="40"/>
  <c r="N405" i="40"/>
  <c r="O405" i="40"/>
  <c r="P405" i="40"/>
  <c r="Q405" i="40"/>
  <c r="R405" i="40"/>
  <c r="S405" i="40"/>
  <c r="T405" i="40"/>
  <c r="U405" i="40"/>
  <c r="V405" i="40"/>
  <c r="W405" i="40"/>
  <c r="X405" i="40"/>
  <c r="Y405" i="40"/>
  <c r="Z405" i="40"/>
  <c r="F408" i="40"/>
  <c r="G408" i="40"/>
  <c r="H408" i="40"/>
  <c r="I408" i="40"/>
  <c r="J408" i="40"/>
  <c r="K408" i="40"/>
  <c r="L408" i="40"/>
  <c r="M408" i="40"/>
  <c r="N408" i="40"/>
  <c r="F409" i="40"/>
  <c r="G409" i="40"/>
  <c r="H409" i="40"/>
  <c r="I409" i="40"/>
  <c r="J409" i="40"/>
  <c r="K409" i="40"/>
  <c r="L409" i="40"/>
  <c r="M409" i="40"/>
  <c r="N409" i="40"/>
  <c r="I410" i="40"/>
  <c r="N410" i="40"/>
  <c r="N411" i="40"/>
  <c r="D413" i="40"/>
  <c r="F413" i="40"/>
  <c r="G413" i="40"/>
  <c r="H413" i="40"/>
  <c r="I413" i="40"/>
  <c r="J413" i="40"/>
  <c r="K413" i="40"/>
  <c r="L413" i="40"/>
  <c r="M413" i="40"/>
  <c r="N413" i="40"/>
  <c r="O413" i="40"/>
  <c r="P413" i="40"/>
  <c r="Q413" i="40"/>
  <c r="R413" i="40"/>
  <c r="S413" i="40"/>
  <c r="T413" i="40"/>
  <c r="U413" i="40"/>
  <c r="V413" i="40"/>
  <c r="W413" i="40"/>
  <c r="X413" i="40"/>
  <c r="Y413" i="40"/>
  <c r="Z413" i="40"/>
  <c r="D415" i="40"/>
  <c r="F418" i="40"/>
  <c r="G418" i="40"/>
  <c r="H418" i="40"/>
  <c r="I418" i="40"/>
  <c r="J418" i="40"/>
  <c r="K418" i="40"/>
  <c r="L418" i="40"/>
  <c r="M418" i="40"/>
  <c r="N418" i="40"/>
  <c r="O418" i="40"/>
  <c r="P418" i="40"/>
  <c r="Q418" i="40"/>
  <c r="R418" i="40"/>
  <c r="S418" i="40"/>
  <c r="T418" i="40"/>
  <c r="U418" i="40"/>
  <c r="V418" i="40"/>
  <c r="W418" i="40"/>
  <c r="X418" i="40"/>
  <c r="Y418" i="40"/>
  <c r="Z418" i="40"/>
  <c r="F419" i="40"/>
  <c r="G419" i="40"/>
  <c r="H419" i="40"/>
  <c r="I419" i="40"/>
  <c r="J419" i="40"/>
  <c r="K419" i="40"/>
  <c r="L419" i="40"/>
  <c r="M419" i="40"/>
  <c r="N419" i="40"/>
  <c r="O419" i="40"/>
  <c r="P419" i="40"/>
  <c r="Q419" i="40"/>
  <c r="R419" i="40"/>
  <c r="S419" i="40"/>
  <c r="T419" i="40"/>
  <c r="U419" i="40"/>
  <c r="V419" i="40"/>
  <c r="W419" i="40"/>
  <c r="X419" i="40"/>
  <c r="Y419" i="40"/>
  <c r="Z419" i="40"/>
  <c r="I420" i="40"/>
  <c r="I421" i="40"/>
  <c r="F422" i="40"/>
  <c r="G422" i="40"/>
  <c r="H422" i="40"/>
  <c r="I422" i="40"/>
  <c r="J422" i="40"/>
  <c r="K422" i="40"/>
  <c r="L422" i="40"/>
  <c r="M422" i="40"/>
  <c r="N422" i="40"/>
  <c r="F423" i="40"/>
  <c r="G423" i="40"/>
  <c r="H423" i="40"/>
  <c r="I423" i="40"/>
  <c r="J423" i="40"/>
  <c r="K423" i="40"/>
  <c r="L423" i="40"/>
  <c r="M423" i="40"/>
  <c r="N423" i="40"/>
  <c r="I424" i="40"/>
  <c r="N424" i="40"/>
  <c r="N425" i="40"/>
  <c r="D427" i="40"/>
  <c r="F427" i="40"/>
  <c r="G427" i="40"/>
  <c r="H427" i="40"/>
  <c r="I427" i="40"/>
  <c r="J427" i="40"/>
  <c r="K427" i="40"/>
  <c r="L427" i="40"/>
  <c r="M427" i="40"/>
  <c r="N427" i="40"/>
  <c r="O427" i="40"/>
  <c r="P427" i="40"/>
  <c r="Q427" i="40"/>
  <c r="R427" i="40"/>
  <c r="S427" i="40"/>
  <c r="T427" i="40"/>
  <c r="U427" i="40"/>
  <c r="V427" i="40"/>
  <c r="W427" i="40"/>
  <c r="X427" i="40"/>
  <c r="Y427" i="40"/>
  <c r="Z427" i="40"/>
  <c r="D429" i="40"/>
  <c r="D430" i="40"/>
  <c r="K432" i="40"/>
  <c r="L432" i="40"/>
  <c r="M432" i="40"/>
  <c r="N432" i="40"/>
  <c r="D435" i="40"/>
  <c r="G435" i="40"/>
  <c r="H435" i="40"/>
  <c r="I435" i="40"/>
  <c r="J435" i="40"/>
  <c r="K435" i="40"/>
  <c r="L435" i="40"/>
  <c r="M435" i="40"/>
  <c r="N435" i="40"/>
  <c r="O435" i="40"/>
  <c r="P435" i="40"/>
  <c r="Q435" i="40"/>
  <c r="R435" i="40"/>
  <c r="S435" i="40"/>
  <c r="T435" i="40"/>
  <c r="U435" i="40"/>
  <c r="V435" i="40"/>
  <c r="W435" i="40"/>
  <c r="X435" i="40"/>
  <c r="Y435" i="40"/>
  <c r="Z435" i="40"/>
  <c r="D436" i="40"/>
  <c r="F436" i="40"/>
  <c r="G436" i="40"/>
  <c r="H436" i="40"/>
  <c r="I436" i="40"/>
  <c r="J436" i="40"/>
  <c r="K436" i="40"/>
  <c r="L436" i="40"/>
  <c r="M436" i="40"/>
  <c r="N436" i="40"/>
  <c r="O436" i="40"/>
  <c r="P436" i="40"/>
  <c r="Q436" i="40"/>
  <c r="R436" i="40"/>
  <c r="S436" i="40"/>
  <c r="T436" i="40"/>
  <c r="U436" i="40"/>
  <c r="V436" i="40"/>
  <c r="W436" i="40"/>
  <c r="X436" i="40"/>
  <c r="Y436" i="40"/>
  <c r="Z436" i="40"/>
  <c r="D437" i="40"/>
  <c r="F437" i="40"/>
  <c r="G437" i="40"/>
  <c r="H437" i="40"/>
  <c r="I437" i="40"/>
  <c r="J437" i="40"/>
  <c r="K437" i="40"/>
  <c r="L437" i="40"/>
  <c r="M437" i="40"/>
  <c r="N437" i="40"/>
  <c r="D439" i="40"/>
  <c r="F439" i="40"/>
  <c r="G439" i="40"/>
  <c r="H439" i="40"/>
  <c r="I439" i="40"/>
  <c r="J439" i="40"/>
  <c r="K439" i="40"/>
  <c r="L439" i="40"/>
  <c r="M439" i="40"/>
  <c r="N439" i="40"/>
  <c r="D440" i="40"/>
  <c r="I440" i="40"/>
  <c r="N440" i="40"/>
  <c r="D442" i="40"/>
  <c r="N442" i="40"/>
  <c r="D443" i="40"/>
  <c r="F443" i="40"/>
  <c r="G443" i="40"/>
  <c r="H443" i="40"/>
  <c r="I443" i="40"/>
  <c r="J443" i="40"/>
  <c r="K443" i="40"/>
  <c r="L443" i="40"/>
  <c r="M443" i="40"/>
  <c r="N443" i="40"/>
  <c r="O443" i="40"/>
  <c r="P443" i="40"/>
  <c r="Q443" i="40"/>
  <c r="R443" i="40"/>
  <c r="S443" i="40"/>
  <c r="T443" i="40"/>
  <c r="U443" i="40"/>
  <c r="V443" i="40"/>
  <c r="W443" i="40"/>
  <c r="X443" i="40"/>
  <c r="Y443" i="40"/>
  <c r="Z443" i="40"/>
  <c r="F23" i="41"/>
  <c r="G23" i="41"/>
  <c r="H23" i="41"/>
  <c r="I23" i="41"/>
  <c r="J23" i="41"/>
  <c r="K23" i="41"/>
  <c r="L23" i="41"/>
  <c r="M23" i="41"/>
  <c r="N23" i="41"/>
  <c r="O23" i="41"/>
  <c r="P23" i="41"/>
  <c r="Q23" i="41"/>
  <c r="R23" i="41"/>
  <c r="S23" i="41"/>
  <c r="T23" i="41"/>
  <c r="U23" i="41"/>
  <c r="V23" i="41"/>
  <c r="W23" i="41"/>
  <c r="X23" i="41"/>
  <c r="Y23" i="41"/>
  <c r="Z23" i="41"/>
  <c r="F24" i="41"/>
  <c r="G24" i="41"/>
  <c r="H24" i="41"/>
  <c r="I24" i="41"/>
  <c r="J24" i="41"/>
  <c r="K24" i="41"/>
  <c r="L24" i="41"/>
  <c r="M24" i="41"/>
  <c r="N24" i="41"/>
  <c r="O24" i="41"/>
  <c r="P24" i="41"/>
  <c r="Q24" i="41"/>
  <c r="R24" i="41"/>
  <c r="S24" i="41"/>
  <c r="T24" i="41"/>
  <c r="U24" i="41"/>
  <c r="V24" i="41"/>
  <c r="W24" i="41"/>
  <c r="X24" i="41"/>
  <c r="Y24" i="41"/>
  <c r="Z24" i="41"/>
  <c r="F26" i="41"/>
  <c r="G26" i="41"/>
  <c r="H26" i="41"/>
  <c r="I26" i="41"/>
  <c r="J26" i="41"/>
  <c r="K26" i="41"/>
  <c r="L26" i="41"/>
  <c r="M26" i="41"/>
  <c r="N26" i="41"/>
  <c r="O26" i="41"/>
  <c r="P26" i="41"/>
  <c r="Q26" i="41"/>
  <c r="R26" i="41"/>
  <c r="S26" i="41"/>
  <c r="T26" i="41"/>
  <c r="U26" i="41"/>
  <c r="V26" i="41"/>
  <c r="W26" i="41"/>
  <c r="X26" i="41"/>
  <c r="Y26" i="41"/>
  <c r="Z26" i="41"/>
  <c r="F27" i="41"/>
  <c r="G27" i="41"/>
  <c r="H27" i="41"/>
  <c r="I27" i="41"/>
  <c r="J27" i="41"/>
  <c r="K27" i="41"/>
  <c r="L27" i="41"/>
  <c r="M27" i="41"/>
  <c r="N27" i="41"/>
  <c r="O27" i="41"/>
  <c r="P27" i="41"/>
  <c r="Q27" i="41"/>
  <c r="R27" i="41"/>
  <c r="S27" i="41"/>
  <c r="T27" i="41"/>
  <c r="U27" i="41"/>
  <c r="V27" i="41"/>
  <c r="W27" i="41"/>
  <c r="X27" i="41"/>
  <c r="Y27" i="41"/>
  <c r="Z27" i="41"/>
  <c r="F28" i="41"/>
  <c r="G28" i="41"/>
  <c r="H28" i="41"/>
  <c r="I28" i="41"/>
  <c r="J28" i="41"/>
  <c r="K28" i="41"/>
  <c r="L28" i="41"/>
  <c r="M28" i="41"/>
  <c r="N28" i="41"/>
  <c r="O28" i="41"/>
  <c r="P28" i="41"/>
  <c r="Q28" i="41"/>
  <c r="R28" i="41"/>
  <c r="S28" i="41"/>
  <c r="T28" i="41"/>
  <c r="U28" i="41"/>
  <c r="V28" i="41"/>
  <c r="W28" i="41"/>
  <c r="X28" i="41"/>
  <c r="Y28" i="41"/>
  <c r="Z28" i="41"/>
  <c r="F46" i="41"/>
  <c r="G46" i="41"/>
  <c r="H46" i="41"/>
  <c r="I46" i="41"/>
  <c r="J46" i="41"/>
  <c r="K46" i="41"/>
  <c r="L46" i="41"/>
  <c r="M46" i="41"/>
  <c r="N46" i="41"/>
  <c r="O46" i="41"/>
  <c r="P46" i="41"/>
  <c r="Q46" i="41"/>
  <c r="R46" i="41"/>
  <c r="S46" i="41"/>
  <c r="T46" i="41"/>
  <c r="U46" i="41"/>
  <c r="V46" i="41"/>
  <c r="W46" i="41"/>
  <c r="X46" i="41"/>
  <c r="Y46" i="41"/>
  <c r="Z46" i="41"/>
  <c r="F47" i="41"/>
  <c r="G47" i="41"/>
  <c r="H47" i="41"/>
  <c r="I47" i="41"/>
  <c r="J47" i="41"/>
  <c r="K47" i="41"/>
  <c r="L47" i="41"/>
  <c r="M47" i="41"/>
  <c r="N47" i="41"/>
  <c r="O47" i="41"/>
  <c r="P47" i="41"/>
  <c r="Q47" i="41"/>
  <c r="R47" i="41"/>
  <c r="S47" i="41"/>
  <c r="T47" i="41"/>
  <c r="U47" i="41"/>
  <c r="V47" i="41"/>
  <c r="W47" i="41"/>
  <c r="X47" i="41"/>
  <c r="Y47" i="41"/>
  <c r="Z47" i="41"/>
  <c r="F49" i="41"/>
  <c r="G49" i="41"/>
  <c r="H49" i="41"/>
  <c r="I49" i="41"/>
  <c r="J49" i="41"/>
  <c r="K49" i="41"/>
  <c r="L49" i="41"/>
  <c r="M49" i="41"/>
  <c r="N49" i="41"/>
  <c r="O49" i="41"/>
  <c r="P49" i="41"/>
  <c r="Q49" i="41"/>
  <c r="R49" i="41"/>
  <c r="S49" i="41"/>
  <c r="T49" i="41"/>
  <c r="U49" i="41"/>
  <c r="V49" i="41"/>
  <c r="W49" i="41"/>
  <c r="X49" i="41"/>
  <c r="Y49" i="41"/>
  <c r="Z49" i="41"/>
  <c r="F50" i="41"/>
  <c r="G50" i="41"/>
  <c r="H50" i="41"/>
  <c r="I50" i="41"/>
  <c r="J50" i="41"/>
  <c r="K50" i="41"/>
  <c r="L50" i="41"/>
  <c r="M50" i="41"/>
  <c r="N50" i="41"/>
  <c r="O50" i="41"/>
  <c r="P50" i="41"/>
  <c r="Q50" i="41"/>
  <c r="R50" i="41"/>
  <c r="S50" i="41"/>
  <c r="T50" i="41"/>
  <c r="U50" i="41"/>
  <c r="V50" i="41"/>
  <c r="W50" i="41"/>
  <c r="X50" i="41"/>
  <c r="Y50" i="41"/>
  <c r="Z50" i="41"/>
  <c r="F51" i="41"/>
  <c r="G51" i="41"/>
  <c r="H51" i="41"/>
  <c r="I51" i="41"/>
  <c r="J51" i="41"/>
  <c r="K51" i="41"/>
  <c r="L51" i="41"/>
  <c r="M51" i="41"/>
  <c r="N51" i="41"/>
  <c r="O51" i="41"/>
  <c r="P51" i="41"/>
  <c r="Q51" i="41"/>
  <c r="R51" i="41"/>
  <c r="S51" i="41"/>
  <c r="T51" i="41"/>
  <c r="U51" i="41"/>
  <c r="V51" i="41"/>
  <c r="W51" i="41"/>
  <c r="X51" i="41"/>
  <c r="Y51" i="41"/>
  <c r="Z51" i="41"/>
  <c r="F63" i="41"/>
  <c r="G63" i="41"/>
  <c r="H63" i="41"/>
  <c r="I63" i="41"/>
  <c r="J63" i="41"/>
  <c r="K63" i="41"/>
  <c r="L63" i="41"/>
  <c r="M63" i="41"/>
  <c r="N63" i="41"/>
  <c r="O63" i="41"/>
  <c r="P63" i="41"/>
  <c r="Q63" i="41"/>
  <c r="R63" i="41"/>
  <c r="S63" i="41"/>
  <c r="T63" i="41"/>
  <c r="U63" i="41"/>
  <c r="V63" i="41"/>
  <c r="W63" i="41"/>
  <c r="X63" i="41"/>
  <c r="Y63" i="41"/>
  <c r="Z63" i="41"/>
  <c r="F64" i="41"/>
  <c r="G64" i="41"/>
  <c r="H64" i="41"/>
  <c r="I64" i="41"/>
  <c r="J64" i="41"/>
  <c r="K64" i="41"/>
  <c r="L64" i="41"/>
  <c r="M64" i="41"/>
  <c r="N64" i="41"/>
  <c r="O64" i="41"/>
  <c r="P64" i="41"/>
  <c r="Q64" i="41"/>
  <c r="R64" i="41"/>
  <c r="S64" i="41"/>
  <c r="T64" i="41"/>
  <c r="U64" i="41"/>
  <c r="V64" i="41"/>
  <c r="W64" i="41"/>
  <c r="X64" i="41"/>
  <c r="Y64" i="41"/>
  <c r="Z64" i="41"/>
  <c r="F67" i="41"/>
  <c r="G67" i="41"/>
  <c r="H67" i="41"/>
  <c r="I67" i="41"/>
  <c r="J67" i="41"/>
  <c r="K67" i="41"/>
  <c r="L67" i="41"/>
  <c r="M67" i="41"/>
  <c r="N67" i="41"/>
  <c r="O67" i="41"/>
  <c r="P67" i="41"/>
  <c r="Q67" i="41"/>
  <c r="R67" i="41"/>
  <c r="S67" i="41"/>
  <c r="T67" i="41"/>
  <c r="U67" i="41"/>
  <c r="V67" i="41"/>
  <c r="W67" i="41"/>
  <c r="X67" i="41"/>
  <c r="Y67" i="41"/>
  <c r="Z67" i="41"/>
  <c r="F68" i="41"/>
  <c r="G68" i="41"/>
  <c r="H68" i="41"/>
  <c r="I68" i="41"/>
  <c r="J68" i="41"/>
  <c r="K68" i="41"/>
  <c r="L68" i="41"/>
  <c r="M68" i="41"/>
  <c r="N68" i="41"/>
  <c r="O68" i="41"/>
  <c r="P68" i="41"/>
  <c r="Q68" i="41"/>
  <c r="R68" i="41"/>
  <c r="S68" i="41"/>
  <c r="T68" i="41"/>
  <c r="U68" i="41"/>
  <c r="V68" i="41"/>
  <c r="W68" i="41"/>
  <c r="X68" i="41"/>
  <c r="Y68" i="41"/>
  <c r="Z68" i="41"/>
  <c r="F70" i="41"/>
  <c r="G70" i="41"/>
  <c r="H70" i="41"/>
  <c r="I70" i="41"/>
  <c r="J70" i="41"/>
  <c r="K70" i="41"/>
  <c r="L70" i="41"/>
  <c r="M70" i="41"/>
  <c r="N70" i="41"/>
  <c r="O70" i="41"/>
  <c r="P70" i="41"/>
  <c r="Q70" i="41"/>
  <c r="R70" i="41"/>
  <c r="S70" i="41"/>
  <c r="T70" i="41"/>
  <c r="U70" i="41"/>
  <c r="V70" i="41"/>
  <c r="W70" i="41"/>
  <c r="X70" i="41"/>
  <c r="Y70" i="41"/>
  <c r="Z70" i="41"/>
  <c r="F71" i="41"/>
  <c r="G71" i="41"/>
  <c r="H71" i="41"/>
  <c r="I71" i="41"/>
  <c r="J71" i="41"/>
  <c r="K71" i="41"/>
  <c r="L71" i="41"/>
  <c r="M71" i="41"/>
  <c r="N71" i="41"/>
  <c r="O71" i="41"/>
  <c r="P71" i="41"/>
  <c r="Q71" i="41"/>
  <c r="R71" i="41"/>
  <c r="S71" i="41"/>
  <c r="T71" i="41"/>
  <c r="U71" i="41"/>
  <c r="V71" i="41"/>
  <c r="W71" i="41"/>
  <c r="X71" i="41"/>
  <c r="Y71" i="41"/>
  <c r="Z71" i="41"/>
  <c r="F72" i="41"/>
  <c r="G72" i="41"/>
  <c r="H72" i="41"/>
  <c r="I72" i="41"/>
  <c r="J72" i="41"/>
  <c r="K72" i="41"/>
  <c r="L72" i="41"/>
  <c r="M72" i="41"/>
  <c r="N72" i="41"/>
  <c r="O72" i="41"/>
  <c r="P72" i="41"/>
  <c r="Q72" i="41"/>
  <c r="R72" i="41"/>
  <c r="S72" i="41"/>
  <c r="T72" i="41"/>
  <c r="U72" i="41"/>
  <c r="V72" i="41"/>
  <c r="W72" i="41"/>
  <c r="X72" i="41"/>
  <c r="Y72" i="41"/>
  <c r="Z72" i="41"/>
  <c r="F84" i="41"/>
  <c r="G84" i="41"/>
  <c r="H84" i="41"/>
  <c r="I84" i="41"/>
  <c r="J84" i="41"/>
  <c r="K84" i="41"/>
  <c r="L84" i="41"/>
  <c r="M84" i="41"/>
  <c r="N84" i="41"/>
  <c r="O84" i="41"/>
  <c r="P84" i="41"/>
  <c r="Q84" i="41"/>
  <c r="R84" i="41"/>
  <c r="S84" i="41"/>
  <c r="T84" i="41"/>
  <c r="U84" i="41"/>
  <c r="V84" i="41"/>
  <c r="W84" i="41"/>
  <c r="X84" i="41"/>
  <c r="Y84" i="41"/>
  <c r="Z84" i="41"/>
  <c r="F85" i="41"/>
  <c r="G85" i="41"/>
  <c r="H85" i="41"/>
  <c r="I85" i="41"/>
  <c r="J85" i="41"/>
  <c r="K85" i="41"/>
  <c r="L85" i="41"/>
  <c r="M85" i="41"/>
  <c r="N85" i="41"/>
  <c r="O85" i="41"/>
  <c r="P85" i="41"/>
  <c r="Q85" i="41"/>
  <c r="R85" i="41"/>
  <c r="S85" i="41"/>
  <c r="T85" i="41"/>
  <c r="U85" i="41"/>
  <c r="V85" i="41"/>
  <c r="W85" i="41"/>
  <c r="X85" i="41"/>
  <c r="Y85" i="41"/>
  <c r="Z85" i="41"/>
  <c r="F88" i="41"/>
  <c r="G88" i="41"/>
  <c r="H88" i="41"/>
  <c r="I88" i="41"/>
  <c r="J88" i="41"/>
  <c r="K88" i="41"/>
  <c r="L88" i="41"/>
  <c r="M88" i="41"/>
  <c r="N88" i="41"/>
  <c r="O88" i="41"/>
  <c r="P88" i="41"/>
  <c r="Q88" i="41"/>
  <c r="R88" i="41"/>
  <c r="S88" i="41"/>
  <c r="T88" i="41"/>
  <c r="U88" i="41"/>
  <c r="V88" i="41"/>
  <c r="W88" i="41"/>
  <c r="X88" i="41"/>
  <c r="Y88" i="41"/>
  <c r="Z88" i="41"/>
  <c r="F89" i="41"/>
  <c r="G89" i="41"/>
  <c r="H89" i="41"/>
  <c r="I89" i="41"/>
  <c r="J89" i="41"/>
  <c r="K89" i="41"/>
  <c r="L89" i="41"/>
  <c r="M89" i="41"/>
  <c r="N89" i="41"/>
  <c r="O89" i="41"/>
  <c r="P89" i="41"/>
  <c r="Q89" i="41"/>
  <c r="R89" i="41"/>
  <c r="S89" i="41"/>
  <c r="T89" i="41"/>
  <c r="U89" i="41"/>
  <c r="V89" i="41"/>
  <c r="W89" i="41"/>
  <c r="X89" i="41"/>
  <c r="Y89" i="41"/>
  <c r="Z89" i="41"/>
  <c r="F91" i="41"/>
  <c r="G91" i="41"/>
  <c r="H91" i="41"/>
  <c r="I91" i="41"/>
  <c r="J91" i="41"/>
  <c r="K91" i="41"/>
  <c r="L91" i="41"/>
  <c r="M91" i="41"/>
  <c r="N91" i="41"/>
  <c r="O91" i="41"/>
  <c r="P91" i="41"/>
  <c r="Q91" i="41"/>
  <c r="R91" i="41"/>
  <c r="S91" i="41"/>
  <c r="T91" i="41"/>
  <c r="U91" i="41"/>
  <c r="V91" i="41"/>
  <c r="W91" i="41"/>
  <c r="X91" i="41"/>
  <c r="Y91" i="41"/>
  <c r="Z91" i="41"/>
  <c r="F92" i="41"/>
  <c r="G92" i="41"/>
  <c r="H92" i="41"/>
  <c r="I92" i="41"/>
  <c r="J92" i="41"/>
  <c r="K92" i="41"/>
  <c r="L92" i="41"/>
  <c r="M92" i="41"/>
  <c r="N92" i="41"/>
  <c r="O92" i="41"/>
  <c r="P92" i="41"/>
  <c r="Q92" i="41"/>
  <c r="R92" i="41"/>
  <c r="S92" i="41"/>
  <c r="T92" i="41"/>
  <c r="U92" i="41"/>
  <c r="V92" i="41"/>
  <c r="W92" i="41"/>
  <c r="X92" i="41"/>
  <c r="Y92" i="41"/>
  <c r="Z92" i="41"/>
  <c r="F93" i="41"/>
  <c r="G93" i="41"/>
  <c r="H93" i="41"/>
  <c r="I93" i="41"/>
  <c r="J93" i="41"/>
  <c r="K93" i="41"/>
  <c r="L93" i="41"/>
  <c r="M93" i="41"/>
  <c r="N93" i="41"/>
  <c r="O93" i="41"/>
  <c r="P93" i="41"/>
  <c r="Q93" i="41"/>
  <c r="R93" i="41"/>
  <c r="S93" i="41"/>
  <c r="T93" i="41"/>
  <c r="U93" i="41"/>
  <c r="V93" i="41"/>
  <c r="W93" i="41"/>
  <c r="X93" i="41"/>
  <c r="Y93" i="41"/>
  <c r="Z93" i="41"/>
  <c r="F105" i="41"/>
  <c r="G105" i="41"/>
  <c r="H105" i="41"/>
  <c r="I105" i="41"/>
  <c r="J105" i="41"/>
  <c r="K105" i="41"/>
  <c r="L105" i="41"/>
  <c r="M105" i="41"/>
  <c r="N105" i="41"/>
  <c r="O105" i="41"/>
  <c r="P105" i="41"/>
  <c r="Q105" i="41"/>
  <c r="R105" i="41"/>
  <c r="S105" i="41"/>
  <c r="T105" i="41"/>
  <c r="U105" i="41"/>
  <c r="V105" i="41"/>
  <c r="W105" i="41"/>
  <c r="X105" i="41"/>
  <c r="Y105" i="41"/>
  <c r="Z105" i="41"/>
  <c r="F106" i="41"/>
  <c r="G106" i="41"/>
  <c r="H106" i="41"/>
  <c r="I106" i="41"/>
  <c r="J106" i="41"/>
  <c r="K106" i="41"/>
  <c r="L106" i="41"/>
  <c r="M106" i="41"/>
  <c r="N106" i="41"/>
  <c r="O106" i="41"/>
  <c r="P106" i="41"/>
  <c r="Q106" i="41"/>
  <c r="R106" i="41"/>
  <c r="S106" i="41"/>
  <c r="T106" i="41"/>
  <c r="U106" i="41"/>
  <c r="V106" i="41"/>
  <c r="W106" i="41"/>
  <c r="X106" i="41"/>
  <c r="Y106" i="41"/>
  <c r="Z106" i="41"/>
  <c r="F109" i="41"/>
  <c r="G109" i="41"/>
  <c r="H109" i="41"/>
  <c r="I109" i="41"/>
  <c r="J109" i="41"/>
  <c r="K109" i="41"/>
  <c r="L109" i="41"/>
  <c r="M109" i="41"/>
  <c r="N109" i="41"/>
  <c r="O109" i="41"/>
  <c r="P109" i="41"/>
  <c r="Q109" i="41"/>
  <c r="R109" i="41"/>
  <c r="S109" i="41"/>
  <c r="T109" i="41"/>
  <c r="U109" i="41"/>
  <c r="V109" i="41"/>
  <c r="W109" i="41"/>
  <c r="X109" i="41"/>
  <c r="Y109" i="41"/>
  <c r="Z109" i="41"/>
  <c r="F110" i="41"/>
  <c r="G110" i="41"/>
  <c r="H110" i="41"/>
  <c r="I110" i="41"/>
  <c r="J110" i="41"/>
  <c r="K110" i="41"/>
  <c r="L110" i="41"/>
  <c r="M110" i="41"/>
  <c r="N110" i="41"/>
  <c r="O110" i="41"/>
  <c r="P110" i="41"/>
  <c r="Q110" i="41"/>
  <c r="R110" i="41"/>
  <c r="S110" i="41"/>
  <c r="T110" i="41"/>
  <c r="U110" i="41"/>
  <c r="V110" i="41"/>
  <c r="W110" i="41"/>
  <c r="X110" i="41"/>
  <c r="Y110" i="41"/>
  <c r="Z110" i="41"/>
  <c r="F112" i="41"/>
  <c r="G112" i="41"/>
  <c r="H112" i="41"/>
  <c r="I112" i="41"/>
  <c r="J112" i="41"/>
  <c r="K112" i="41"/>
  <c r="L112" i="41"/>
  <c r="M112" i="41"/>
  <c r="N112" i="41"/>
  <c r="O112" i="41"/>
  <c r="P112" i="41"/>
  <c r="Q112" i="41"/>
  <c r="R112" i="41"/>
  <c r="S112" i="41"/>
  <c r="T112" i="41"/>
  <c r="U112" i="41"/>
  <c r="V112" i="41"/>
  <c r="W112" i="41"/>
  <c r="X112" i="41"/>
  <c r="Y112" i="41"/>
  <c r="Z112" i="41"/>
  <c r="F113" i="41"/>
  <c r="G113" i="41"/>
  <c r="H113" i="41"/>
  <c r="I113" i="41"/>
  <c r="J113" i="41"/>
  <c r="K113" i="41"/>
  <c r="L113" i="41"/>
  <c r="M113" i="41"/>
  <c r="N113" i="41"/>
  <c r="O113" i="41"/>
  <c r="P113" i="41"/>
  <c r="Q113" i="41"/>
  <c r="R113" i="41"/>
  <c r="S113" i="41"/>
  <c r="T113" i="41"/>
  <c r="U113" i="41"/>
  <c r="V113" i="41"/>
  <c r="W113" i="41"/>
  <c r="X113" i="41"/>
  <c r="Y113" i="41"/>
  <c r="Z113" i="41"/>
  <c r="F114" i="41"/>
  <c r="G114" i="41"/>
  <c r="H114" i="41"/>
  <c r="I114" i="41"/>
  <c r="J114" i="41"/>
  <c r="K114" i="41"/>
  <c r="L114" i="41"/>
  <c r="M114" i="41"/>
  <c r="N114" i="41"/>
  <c r="O114" i="41"/>
  <c r="P114" i="41"/>
  <c r="Q114" i="41"/>
  <c r="R114" i="41"/>
  <c r="S114" i="41"/>
  <c r="T114" i="41"/>
  <c r="U114" i="41"/>
  <c r="V114" i="41"/>
  <c r="W114" i="41"/>
  <c r="X114" i="41"/>
  <c r="Y114" i="41"/>
  <c r="Z114" i="41"/>
  <c r="F131" i="41"/>
  <c r="G131" i="41"/>
  <c r="H131" i="41"/>
  <c r="I131" i="41"/>
  <c r="J131" i="41"/>
  <c r="K131" i="41"/>
  <c r="L131" i="41"/>
  <c r="M131" i="41"/>
  <c r="N131" i="41"/>
  <c r="O131" i="41"/>
  <c r="P131" i="41"/>
  <c r="Q131" i="41"/>
  <c r="R131" i="41"/>
  <c r="S131" i="41"/>
  <c r="T131" i="41"/>
  <c r="U131" i="41"/>
  <c r="V131" i="41"/>
  <c r="W131" i="41"/>
  <c r="X131" i="41"/>
  <c r="Y131" i="41"/>
  <c r="Z131" i="41"/>
  <c r="F132" i="41"/>
  <c r="G132" i="41"/>
  <c r="H132" i="41"/>
  <c r="I132" i="41"/>
  <c r="J132" i="41"/>
  <c r="K132" i="41"/>
  <c r="L132" i="41"/>
  <c r="M132" i="41"/>
  <c r="N132" i="41"/>
  <c r="O132" i="41"/>
  <c r="P132" i="41"/>
  <c r="Q132" i="41"/>
  <c r="R132" i="41"/>
  <c r="S132" i="41"/>
  <c r="T132" i="41"/>
  <c r="U132" i="41"/>
  <c r="V132" i="41"/>
  <c r="W132" i="41"/>
  <c r="X132" i="41"/>
  <c r="Y132" i="41"/>
  <c r="Z132" i="41"/>
  <c r="F134" i="41"/>
  <c r="G134" i="41"/>
  <c r="H134" i="41"/>
  <c r="I134" i="41"/>
  <c r="J134" i="41"/>
  <c r="K134" i="41"/>
  <c r="L134" i="41"/>
  <c r="M134" i="41"/>
  <c r="N134" i="41"/>
  <c r="O134" i="41"/>
  <c r="P134" i="41"/>
  <c r="Q134" i="41"/>
  <c r="R134" i="41"/>
  <c r="S134" i="41"/>
  <c r="T134" i="41"/>
  <c r="U134" i="41"/>
  <c r="V134" i="41"/>
  <c r="W134" i="41"/>
  <c r="X134" i="41"/>
  <c r="Y134" i="41"/>
  <c r="Z134" i="41"/>
  <c r="F135" i="41"/>
  <c r="G135" i="41"/>
  <c r="H135" i="41"/>
  <c r="I135" i="41"/>
  <c r="J135" i="41"/>
  <c r="K135" i="41"/>
  <c r="L135" i="41"/>
  <c r="M135" i="41"/>
  <c r="N135" i="41"/>
  <c r="O135" i="41"/>
  <c r="P135" i="41"/>
  <c r="Q135" i="41"/>
  <c r="R135" i="41"/>
  <c r="S135" i="41"/>
  <c r="T135" i="41"/>
  <c r="U135" i="41"/>
  <c r="V135" i="41"/>
  <c r="W135" i="41"/>
  <c r="X135" i="41"/>
  <c r="Y135" i="41"/>
  <c r="Z135" i="41"/>
  <c r="F136" i="41"/>
  <c r="G136" i="41"/>
  <c r="H136" i="41"/>
  <c r="I136" i="41"/>
  <c r="J136" i="41"/>
  <c r="K136" i="41"/>
  <c r="L136" i="41"/>
  <c r="M136" i="41"/>
  <c r="N136" i="41"/>
  <c r="O136" i="41"/>
  <c r="P136" i="41"/>
  <c r="Q136" i="41"/>
  <c r="R136" i="41"/>
  <c r="S136" i="41"/>
  <c r="T136" i="41"/>
  <c r="U136" i="41"/>
  <c r="V136" i="41"/>
  <c r="W136" i="41"/>
  <c r="X136" i="41"/>
  <c r="Y136" i="41"/>
  <c r="Z136" i="41"/>
  <c r="F138" i="41"/>
  <c r="G138" i="41"/>
  <c r="H138" i="41"/>
  <c r="I138" i="41"/>
  <c r="J138" i="41"/>
  <c r="K138" i="41"/>
  <c r="L138" i="41"/>
  <c r="M138" i="41"/>
  <c r="N138" i="41"/>
  <c r="O138" i="41"/>
  <c r="P138" i="41"/>
  <c r="Q138" i="41"/>
  <c r="R138" i="41"/>
  <c r="S138" i="41"/>
  <c r="T138" i="41"/>
  <c r="U138" i="41"/>
  <c r="V138" i="41"/>
  <c r="W138" i="41"/>
  <c r="X138" i="41"/>
  <c r="Y138" i="41"/>
  <c r="Z138" i="41"/>
  <c r="G141" i="41"/>
  <c r="H141" i="41"/>
  <c r="I141" i="41"/>
  <c r="J141" i="41"/>
  <c r="K141" i="41"/>
  <c r="L141" i="41"/>
  <c r="M141" i="41"/>
  <c r="N141" i="41"/>
  <c r="O141" i="41"/>
  <c r="P141" i="41"/>
  <c r="Q141" i="41"/>
  <c r="R141" i="41"/>
  <c r="S141" i="41"/>
  <c r="T141" i="41"/>
  <c r="U141" i="41"/>
  <c r="V141" i="41"/>
  <c r="W141" i="41"/>
  <c r="X141" i="41"/>
  <c r="Y141" i="41"/>
  <c r="Z141" i="41"/>
  <c r="J142" i="41"/>
  <c r="F143" i="41"/>
  <c r="G143" i="41"/>
  <c r="H143" i="41"/>
  <c r="I143" i="41"/>
  <c r="J143" i="41"/>
  <c r="K143" i="41"/>
  <c r="L143" i="41"/>
  <c r="M143" i="41"/>
  <c r="N143" i="41"/>
  <c r="O143" i="41"/>
  <c r="P143" i="41"/>
  <c r="Q143" i="41"/>
  <c r="R143" i="41"/>
  <c r="S143" i="41"/>
  <c r="T143" i="41"/>
  <c r="U143" i="41"/>
  <c r="V143" i="41"/>
  <c r="W143" i="41"/>
  <c r="X143" i="41"/>
  <c r="Y143" i="41"/>
  <c r="Z143" i="41"/>
  <c r="F144" i="41"/>
  <c r="G144" i="41"/>
  <c r="H144" i="41"/>
  <c r="I144" i="41"/>
  <c r="J144" i="41"/>
  <c r="K144" i="41"/>
  <c r="L144" i="41"/>
  <c r="M144" i="41"/>
  <c r="N144" i="41"/>
  <c r="O144" i="41"/>
  <c r="P144" i="41"/>
  <c r="Q144" i="41"/>
  <c r="R144" i="41"/>
  <c r="S144" i="41"/>
  <c r="T144" i="41"/>
  <c r="U144" i="41"/>
  <c r="V144" i="41"/>
  <c r="W144" i="41"/>
  <c r="X144" i="41"/>
  <c r="Y144" i="41"/>
  <c r="Z144" i="41"/>
  <c r="F146" i="41"/>
  <c r="G146" i="41"/>
  <c r="H146" i="41"/>
  <c r="I146" i="41"/>
  <c r="J146" i="41"/>
  <c r="K146" i="41"/>
  <c r="L146" i="41"/>
  <c r="M146" i="41"/>
  <c r="N146" i="41"/>
  <c r="O146" i="41"/>
  <c r="P146" i="41"/>
  <c r="Q146" i="41"/>
  <c r="R146" i="41"/>
  <c r="S146" i="41"/>
  <c r="T146" i="41"/>
  <c r="U146" i="41"/>
  <c r="V146" i="41"/>
  <c r="W146" i="41"/>
  <c r="X146" i="41"/>
  <c r="Y146" i="41"/>
  <c r="Z146" i="41"/>
  <c r="F147" i="41"/>
  <c r="G147" i="41"/>
  <c r="H147" i="41"/>
  <c r="I147" i="41"/>
  <c r="J147" i="41"/>
  <c r="K147" i="41"/>
  <c r="L147" i="41"/>
  <c r="M147" i="41"/>
  <c r="N147" i="41"/>
  <c r="O147" i="41"/>
  <c r="P147" i="41"/>
  <c r="Q147" i="41"/>
  <c r="R147" i="41"/>
  <c r="S147" i="41"/>
  <c r="T147" i="41"/>
  <c r="U147" i="41"/>
  <c r="V147" i="41"/>
  <c r="W147" i="41"/>
  <c r="X147" i="41"/>
  <c r="Y147" i="41"/>
  <c r="Z147" i="41"/>
  <c r="F148" i="41"/>
  <c r="G148" i="41"/>
  <c r="H148" i="41"/>
  <c r="I148" i="41"/>
  <c r="J148" i="41"/>
  <c r="K148" i="41"/>
  <c r="L148" i="41"/>
  <c r="M148" i="41"/>
  <c r="N148" i="41"/>
  <c r="O148" i="41"/>
  <c r="P148" i="41"/>
  <c r="Q148" i="41"/>
  <c r="R148" i="41"/>
  <c r="S148" i="41"/>
  <c r="T148" i="41"/>
  <c r="U148" i="41"/>
  <c r="V148" i="41"/>
  <c r="W148" i="41"/>
  <c r="X148" i="41"/>
  <c r="Y148" i="41"/>
  <c r="Z148" i="41"/>
  <c r="J150" i="41"/>
  <c r="F152" i="41"/>
  <c r="G152" i="41"/>
  <c r="H152" i="41"/>
  <c r="I152" i="41"/>
  <c r="J152" i="41"/>
  <c r="K152" i="41"/>
  <c r="L152" i="41"/>
  <c r="M152" i="41"/>
  <c r="N152" i="41"/>
  <c r="O152" i="41"/>
  <c r="P152" i="41"/>
  <c r="Q152" i="41"/>
  <c r="R152" i="41"/>
  <c r="S152" i="41"/>
  <c r="T152" i="41"/>
  <c r="U152" i="41"/>
  <c r="V152" i="41"/>
  <c r="W152" i="41"/>
  <c r="X152" i="41"/>
  <c r="Y152" i="41"/>
  <c r="Z152" i="41"/>
  <c r="L155" i="41"/>
  <c r="J156" i="41"/>
  <c r="L157" i="41"/>
  <c r="L158" i="41"/>
  <c r="J159" i="41"/>
  <c r="L159" i="41"/>
  <c r="F162" i="41"/>
  <c r="G162" i="41"/>
  <c r="H162" i="41"/>
  <c r="I162" i="41"/>
  <c r="J162" i="41"/>
  <c r="K162" i="41"/>
  <c r="L162" i="41"/>
  <c r="D196" i="41"/>
  <c r="F196" i="41"/>
  <c r="G196" i="41"/>
  <c r="H196" i="41"/>
  <c r="I196" i="41"/>
  <c r="J196" i="41"/>
  <c r="K196" i="41"/>
  <c r="L196" i="41"/>
  <c r="M196" i="41"/>
  <c r="N196" i="41"/>
  <c r="O196" i="41"/>
  <c r="P196" i="41"/>
  <c r="Q196" i="41"/>
  <c r="R196" i="41"/>
  <c r="S196" i="41"/>
  <c r="T196" i="41"/>
  <c r="U196" i="41"/>
  <c r="V196" i="41"/>
  <c r="W196" i="41"/>
  <c r="X196" i="41"/>
  <c r="Y196" i="41"/>
  <c r="Z196" i="41"/>
  <c r="F200" i="41"/>
  <c r="G200" i="41"/>
  <c r="H200" i="41"/>
  <c r="I200" i="41"/>
  <c r="J200" i="41"/>
  <c r="K200" i="41"/>
  <c r="L200" i="41"/>
  <c r="M200" i="41"/>
  <c r="N200" i="41"/>
  <c r="O200" i="41"/>
  <c r="P200" i="41"/>
  <c r="Q200" i="41"/>
  <c r="R200" i="41"/>
  <c r="S200" i="41"/>
  <c r="T200" i="41"/>
  <c r="U200" i="41"/>
  <c r="V200" i="41"/>
  <c r="W200" i="41"/>
  <c r="X200" i="41"/>
  <c r="Y200" i="41"/>
  <c r="Z200" i="41"/>
  <c r="F202" i="41"/>
  <c r="G202" i="41"/>
  <c r="H202" i="41"/>
  <c r="I202" i="41"/>
  <c r="J202" i="41"/>
  <c r="K202" i="41"/>
  <c r="L202" i="41"/>
  <c r="M202" i="41"/>
  <c r="N202" i="41"/>
  <c r="O202" i="41"/>
  <c r="P202" i="41"/>
  <c r="Q202" i="41"/>
  <c r="R202" i="41"/>
  <c r="S202" i="41"/>
  <c r="T202" i="41"/>
  <c r="U202" i="41"/>
  <c r="V202" i="41"/>
  <c r="W202" i="41"/>
  <c r="X202" i="41"/>
  <c r="Y202" i="41"/>
  <c r="Z202" i="41"/>
  <c r="F206" i="41"/>
  <c r="G206" i="41"/>
  <c r="H206" i="41"/>
  <c r="I206" i="41"/>
  <c r="J206" i="41"/>
  <c r="K206" i="41"/>
  <c r="L206" i="41"/>
  <c r="M206" i="41"/>
  <c r="N206" i="41"/>
  <c r="O206" i="41"/>
  <c r="P206" i="41"/>
  <c r="Q206" i="41"/>
  <c r="R206" i="41"/>
  <c r="S206" i="41"/>
  <c r="T206" i="41"/>
  <c r="U206" i="41"/>
  <c r="V206" i="41"/>
  <c r="W206" i="41"/>
  <c r="X206" i="41"/>
  <c r="Y206" i="41"/>
  <c r="Z206" i="41"/>
  <c r="F207" i="41"/>
  <c r="G207" i="41"/>
  <c r="H207" i="41"/>
  <c r="I207" i="41"/>
  <c r="J207" i="41"/>
  <c r="K207" i="41"/>
  <c r="L207" i="41"/>
  <c r="M207" i="41"/>
  <c r="N207" i="41"/>
  <c r="O207" i="41"/>
  <c r="P207" i="41"/>
  <c r="Q207" i="41"/>
  <c r="R207" i="41"/>
  <c r="S207" i="41"/>
  <c r="T207" i="41"/>
  <c r="U207" i="41"/>
  <c r="V207" i="41"/>
  <c r="W207" i="41"/>
  <c r="X207" i="41"/>
  <c r="Y207" i="41"/>
  <c r="Z207" i="41"/>
  <c r="F208" i="41"/>
  <c r="G208" i="41"/>
  <c r="H208" i="41"/>
  <c r="I208" i="41"/>
  <c r="J208" i="41"/>
  <c r="K208" i="41"/>
  <c r="L208" i="41"/>
  <c r="M208" i="41"/>
  <c r="N208" i="41"/>
  <c r="O208" i="41"/>
  <c r="P208" i="41"/>
  <c r="Q208" i="41"/>
  <c r="R208" i="41"/>
  <c r="S208" i="41"/>
  <c r="T208" i="41"/>
  <c r="U208" i="41"/>
  <c r="V208" i="41"/>
  <c r="W208" i="41"/>
  <c r="X208" i="41"/>
  <c r="Y208" i="41"/>
  <c r="Z208" i="41"/>
  <c r="F218" i="41"/>
  <c r="G218" i="41"/>
  <c r="H218" i="41"/>
  <c r="I218" i="41"/>
  <c r="J218" i="41"/>
  <c r="K218" i="41"/>
  <c r="L218" i="41"/>
  <c r="M218" i="41"/>
  <c r="N218" i="41"/>
  <c r="O218" i="41"/>
  <c r="P218" i="41"/>
  <c r="Q218" i="41"/>
  <c r="R218" i="41"/>
  <c r="S218" i="41"/>
  <c r="T218" i="41"/>
  <c r="U218" i="41"/>
  <c r="V218" i="41"/>
  <c r="W218" i="41"/>
  <c r="X218" i="41"/>
  <c r="Y218" i="41"/>
  <c r="Z218" i="41"/>
  <c r="F222" i="41"/>
  <c r="G222" i="41"/>
  <c r="H222" i="41"/>
  <c r="I222" i="41"/>
  <c r="J222" i="41"/>
  <c r="K222" i="41"/>
  <c r="L222" i="41"/>
  <c r="M222" i="41"/>
  <c r="N222" i="41"/>
  <c r="O222" i="41"/>
  <c r="P222" i="41"/>
  <c r="Q222" i="41"/>
  <c r="R222" i="41"/>
  <c r="S222" i="41"/>
  <c r="T222" i="41"/>
  <c r="U222" i="41"/>
  <c r="V222" i="41"/>
  <c r="W222" i="41"/>
  <c r="X222" i="41"/>
  <c r="Y222" i="41"/>
  <c r="Z222" i="41"/>
  <c r="L225" i="41"/>
  <c r="L226" i="41"/>
  <c r="L228" i="41"/>
  <c r="F230" i="41"/>
  <c r="G230" i="41"/>
  <c r="H230" i="41"/>
  <c r="I230" i="41"/>
  <c r="J230" i="41"/>
  <c r="K230" i="41"/>
  <c r="L230" i="41"/>
  <c r="F244" i="41"/>
  <c r="G244" i="41"/>
  <c r="H244" i="41"/>
  <c r="I244" i="41"/>
  <c r="J244" i="41"/>
  <c r="K244" i="41"/>
  <c r="L244" i="41"/>
  <c r="M244" i="41"/>
  <c r="N244" i="41"/>
  <c r="O244" i="41"/>
  <c r="P244" i="41"/>
  <c r="Q244" i="41"/>
  <c r="R244" i="41"/>
  <c r="S244" i="41"/>
  <c r="T244" i="41"/>
  <c r="U244" i="41"/>
  <c r="V244" i="41"/>
  <c r="W244" i="41"/>
  <c r="X244" i="41"/>
  <c r="Y244" i="41"/>
  <c r="Z244" i="41"/>
  <c r="F245" i="41"/>
  <c r="G245" i="41"/>
  <c r="H245" i="41"/>
  <c r="I245" i="41"/>
  <c r="J245" i="41"/>
  <c r="K245" i="41"/>
  <c r="L245" i="41"/>
  <c r="M245" i="41"/>
  <c r="N245" i="41"/>
  <c r="O245" i="41"/>
  <c r="P245" i="41"/>
  <c r="Q245" i="41"/>
  <c r="R245" i="41"/>
  <c r="S245" i="41"/>
  <c r="T245" i="41"/>
  <c r="U245" i="41"/>
  <c r="V245" i="41"/>
  <c r="W245" i="41"/>
  <c r="X245" i="41"/>
  <c r="Y245" i="41"/>
  <c r="Z245" i="41"/>
  <c r="F248" i="41"/>
  <c r="G248" i="41"/>
  <c r="H248" i="41"/>
  <c r="I248" i="41"/>
  <c r="J248" i="41"/>
  <c r="K248" i="41"/>
  <c r="L248" i="41"/>
  <c r="M248" i="41"/>
  <c r="N248" i="41"/>
  <c r="O248" i="41"/>
  <c r="P248" i="41"/>
  <c r="Q248" i="41"/>
  <c r="R248" i="41"/>
  <c r="S248" i="41"/>
  <c r="T248" i="41"/>
  <c r="U248" i="41"/>
  <c r="V248" i="41"/>
  <c r="W248" i="41"/>
  <c r="X248" i="41"/>
  <c r="Y248" i="41"/>
  <c r="Z248" i="41"/>
  <c r="F249" i="41"/>
  <c r="G249" i="41"/>
  <c r="H249" i="41"/>
  <c r="I249" i="41"/>
  <c r="J249" i="41"/>
  <c r="K249" i="41"/>
  <c r="L249" i="41"/>
  <c r="M249" i="41"/>
  <c r="N249" i="41"/>
  <c r="O249" i="41"/>
  <c r="P249" i="41"/>
  <c r="Q249" i="41"/>
  <c r="R249" i="41"/>
  <c r="S249" i="41"/>
  <c r="T249" i="41"/>
  <c r="U249" i="41"/>
  <c r="V249" i="41"/>
  <c r="W249" i="41"/>
  <c r="X249" i="41"/>
  <c r="Y249" i="41"/>
  <c r="Z249" i="41"/>
  <c r="F251" i="41"/>
  <c r="G251" i="41"/>
  <c r="H251" i="41"/>
  <c r="I251" i="41"/>
  <c r="J251" i="41"/>
  <c r="K251" i="41"/>
  <c r="L251" i="41"/>
  <c r="M251" i="41"/>
  <c r="N251" i="41"/>
  <c r="O251" i="41"/>
  <c r="P251" i="41"/>
  <c r="Q251" i="41"/>
  <c r="R251" i="41"/>
  <c r="S251" i="41"/>
  <c r="T251" i="41"/>
  <c r="U251" i="41"/>
  <c r="V251" i="41"/>
  <c r="W251" i="41"/>
  <c r="X251" i="41"/>
  <c r="Y251" i="41"/>
  <c r="Z251" i="41"/>
  <c r="F252" i="41"/>
  <c r="G252" i="41"/>
  <c r="H252" i="41"/>
  <c r="I252" i="41"/>
  <c r="J252" i="41"/>
  <c r="K252" i="41"/>
  <c r="L252" i="41"/>
  <c r="M252" i="41"/>
  <c r="N252" i="41"/>
  <c r="O252" i="41"/>
  <c r="P252" i="41"/>
  <c r="Q252" i="41"/>
  <c r="R252" i="41"/>
  <c r="S252" i="41"/>
  <c r="T252" i="41"/>
  <c r="U252" i="41"/>
  <c r="V252" i="41"/>
  <c r="W252" i="41"/>
  <c r="X252" i="41"/>
  <c r="Y252" i="41"/>
  <c r="Z252" i="41"/>
  <c r="F253" i="41"/>
  <c r="G253" i="41"/>
  <c r="H253" i="41"/>
  <c r="I253" i="41"/>
  <c r="J253" i="41"/>
  <c r="K253" i="41"/>
  <c r="L253" i="41"/>
  <c r="M253" i="41"/>
  <c r="N253" i="41"/>
  <c r="O253" i="41"/>
  <c r="P253" i="41"/>
  <c r="Q253" i="41"/>
  <c r="R253" i="41"/>
  <c r="S253" i="41"/>
  <c r="T253" i="41"/>
  <c r="U253" i="41"/>
  <c r="V253" i="41"/>
  <c r="W253" i="41"/>
  <c r="X253" i="41"/>
  <c r="Y253" i="41"/>
  <c r="Z253" i="41"/>
  <c r="K256" i="41"/>
  <c r="L256" i="41"/>
  <c r="M256" i="41"/>
  <c r="N256" i="41"/>
  <c r="O256" i="41"/>
  <c r="P256" i="41"/>
  <c r="Q256" i="41"/>
  <c r="R256" i="41"/>
  <c r="S256" i="41"/>
  <c r="T256" i="41"/>
  <c r="U256" i="41"/>
  <c r="V256" i="41"/>
  <c r="W256" i="41"/>
  <c r="X256" i="41"/>
  <c r="Y256" i="41"/>
  <c r="Z256" i="41"/>
  <c r="J257" i="41"/>
  <c r="J259" i="41"/>
  <c r="K259" i="41"/>
  <c r="L259" i="41"/>
  <c r="M259" i="41"/>
  <c r="N259" i="41"/>
  <c r="O259" i="41"/>
  <c r="P259" i="41"/>
  <c r="Q259" i="41"/>
  <c r="R259" i="41"/>
  <c r="S259" i="41"/>
  <c r="T259" i="41"/>
  <c r="U259" i="41"/>
  <c r="V259" i="41"/>
  <c r="W259" i="41"/>
  <c r="X259" i="41"/>
  <c r="Y259" i="41"/>
  <c r="Z259" i="41"/>
  <c r="J261" i="41"/>
  <c r="K261" i="41"/>
  <c r="L261" i="41"/>
  <c r="M261" i="41"/>
  <c r="N261" i="41"/>
  <c r="O261" i="41"/>
  <c r="P261" i="41"/>
  <c r="Q261" i="41"/>
  <c r="R261" i="41"/>
  <c r="S261" i="41"/>
  <c r="T261" i="41"/>
  <c r="U261" i="41"/>
  <c r="V261" i="41"/>
  <c r="W261" i="41"/>
  <c r="X261" i="41"/>
  <c r="Y261" i="41"/>
  <c r="Z261" i="41"/>
  <c r="J262" i="41"/>
  <c r="K262" i="41"/>
  <c r="L262" i="41"/>
  <c r="M262" i="41"/>
  <c r="N262" i="41"/>
  <c r="O262" i="41"/>
  <c r="P262" i="41"/>
  <c r="Q262" i="41"/>
  <c r="R262" i="41"/>
  <c r="S262" i="41"/>
  <c r="T262" i="41"/>
  <c r="U262" i="41"/>
  <c r="V262" i="41"/>
  <c r="W262" i="41"/>
  <c r="X262" i="41"/>
  <c r="Y262" i="41"/>
  <c r="Z262" i="41"/>
  <c r="F263" i="41"/>
  <c r="G263" i="41"/>
  <c r="H263" i="41"/>
  <c r="I263" i="41"/>
  <c r="J263" i="41"/>
  <c r="K263" i="41"/>
  <c r="L263" i="41"/>
  <c r="M263" i="41"/>
  <c r="N263" i="41"/>
  <c r="O263" i="41"/>
  <c r="P263" i="41"/>
  <c r="Q263" i="41"/>
  <c r="R263" i="41"/>
  <c r="S263" i="41"/>
  <c r="T263" i="41"/>
  <c r="U263" i="41"/>
  <c r="V263" i="41"/>
  <c r="W263" i="41"/>
  <c r="X263" i="41"/>
  <c r="Y263" i="41"/>
  <c r="Z263" i="41"/>
  <c r="J265" i="41"/>
  <c r="F267" i="41"/>
  <c r="G267" i="41"/>
  <c r="H267" i="41"/>
  <c r="I267" i="41"/>
  <c r="J267" i="41"/>
  <c r="K267" i="41"/>
  <c r="L267" i="41"/>
  <c r="M267" i="41"/>
  <c r="N267" i="41"/>
  <c r="O267" i="41"/>
  <c r="P267" i="41"/>
  <c r="Q267" i="41"/>
  <c r="R267" i="41"/>
  <c r="S267" i="41"/>
  <c r="T267" i="41"/>
  <c r="U267" i="41"/>
  <c r="V267" i="41"/>
  <c r="W267" i="41"/>
  <c r="X267" i="41"/>
  <c r="Y267" i="41"/>
  <c r="Z267" i="41"/>
  <c r="L270" i="41"/>
  <c r="L271" i="41"/>
  <c r="L272" i="41"/>
  <c r="L273" i="41"/>
  <c r="F275" i="41"/>
  <c r="G275" i="41"/>
  <c r="H275" i="41"/>
  <c r="I275" i="41"/>
  <c r="J275" i="41"/>
  <c r="K275" i="41"/>
  <c r="L275" i="41"/>
  <c r="F277" i="41"/>
  <c r="G277" i="41"/>
  <c r="H277" i="41"/>
  <c r="I277" i="41"/>
  <c r="J277" i="41"/>
  <c r="K277" i="41"/>
  <c r="L277" i="41"/>
  <c r="F279" i="41"/>
  <c r="G279" i="41"/>
  <c r="H279" i="41"/>
  <c r="I279" i="41"/>
  <c r="J279" i="41"/>
  <c r="K279" i="41"/>
  <c r="L279" i="41"/>
  <c r="M279" i="41"/>
  <c r="N279" i="41"/>
  <c r="O279" i="41"/>
  <c r="P279" i="41"/>
  <c r="Q279" i="41"/>
  <c r="R279" i="41"/>
  <c r="S279" i="41"/>
  <c r="T279" i="41"/>
  <c r="U279" i="41"/>
  <c r="V279" i="41"/>
  <c r="W279" i="41"/>
  <c r="X279" i="41"/>
  <c r="Y279" i="41"/>
  <c r="Z279" i="41"/>
  <c r="F280" i="41"/>
  <c r="G280" i="41"/>
  <c r="H280" i="41"/>
  <c r="I280" i="41"/>
  <c r="J280" i="41"/>
  <c r="K280" i="41"/>
  <c r="L280" i="41"/>
  <c r="M280" i="41"/>
  <c r="N280" i="41"/>
  <c r="O280" i="41"/>
  <c r="P280" i="41"/>
  <c r="Q280" i="41"/>
  <c r="R280" i="41"/>
  <c r="S280" i="41"/>
  <c r="T280" i="41"/>
  <c r="U280" i="41"/>
  <c r="V280" i="41"/>
  <c r="W280" i="41"/>
  <c r="X280" i="41"/>
  <c r="Y280" i="41"/>
  <c r="Z280" i="41"/>
  <c r="D289" i="41"/>
  <c r="G289" i="41"/>
  <c r="H289" i="41"/>
  <c r="I289" i="41"/>
  <c r="D292" i="41"/>
  <c r="G292" i="41"/>
  <c r="H292" i="41"/>
  <c r="I292" i="41"/>
  <c r="D295" i="41"/>
  <c r="F295" i="41"/>
  <c r="G295" i="41"/>
  <c r="H295" i="41"/>
  <c r="I295" i="41"/>
  <c r="J295" i="41"/>
  <c r="K295" i="41"/>
  <c r="L295" i="41"/>
  <c r="M295" i="41"/>
  <c r="N295" i="41"/>
  <c r="O295" i="41"/>
  <c r="P295" i="41"/>
  <c r="Q295" i="41"/>
  <c r="R295" i="41"/>
  <c r="S295" i="41"/>
  <c r="T295" i="41"/>
  <c r="U295" i="41"/>
  <c r="V295" i="41"/>
  <c r="W295" i="41"/>
  <c r="X295" i="41"/>
  <c r="Y295" i="41"/>
  <c r="Z295" i="41"/>
  <c r="D296" i="41"/>
  <c r="F296" i="41"/>
  <c r="G296" i="41"/>
  <c r="H296" i="41"/>
  <c r="I296" i="41"/>
  <c r="J296" i="41"/>
  <c r="K296" i="41"/>
  <c r="L296" i="41"/>
  <c r="M296" i="41"/>
  <c r="N296" i="41"/>
  <c r="O296" i="41"/>
  <c r="P296" i="41"/>
  <c r="Q296" i="41"/>
  <c r="R296" i="41"/>
  <c r="S296" i="41"/>
  <c r="T296" i="41"/>
  <c r="U296" i="41"/>
  <c r="V296" i="41"/>
  <c r="W296" i="41"/>
  <c r="X296" i="41"/>
  <c r="Y296" i="41"/>
  <c r="Z296" i="41"/>
  <c r="D297" i="41"/>
  <c r="F297" i="41"/>
  <c r="G297" i="41"/>
  <c r="H297" i="41"/>
  <c r="I297" i="41"/>
  <c r="J297" i="41"/>
  <c r="K297" i="41"/>
  <c r="L297" i="41"/>
  <c r="M297" i="41"/>
  <c r="N297" i="41"/>
  <c r="O297" i="41"/>
  <c r="P297" i="41"/>
  <c r="Q297" i="41"/>
  <c r="R297" i="41"/>
  <c r="S297" i="41"/>
  <c r="T297" i="41"/>
  <c r="U297" i="41"/>
  <c r="V297" i="41"/>
  <c r="W297" i="41"/>
  <c r="X297" i="41"/>
  <c r="Y297" i="41"/>
  <c r="Z297" i="41"/>
  <c r="D298" i="41"/>
  <c r="F298" i="41"/>
  <c r="G298" i="41"/>
  <c r="H298" i="41"/>
  <c r="I298" i="41"/>
  <c r="J298" i="41"/>
  <c r="K298" i="41"/>
  <c r="L298" i="41"/>
  <c r="M298" i="41"/>
  <c r="N298" i="41"/>
  <c r="O298" i="41"/>
  <c r="P298" i="41"/>
  <c r="Q298" i="41"/>
  <c r="R298" i="41"/>
  <c r="S298" i="41"/>
  <c r="T298" i="41"/>
  <c r="U298" i="41"/>
  <c r="V298" i="41"/>
  <c r="W298" i="41"/>
  <c r="X298" i="41"/>
  <c r="Y298" i="41"/>
  <c r="Z298" i="41"/>
  <c r="D299" i="41"/>
  <c r="F299" i="41"/>
  <c r="G299" i="41"/>
  <c r="H299" i="41"/>
  <c r="I299" i="41"/>
  <c r="J299" i="41"/>
  <c r="K299" i="41"/>
  <c r="L299" i="41"/>
  <c r="M299" i="41"/>
  <c r="N299" i="41"/>
  <c r="O299" i="41"/>
  <c r="P299" i="41"/>
  <c r="Q299" i="41"/>
  <c r="R299" i="41"/>
  <c r="S299" i="41"/>
  <c r="T299" i="41"/>
  <c r="U299" i="41"/>
  <c r="V299" i="41"/>
  <c r="W299" i="41"/>
  <c r="X299" i="41"/>
  <c r="Y299" i="41"/>
  <c r="Z299" i="41"/>
  <c r="D300" i="41"/>
  <c r="F300" i="41"/>
  <c r="G300" i="41"/>
  <c r="H300" i="41"/>
  <c r="I300" i="41"/>
  <c r="J300" i="41"/>
  <c r="K300" i="41"/>
  <c r="L300" i="41"/>
  <c r="M300" i="41"/>
  <c r="N300" i="41"/>
  <c r="O300" i="41"/>
  <c r="P300" i="41"/>
  <c r="Q300" i="41"/>
  <c r="R300" i="41"/>
  <c r="S300" i="41"/>
  <c r="T300" i="41"/>
  <c r="U300" i="41"/>
  <c r="V300" i="41"/>
  <c r="W300" i="41"/>
  <c r="X300" i="41"/>
  <c r="Y300" i="41"/>
  <c r="Z300" i="41"/>
  <c r="D301" i="41"/>
  <c r="F301" i="41"/>
  <c r="G301" i="41"/>
  <c r="H301" i="41"/>
  <c r="I301" i="41"/>
  <c r="J301" i="41"/>
  <c r="K301" i="41"/>
  <c r="L301" i="41"/>
  <c r="M301" i="41"/>
  <c r="N301" i="41"/>
  <c r="O301" i="41"/>
  <c r="P301" i="41"/>
  <c r="Q301" i="41"/>
  <c r="R301" i="41"/>
  <c r="S301" i="41"/>
  <c r="T301" i="41"/>
  <c r="U301" i="41"/>
  <c r="V301" i="41"/>
  <c r="W301" i="41"/>
  <c r="X301" i="41"/>
  <c r="Y301" i="41"/>
  <c r="Z301" i="41"/>
  <c r="D302" i="41"/>
  <c r="F302" i="41"/>
  <c r="G302" i="41"/>
  <c r="H302" i="41"/>
  <c r="I302" i="41"/>
  <c r="J302" i="41"/>
  <c r="K302" i="41"/>
  <c r="L302" i="41"/>
  <c r="M302" i="41"/>
  <c r="N302" i="41"/>
  <c r="O302" i="41"/>
  <c r="P302" i="41"/>
  <c r="Q302" i="41"/>
  <c r="R302" i="41"/>
  <c r="S302" i="41"/>
  <c r="T302" i="41"/>
  <c r="U302" i="41"/>
  <c r="V302" i="41"/>
  <c r="W302" i="41"/>
  <c r="X302" i="41"/>
  <c r="Y302" i="41"/>
  <c r="Z302" i="41"/>
  <c r="D304" i="41"/>
  <c r="F304" i="41"/>
  <c r="G304" i="41"/>
  <c r="H304" i="41"/>
  <c r="I304" i="41"/>
  <c r="J304" i="41"/>
  <c r="K304" i="41"/>
  <c r="L304" i="41"/>
  <c r="M304" i="41"/>
  <c r="N304" i="41"/>
  <c r="O304" i="41"/>
  <c r="P304" i="41"/>
  <c r="Q304" i="41"/>
  <c r="R304" i="41"/>
  <c r="S304" i="41"/>
  <c r="T304" i="41"/>
  <c r="U304" i="41"/>
  <c r="V304" i="41"/>
  <c r="W304" i="41"/>
  <c r="X304" i="41"/>
  <c r="Y304" i="41"/>
  <c r="Z304" i="41"/>
  <c r="D307" i="41"/>
  <c r="F307" i="41"/>
  <c r="G307" i="41"/>
  <c r="H307" i="41"/>
  <c r="I307" i="41"/>
  <c r="J307" i="41"/>
  <c r="K307" i="41"/>
  <c r="L307" i="41"/>
  <c r="M307" i="41"/>
  <c r="N307" i="41"/>
  <c r="O307" i="41"/>
  <c r="P307" i="41"/>
  <c r="Q307" i="41"/>
  <c r="R307" i="41"/>
  <c r="S307" i="41"/>
  <c r="T307" i="41"/>
  <c r="U307" i="41"/>
  <c r="V307" i="41"/>
  <c r="W307" i="41"/>
  <c r="X307" i="41"/>
  <c r="Y307" i="41"/>
  <c r="Z307" i="41"/>
  <c r="D308" i="41"/>
  <c r="F308" i="41"/>
  <c r="G308" i="41"/>
  <c r="H308" i="41"/>
  <c r="I308" i="41"/>
  <c r="J308" i="41"/>
  <c r="K308" i="41"/>
  <c r="L308" i="41"/>
  <c r="D309" i="41"/>
  <c r="F309" i="41"/>
  <c r="G309" i="41"/>
  <c r="H309" i="41"/>
  <c r="I309" i="41"/>
  <c r="J309" i="41"/>
  <c r="K309" i="41"/>
  <c r="L309" i="41"/>
  <c r="M309" i="41"/>
  <c r="N309" i="41"/>
  <c r="O309" i="41"/>
  <c r="P309" i="41"/>
  <c r="Q309" i="41"/>
  <c r="R309" i="41"/>
  <c r="S309" i="41"/>
  <c r="T309" i="41"/>
  <c r="U309" i="41"/>
  <c r="V309" i="41"/>
  <c r="W309" i="41"/>
  <c r="X309" i="41"/>
  <c r="Y309" i="41"/>
  <c r="Z309" i="41"/>
  <c r="D311" i="41"/>
  <c r="D312" i="41"/>
  <c r="D313" i="41"/>
  <c r="F318" i="41"/>
  <c r="G318" i="41"/>
  <c r="H318" i="41"/>
  <c r="I318" i="41"/>
  <c r="J318" i="41"/>
  <c r="K318" i="41"/>
  <c r="L318" i="41"/>
  <c r="M318" i="41"/>
  <c r="N318" i="41"/>
  <c r="O318" i="41"/>
  <c r="P318" i="41"/>
  <c r="Q318" i="41"/>
  <c r="R318" i="41"/>
  <c r="S318" i="41"/>
  <c r="T318" i="41"/>
  <c r="U318" i="41"/>
  <c r="V318" i="41"/>
  <c r="W318" i="41"/>
  <c r="X318" i="41"/>
  <c r="Y318" i="41"/>
  <c r="Z318" i="41"/>
  <c r="F319" i="41"/>
  <c r="G319" i="41"/>
  <c r="H319" i="41"/>
  <c r="I319" i="41"/>
  <c r="J319" i="41"/>
  <c r="K319" i="41"/>
  <c r="L319" i="41"/>
  <c r="M319" i="41"/>
  <c r="N319" i="41"/>
  <c r="O319" i="41"/>
  <c r="P319" i="41"/>
  <c r="Q319" i="41"/>
  <c r="R319" i="41"/>
  <c r="S319" i="41"/>
  <c r="T319" i="41"/>
  <c r="U319" i="41"/>
  <c r="V319" i="41"/>
  <c r="W319" i="41"/>
  <c r="X319" i="41"/>
  <c r="Y319" i="41"/>
  <c r="Z319" i="41"/>
  <c r="F320" i="41"/>
  <c r="G320" i="41"/>
  <c r="H320" i="41"/>
  <c r="I320" i="41"/>
  <c r="J320" i="41"/>
  <c r="K320" i="41"/>
  <c r="L320" i="41"/>
  <c r="M320" i="41"/>
  <c r="N320" i="41"/>
  <c r="O320" i="41"/>
  <c r="P320" i="41"/>
  <c r="Q320" i="41"/>
  <c r="R320" i="41"/>
  <c r="S320" i="41"/>
  <c r="T320" i="41"/>
  <c r="U320" i="41"/>
  <c r="V320" i="41"/>
  <c r="W320" i="41"/>
  <c r="X320" i="41"/>
  <c r="Y320" i="41"/>
  <c r="Z320" i="41"/>
  <c r="F321" i="41"/>
  <c r="G321" i="41"/>
  <c r="H321" i="41"/>
  <c r="I321" i="41"/>
  <c r="J321" i="41"/>
  <c r="K321" i="41"/>
  <c r="L321" i="41"/>
  <c r="M321" i="41"/>
  <c r="N321" i="41"/>
  <c r="O321" i="41"/>
  <c r="P321" i="41"/>
  <c r="Q321" i="41"/>
  <c r="R321" i="41"/>
  <c r="S321" i="41"/>
  <c r="T321" i="41"/>
  <c r="U321" i="41"/>
  <c r="V321" i="41"/>
  <c r="W321" i="41"/>
  <c r="X321" i="41"/>
  <c r="Y321" i="41"/>
  <c r="Z321" i="41"/>
  <c r="L324" i="41"/>
  <c r="L325" i="41"/>
  <c r="L326" i="41"/>
  <c r="D339" i="41"/>
  <c r="F339" i="41"/>
  <c r="G339" i="41"/>
  <c r="H339" i="41"/>
  <c r="I339" i="41"/>
  <c r="J339" i="41"/>
  <c r="K339" i="41"/>
  <c r="L339" i="41"/>
  <c r="M339" i="41"/>
  <c r="N339" i="41"/>
  <c r="O339" i="41"/>
  <c r="P339" i="41"/>
  <c r="Q339" i="41"/>
  <c r="R339" i="41"/>
  <c r="S339" i="41"/>
  <c r="T339" i="41"/>
  <c r="U339" i="41"/>
  <c r="V339" i="41"/>
  <c r="W339" i="41"/>
  <c r="X339" i="41"/>
  <c r="Y339" i="41"/>
  <c r="Z339" i="41"/>
  <c r="D340" i="41"/>
  <c r="F340" i="41"/>
  <c r="G340" i="41"/>
  <c r="H340" i="41"/>
  <c r="I340" i="41"/>
  <c r="J340" i="41"/>
  <c r="K340" i="41"/>
  <c r="L340" i="41"/>
  <c r="M340" i="41"/>
  <c r="N340" i="41"/>
  <c r="O340" i="41"/>
  <c r="P340" i="41"/>
  <c r="Q340" i="41"/>
  <c r="R340" i="41"/>
  <c r="S340" i="41"/>
  <c r="T340" i="41"/>
  <c r="U340" i="41"/>
  <c r="V340" i="41"/>
  <c r="W340" i="41"/>
  <c r="X340" i="41"/>
  <c r="Y340" i="41"/>
  <c r="Z340" i="41"/>
  <c r="D341" i="41"/>
  <c r="F341" i="41"/>
  <c r="G341" i="41"/>
  <c r="H341" i="41"/>
  <c r="I341" i="41"/>
  <c r="J341" i="41"/>
  <c r="K341" i="41"/>
  <c r="L341" i="41"/>
  <c r="M341" i="41"/>
  <c r="N341" i="41"/>
  <c r="O341" i="41"/>
  <c r="P341" i="41"/>
  <c r="Q341" i="41"/>
  <c r="R341" i="41"/>
  <c r="S341" i="41"/>
  <c r="T341" i="41"/>
  <c r="U341" i="41"/>
  <c r="V341" i="41"/>
  <c r="W341" i="41"/>
  <c r="X341" i="41"/>
  <c r="Y341" i="41"/>
  <c r="Z341" i="41"/>
  <c r="D342" i="41"/>
  <c r="F342" i="41"/>
  <c r="G342" i="41"/>
  <c r="H342" i="41"/>
  <c r="I342" i="41"/>
  <c r="J342" i="41"/>
  <c r="K342" i="41"/>
  <c r="L342" i="41"/>
  <c r="M342" i="41"/>
  <c r="N342" i="41"/>
  <c r="O342" i="41"/>
  <c r="P342" i="41"/>
  <c r="Q342" i="41"/>
  <c r="R342" i="41"/>
  <c r="S342" i="41"/>
  <c r="T342" i="41"/>
  <c r="U342" i="41"/>
  <c r="V342" i="41"/>
  <c r="W342" i="41"/>
  <c r="X342" i="41"/>
  <c r="Y342" i="41"/>
  <c r="Z342" i="41"/>
  <c r="D343" i="41"/>
  <c r="F343" i="41"/>
  <c r="G343" i="41"/>
  <c r="H343" i="41"/>
  <c r="I343" i="41"/>
  <c r="J343" i="41"/>
  <c r="K343" i="41"/>
  <c r="L343" i="41"/>
  <c r="M343" i="41"/>
  <c r="N343" i="41"/>
  <c r="O343" i="41"/>
  <c r="P343" i="41"/>
  <c r="Q343" i="41"/>
  <c r="R343" i="41"/>
  <c r="S343" i="41"/>
  <c r="T343" i="41"/>
  <c r="U343" i="41"/>
  <c r="V343" i="41"/>
  <c r="W343" i="41"/>
  <c r="X343" i="41"/>
  <c r="Y343" i="41"/>
  <c r="Z343" i="41"/>
  <c r="D345" i="41"/>
  <c r="F345" i="41"/>
  <c r="G345" i="41"/>
  <c r="H345" i="41"/>
  <c r="I345" i="41"/>
  <c r="J345" i="41"/>
  <c r="K345" i="41"/>
  <c r="L345" i="41"/>
  <c r="M345" i="41"/>
  <c r="N345" i="41"/>
  <c r="O345" i="41"/>
  <c r="P345" i="41"/>
  <c r="Q345" i="41"/>
  <c r="R345" i="41"/>
  <c r="S345" i="41"/>
  <c r="T345" i="41"/>
  <c r="U345" i="41"/>
  <c r="V345" i="41"/>
  <c r="W345" i="41"/>
  <c r="X345" i="41"/>
  <c r="Y345" i="41"/>
  <c r="Z345" i="41"/>
  <c r="D346" i="41"/>
  <c r="F346" i="41"/>
  <c r="G346" i="41"/>
  <c r="H346" i="41"/>
  <c r="I346" i="41"/>
  <c r="J346" i="41"/>
  <c r="K346" i="41"/>
  <c r="L346" i="41"/>
  <c r="M346" i="41"/>
  <c r="N346" i="41"/>
  <c r="O346" i="41"/>
  <c r="P346" i="41"/>
  <c r="Q346" i="41"/>
  <c r="R346" i="41"/>
  <c r="S346" i="41"/>
  <c r="T346" i="41"/>
  <c r="U346" i="41"/>
  <c r="V346" i="41"/>
  <c r="W346" i="41"/>
  <c r="X346" i="41"/>
  <c r="Y346" i="41"/>
  <c r="Z346" i="41"/>
  <c r="D349" i="41"/>
  <c r="F349" i="41"/>
  <c r="G349" i="41"/>
  <c r="H349" i="41"/>
  <c r="I349" i="41"/>
  <c r="J349" i="41"/>
  <c r="K349" i="41"/>
  <c r="L349" i="41"/>
  <c r="M349" i="41"/>
  <c r="N349" i="41"/>
  <c r="O349" i="41"/>
  <c r="P349" i="41"/>
  <c r="Q349" i="41"/>
  <c r="R349" i="41"/>
  <c r="S349" i="41"/>
  <c r="T349" i="41"/>
  <c r="U349" i="41"/>
  <c r="V349" i="41"/>
  <c r="W349" i="41"/>
  <c r="X349" i="41"/>
  <c r="Y349" i="41"/>
  <c r="Z349" i="41"/>
  <c r="D350" i="41"/>
  <c r="F350" i="41"/>
  <c r="G350" i="41"/>
  <c r="H350" i="41"/>
  <c r="I350" i="41"/>
  <c r="J350" i="41"/>
  <c r="K350" i="41"/>
  <c r="L350" i="41"/>
  <c r="D351" i="41"/>
  <c r="F351" i="41"/>
  <c r="G351" i="41"/>
  <c r="H351" i="41"/>
  <c r="I351" i="41"/>
  <c r="J351" i="41"/>
  <c r="K351" i="41"/>
  <c r="L351" i="41"/>
  <c r="M351" i="41"/>
  <c r="N351" i="41"/>
  <c r="O351" i="41"/>
  <c r="P351" i="41"/>
  <c r="Q351" i="41"/>
  <c r="R351" i="41"/>
  <c r="S351" i="41"/>
  <c r="T351" i="41"/>
  <c r="U351" i="41"/>
  <c r="V351" i="41"/>
  <c r="W351" i="41"/>
  <c r="X351" i="41"/>
  <c r="Y351" i="41"/>
  <c r="Z351" i="41"/>
  <c r="D353" i="41"/>
  <c r="D354" i="41"/>
  <c r="D355" i="41"/>
  <c r="F360" i="41"/>
  <c r="G360" i="41"/>
  <c r="H360" i="41"/>
  <c r="I360" i="41"/>
  <c r="J360" i="41"/>
  <c r="K360" i="41"/>
  <c r="L360" i="41"/>
  <c r="M360" i="41"/>
  <c r="N360" i="41"/>
  <c r="O360" i="41"/>
  <c r="P360" i="41"/>
  <c r="Q360" i="41"/>
  <c r="R360" i="41"/>
  <c r="S360" i="41"/>
  <c r="T360" i="41"/>
  <c r="U360" i="41"/>
  <c r="V360" i="41"/>
  <c r="W360" i="41"/>
  <c r="X360" i="41"/>
  <c r="Y360" i="41"/>
  <c r="Z360" i="41"/>
  <c r="F363" i="41"/>
  <c r="G363" i="41"/>
  <c r="H363" i="41"/>
  <c r="I363" i="41"/>
  <c r="J363" i="41"/>
  <c r="K363" i="41"/>
  <c r="L363" i="41"/>
  <c r="F364" i="41"/>
  <c r="G364" i="41"/>
  <c r="H364" i="41"/>
  <c r="I364" i="41"/>
  <c r="J364" i="41"/>
  <c r="K364" i="41"/>
  <c r="L364" i="41"/>
  <c r="L365" i="41"/>
  <c r="L366" i="41"/>
  <c r="D367" i="41"/>
  <c r="F367" i="41"/>
  <c r="G367" i="41"/>
  <c r="H367" i="41"/>
  <c r="I367" i="41"/>
  <c r="J367" i="41"/>
  <c r="K367" i="41"/>
  <c r="L367" i="41"/>
  <c r="M367" i="41"/>
  <c r="N367" i="41"/>
  <c r="O367" i="41"/>
  <c r="P367" i="41"/>
  <c r="Q367" i="41"/>
  <c r="R367" i="41"/>
  <c r="S367" i="41"/>
  <c r="T367" i="41"/>
  <c r="U367" i="41"/>
  <c r="V367" i="41"/>
  <c r="W367" i="41"/>
  <c r="X367" i="41"/>
  <c r="Y367" i="41"/>
  <c r="Z367" i="41"/>
  <c r="D369" i="41"/>
  <c r="F372" i="41"/>
  <c r="G372" i="41"/>
  <c r="H372" i="41"/>
  <c r="I372" i="41"/>
  <c r="J372" i="41"/>
  <c r="K372" i="41"/>
  <c r="L372" i="41"/>
  <c r="M372" i="41"/>
  <c r="N372" i="41"/>
  <c r="O372" i="41"/>
  <c r="P372" i="41"/>
  <c r="Q372" i="41"/>
  <c r="R372" i="41"/>
  <c r="S372" i="41"/>
  <c r="T372" i="41"/>
  <c r="U372" i="41"/>
  <c r="V372" i="41"/>
  <c r="W372" i="41"/>
  <c r="X372" i="41"/>
  <c r="Y372" i="41"/>
  <c r="Z372" i="41"/>
  <c r="F373" i="41"/>
  <c r="G373" i="41"/>
  <c r="H373" i="41"/>
  <c r="I373" i="41"/>
  <c r="J373" i="41"/>
  <c r="K373" i="41"/>
  <c r="L373" i="41"/>
  <c r="M373" i="41"/>
  <c r="N373" i="41"/>
  <c r="O373" i="41"/>
  <c r="P373" i="41"/>
  <c r="Q373" i="41"/>
  <c r="R373" i="41"/>
  <c r="S373" i="41"/>
  <c r="T373" i="41"/>
  <c r="U373" i="41"/>
  <c r="V373" i="41"/>
  <c r="W373" i="41"/>
  <c r="X373" i="41"/>
  <c r="Y373" i="41"/>
  <c r="Z373" i="41"/>
  <c r="G374" i="41"/>
  <c r="G375" i="41"/>
  <c r="F376" i="41"/>
  <c r="G376" i="41"/>
  <c r="H376" i="41"/>
  <c r="I376" i="41"/>
  <c r="J376" i="41"/>
  <c r="K376" i="41"/>
  <c r="L376" i="41"/>
  <c r="F377" i="41"/>
  <c r="G377" i="41"/>
  <c r="H377" i="41"/>
  <c r="I377" i="41"/>
  <c r="J377" i="41"/>
  <c r="K377" i="41"/>
  <c r="L377" i="41"/>
  <c r="L378" i="41"/>
  <c r="L379" i="41"/>
  <c r="D380" i="41"/>
  <c r="F380" i="41"/>
  <c r="G380" i="41"/>
  <c r="H380" i="41"/>
  <c r="I380" i="41"/>
  <c r="J380" i="41"/>
  <c r="K380" i="41"/>
  <c r="L380" i="41"/>
  <c r="M380" i="41"/>
  <c r="N380" i="41"/>
  <c r="O380" i="41"/>
  <c r="P380" i="41"/>
  <c r="Q380" i="41"/>
  <c r="R380" i="41"/>
  <c r="S380" i="41"/>
  <c r="T380" i="41"/>
  <c r="U380" i="41"/>
  <c r="V380" i="41"/>
  <c r="W380" i="41"/>
  <c r="X380" i="41"/>
  <c r="Y380" i="41"/>
  <c r="Z380" i="41"/>
  <c r="D382" i="41"/>
  <c r="D383" i="41"/>
  <c r="K385" i="41"/>
  <c r="L385" i="41"/>
  <c r="D388" i="41"/>
  <c r="G388" i="41"/>
  <c r="H388" i="41"/>
  <c r="I388" i="41"/>
  <c r="J388" i="41"/>
  <c r="K388" i="41"/>
  <c r="L388" i="41"/>
  <c r="M388" i="41"/>
  <c r="N388" i="41"/>
  <c r="O388" i="41"/>
  <c r="P388" i="41"/>
  <c r="Q388" i="41"/>
  <c r="R388" i="41"/>
  <c r="S388" i="41"/>
  <c r="T388" i="41"/>
  <c r="U388" i="41"/>
  <c r="V388" i="41"/>
  <c r="W388" i="41"/>
  <c r="X388" i="41"/>
  <c r="Y388" i="41"/>
  <c r="Z388" i="41"/>
  <c r="D389" i="41"/>
  <c r="F389" i="41"/>
  <c r="G389" i="41"/>
  <c r="H389" i="41"/>
  <c r="I389" i="41"/>
  <c r="J389" i="41"/>
  <c r="K389" i="41"/>
  <c r="L389" i="41"/>
  <c r="M389" i="41"/>
  <c r="N389" i="41"/>
  <c r="O389" i="41"/>
  <c r="P389" i="41"/>
  <c r="Q389" i="41"/>
  <c r="R389" i="41"/>
  <c r="S389" i="41"/>
  <c r="T389" i="41"/>
  <c r="U389" i="41"/>
  <c r="V389" i="41"/>
  <c r="W389" i="41"/>
  <c r="X389" i="41"/>
  <c r="Y389" i="41"/>
  <c r="Z389" i="41"/>
  <c r="D390" i="41"/>
  <c r="F390" i="41"/>
  <c r="G390" i="41"/>
  <c r="H390" i="41"/>
  <c r="I390" i="41"/>
  <c r="J390" i="41"/>
  <c r="K390" i="41"/>
  <c r="L390" i="41"/>
  <c r="D392" i="41"/>
  <c r="F392" i="41"/>
  <c r="G392" i="41"/>
  <c r="H392" i="41"/>
  <c r="I392" i="41"/>
  <c r="J392" i="41"/>
  <c r="K392" i="41"/>
  <c r="L392" i="41"/>
  <c r="D393" i="41"/>
  <c r="L393" i="41"/>
  <c r="D394" i="41"/>
  <c r="L394" i="41"/>
  <c r="D395" i="41"/>
  <c r="F395" i="41"/>
  <c r="G395" i="41"/>
  <c r="H395" i="41"/>
  <c r="I395" i="41"/>
  <c r="J395" i="41"/>
  <c r="K395" i="41"/>
  <c r="L395" i="41"/>
  <c r="M395" i="41"/>
  <c r="N395" i="41"/>
  <c r="O395" i="41"/>
  <c r="P395" i="41"/>
  <c r="Q395" i="41"/>
  <c r="R395" i="41"/>
  <c r="S395" i="41"/>
  <c r="T395" i="41"/>
  <c r="U395" i="41"/>
  <c r="V395" i="41"/>
  <c r="W395" i="41"/>
  <c r="X395" i="41"/>
  <c r="Y395" i="41"/>
  <c r="Z395" i="41"/>
  <c r="F400" i="41"/>
  <c r="G400" i="41"/>
  <c r="H400" i="41"/>
  <c r="I400" i="41"/>
  <c r="J400" i="41"/>
  <c r="K400" i="41"/>
  <c r="L400" i="41"/>
  <c r="M400" i="41"/>
  <c r="N400" i="41"/>
  <c r="O400" i="41"/>
  <c r="P400" i="41"/>
  <c r="Q400" i="41"/>
  <c r="R400" i="41"/>
  <c r="S400" i="41"/>
  <c r="T400" i="41"/>
  <c r="U400" i="41"/>
  <c r="V400" i="41"/>
  <c r="W400" i="41"/>
  <c r="X400" i="41"/>
  <c r="Y400" i="41"/>
  <c r="Z400" i="41"/>
  <c r="F403" i="41"/>
  <c r="G403" i="41"/>
  <c r="H403" i="41"/>
  <c r="I403" i="41"/>
  <c r="J403" i="41"/>
  <c r="K403" i="41"/>
  <c r="L403" i="41"/>
  <c r="F404" i="41"/>
  <c r="G404" i="41"/>
  <c r="H404" i="41"/>
  <c r="I404" i="41"/>
  <c r="J404" i="41"/>
  <c r="K404" i="41"/>
  <c r="L404" i="41"/>
  <c r="J405" i="41"/>
  <c r="L405" i="41"/>
  <c r="L406" i="41"/>
  <c r="D407" i="41"/>
  <c r="F407" i="41"/>
  <c r="G407" i="41"/>
  <c r="H407" i="41"/>
  <c r="I407" i="41"/>
  <c r="J407" i="41"/>
  <c r="K407" i="41"/>
  <c r="L407" i="41"/>
  <c r="M407" i="41"/>
  <c r="N407" i="41"/>
  <c r="O407" i="41"/>
  <c r="P407" i="41"/>
  <c r="Q407" i="41"/>
  <c r="R407" i="41"/>
  <c r="S407" i="41"/>
  <c r="T407" i="41"/>
  <c r="U407" i="41"/>
  <c r="V407" i="41"/>
  <c r="W407" i="41"/>
  <c r="X407" i="41"/>
  <c r="Y407" i="41"/>
  <c r="Z407" i="41"/>
  <c r="D409" i="41"/>
  <c r="F412" i="41"/>
  <c r="G412" i="41"/>
  <c r="H412" i="41"/>
  <c r="I412" i="41"/>
  <c r="J412" i="41"/>
  <c r="K412" i="41"/>
  <c r="L412" i="41"/>
  <c r="M412" i="41"/>
  <c r="N412" i="41"/>
  <c r="O412" i="41"/>
  <c r="P412" i="41"/>
  <c r="Q412" i="41"/>
  <c r="R412" i="41"/>
  <c r="S412" i="41"/>
  <c r="T412" i="41"/>
  <c r="U412" i="41"/>
  <c r="V412" i="41"/>
  <c r="W412" i="41"/>
  <c r="X412" i="41"/>
  <c r="Y412" i="41"/>
  <c r="Z412" i="41"/>
  <c r="F413" i="41"/>
  <c r="G413" i="41"/>
  <c r="H413" i="41"/>
  <c r="I413" i="41"/>
  <c r="J413" i="41"/>
  <c r="K413" i="41"/>
  <c r="L413" i="41"/>
  <c r="M413" i="41"/>
  <c r="N413" i="41"/>
  <c r="O413" i="41"/>
  <c r="P413" i="41"/>
  <c r="Q413" i="41"/>
  <c r="R413" i="41"/>
  <c r="S413" i="41"/>
  <c r="T413" i="41"/>
  <c r="U413" i="41"/>
  <c r="V413" i="41"/>
  <c r="W413" i="41"/>
  <c r="X413" i="41"/>
  <c r="Y413" i="41"/>
  <c r="Z413" i="41"/>
  <c r="G414" i="41"/>
  <c r="G415" i="41"/>
  <c r="F416" i="41"/>
  <c r="G416" i="41"/>
  <c r="H416" i="41"/>
  <c r="I416" i="41"/>
  <c r="J416" i="41"/>
  <c r="K416" i="41"/>
  <c r="L416" i="41"/>
  <c r="F417" i="41"/>
  <c r="G417" i="41"/>
  <c r="H417" i="41"/>
  <c r="I417" i="41"/>
  <c r="J417" i="41"/>
  <c r="K417" i="41"/>
  <c r="L417" i="41"/>
  <c r="J418" i="41"/>
  <c r="L418" i="41"/>
  <c r="L419" i="41"/>
  <c r="D420" i="41"/>
  <c r="F420" i="41"/>
  <c r="G420" i="41"/>
  <c r="H420" i="41"/>
  <c r="I420" i="41"/>
  <c r="J420" i="41"/>
  <c r="K420" i="41"/>
  <c r="L420" i="41"/>
  <c r="M420" i="41"/>
  <c r="N420" i="41"/>
  <c r="O420" i="41"/>
  <c r="P420" i="41"/>
  <c r="Q420" i="41"/>
  <c r="R420" i="41"/>
  <c r="S420" i="41"/>
  <c r="T420" i="41"/>
  <c r="U420" i="41"/>
  <c r="V420" i="41"/>
  <c r="W420" i="41"/>
  <c r="X420" i="41"/>
  <c r="Y420" i="41"/>
  <c r="Z420" i="41"/>
  <c r="D422" i="41"/>
  <c r="D423" i="41"/>
  <c r="K425" i="41"/>
  <c r="L425" i="41"/>
  <c r="D428" i="41"/>
  <c r="G428" i="41"/>
  <c r="H428" i="41"/>
  <c r="I428" i="41"/>
  <c r="J428" i="41"/>
  <c r="K428" i="41"/>
  <c r="L428" i="41"/>
  <c r="M428" i="41"/>
  <c r="N428" i="41"/>
  <c r="O428" i="41"/>
  <c r="P428" i="41"/>
  <c r="Q428" i="41"/>
  <c r="R428" i="41"/>
  <c r="S428" i="41"/>
  <c r="T428" i="41"/>
  <c r="U428" i="41"/>
  <c r="V428" i="41"/>
  <c r="W428" i="41"/>
  <c r="X428" i="41"/>
  <c r="Y428" i="41"/>
  <c r="Z428" i="41"/>
  <c r="D429" i="41"/>
  <c r="F429" i="41"/>
  <c r="G429" i="41"/>
  <c r="H429" i="41"/>
  <c r="I429" i="41"/>
  <c r="J429" i="41"/>
  <c r="K429" i="41"/>
  <c r="L429" i="41"/>
  <c r="M429" i="41"/>
  <c r="N429" i="41"/>
  <c r="O429" i="41"/>
  <c r="P429" i="41"/>
  <c r="Q429" i="41"/>
  <c r="R429" i="41"/>
  <c r="S429" i="41"/>
  <c r="T429" i="41"/>
  <c r="U429" i="41"/>
  <c r="V429" i="41"/>
  <c r="W429" i="41"/>
  <c r="X429" i="41"/>
  <c r="Y429" i="41"/>
  <c r="Z429" i="41"/>
  <c r="D430" i="41"/>
  <c r="F430" i="41"/>
  <c r="G430" i="41"/>
  <c r="H430" i="41"/>
  <c r="I430" i="41"/>
  <c r="J430" i="41"/>
  <c r="K430" i="41"/>
  <c r="L430" i="41"/>
  <c r="D432" i="41"/>
  <c r="F432" i="41"/>
  <c r="G432" i="41"/>
  <c r="H432" i="41"/>
  <c r="I432" i="41"/>
  <c r="J432" i="41"/>
  <c r="K432" i="41"/>
  <c r="L432" i="41"/>
  <c r="D433" i="41"/>
  <c r="J433" i="41"/>
  <c r="L433" i="41"/>
  <c r="D434" i="41"/>
  <c r="L434" i="41"/>
  <c r="D435" i="41"/>
  <c r="F435" i="41"/>
  <c r="G435" i="41"/>
  <c r="H435" i="41"/>
  <c r="I435" i="41"/>
  <c r="J435" i="41"/>
  <c r="K435" i="41"/>
  <c r="L435" i="41"/>
  <c r="M435" i="41"/>
  <c r="N435" i="41"/>
  <c r="O435" i="41"/>
  <c r="P435" i="41"/>
  <c r="Q435" i="41"/>
  <c r="R435" i="41"/>
  <c r="S435" i="41"/>
  <c r="T435" i="41"/>
  <c r="U435" i="41"/>
  <c r="V435" i="41"/>
  <c r="W435" i="41"/>
  <c r="X435" i="41"/>
  <c r="Y435" i="41"/>
  <c r="Z435" i="41"/>
  <c r="F8" i="47"/>
  <c r="I8" i="47"/>
  <c r="J8" i="47"/>
  <c r="K8" i="47"/>
  <c r="L8" i="47"/>
  <c r="M8" i="47"/>
  <c r="N8" i="47"/>
  <c r="O8" i="47"/>
  <c r="P8" i="47"/>
  <c r="Q8" i="47"/>
  <c r="R8" i="47"/>
  <c r="S8" i="47"/>
  <c r="T8" i="47"/>
  <c r="U8" i="47"/>
  <c r="V8" i="47"/>
  <c r="W8" i="47"/>
  <c r="X8" i="47"/>
  <c r="Y8" i="47"/>
  <c r="Z8" i="47"/>
  <c r="AA8" i="47"/>
  <c r="I9" i="47"/>
  <c r="J9" i="47"/>
  <c r="K9" i="47"/>
  <c r="L9" i="47"/>
  <c r="M9" i="47"/>
  <c r="N9" i="47"/>
  <c r="O9" i="47"/>
  <c r="P9" i="47"/>
  <c r="Q9" i="47"/>
  <c r="R9" i="47"/>
  <c r="S9" i="47"/>
  <c r="T9" i="47"/>
  <c r="U9" i="47"/>
  <c r="V9" i="47"/>
  <c r="W9" i="47"/>
  <c r="X9" i="47"/>
  <c r="Y9" i="47"/>
  <c r="Z9" i="47"/>
  <c r="AA9" i="47"/>
  <c r="F10" i="47"/>
  <c r="I21" i="47"/>
  <c r="J21" i="47"/>
  <c r="K21" i="47"/>
  <c r="L21" i="47"/>
  <c r="M21" i="47"/>
  <c r="N21" i="47"/>
  <c r="O21" i="47"/>
  <c r="P21" i="47"/>
  <c r="Q21" i="47"/>
  <c r="R21" i="47"/>
  <c r="S21" i="47"/>
  <c r="T21" i="47"/>
  <c r="U21" i="47"/>
  <c r="V21" i="47"/>
  <c r="W21" i="47"/>
  <c r="X21" i="47"/>
  <c r="Y21" i="47"/>
  <c r="Z21" i="47"/>
  <c r="AA21" i="47"/>
  <c r="I22" i="47"/>
  <c r="J22" i="47"/>
  <c r="K22" i="47"/>
  <c r="L22" i="47"/>
  <c r="M22" i="47"/>
  <c r="N22" i="47"/>
  <c r="O22" i="47"/>
  <c r="P22" i="47"/>
  <c r="Q22" i="47"/>
  <c r="R22" i="47"/>
  <c r="S22" i="47"/>
  <c r="T22" i="47"/>
  <c r="U22" i="47"/>
  <c r="V22" i="47"/>
  <c r="W22" i="47"/>
  <c r="X22" i="47"/>
  <c r="Y22" i="47"/>
  <c r="Z22" i="47"/>
  <c r="AA22" i="47"/>
  <c r="F17" i="32"/>
  <c r="G17" i="32"/>
  <c r="H17" i="32"/>
  <c r="I17" i="32"/>
  <c r="J17" i="32"/>
  <c r="P17" i="32"/>
  <c r="Q17" i="32"/>
  <c r="R17" i="32"/>
  <c r="S17" i="32"/>
  <c r="T17" i="32"/>
  <c r="F18" i="32"/>
  <c r="G18" i="32"/>
  <c r="H18" i="32"/>
  <c r="I18" i="32"/>
  <c r="J18" i="32"/>
  <c r="P19" i="32"/>
  <c r="Q19" i="32"/>
  <c r="R19" i="32"/>
  <c r="T19" i="32"/>
  <c r="P20" i="32"/>
  <c r="Q20" i="32"/>
  <c r="R20" i="32"/>
  <c r="S20" i="32"/>
  <c r="T20" i="32"/>
  <c r="F23" i="32"/>
  <c r="G23" i="32"/>
  <c r="H23" i="32"/>
  <c r="I23" i="32"/>
  <c r="J23" i="32"/>
  <c r="P25" i="32"/>
  <c r="Q25" i="32"/>
  <c r="R25" i="32"/>
  <c r="S25" i="32"/>
  <c r="T25" i="32"/>
  <c r="F26" i="32"/>
  <c r="G26" i="32"/>
  <c r="H26" i="32"/>
  <c r="I26" i="32"/>
  <c r="J26" i="32"/>
  <c r="P26" i="32"/>
  <c r="Q26" i="32"/>
  <c r="R26" i="32"/>
  <c r="S26" i="32"/>
  <c r="T26" i="32"/>
  <c r="F33" i="32"/>
  <c r="G33" i="32"/>
  <c r="H33" i="32"/>
  <c r="I33" i="32"/>
  <c r="J33" i="32"/>
  <c r="P33" i="32"/>
  <c r="Q33" i="32"/>
  <c r="R33" i="32"/>
  <c r="S33" i="32"/>
  <c r="T33" i="32"/>
  <c r="F36" i="32"/>
  <c r="G36" i="32"/>
  <c r="H36" i="32"/>
  <c r="I36" i="32"/>
  <c r="J36" i="32"/>
  <c r="P36" i="32"/>
  <c r="Q36" i="32"/>
  <c r="R36" i="32"/>
  <c r="S36" i="32"/>
  <c r="T36" i="32"/>
  <c r="F43" i="32"/>
  <c r="G43" i="32"/>
  <c r="H43" i="32"/>
  <c r="I43" i="32"/>
  <c r="J43" i="32"/>
  <c r="F46" i="32"/>
  <c r="G46" i="32"/>
  <c r="H46" i="32"/>
  <c r="I46" i="32"/>
  <c r="J46" i="32"/>
  <c r="W51" i="32"/>
  <c r="X51" i="32"/>
  <c r="Y51" i="32"/>
  <c r="Z51" i="32"/>
  <c r="AB51" i="32"/>
  <c r="AC51" i="32"/>
  <c r="AD51" i="32"/>
  <c r="AE51" i="32"/>
  <c r="AB53" i="32"/>
  <c r="AC53" i="32"/>
  <c r="AE53" i="32"/>
  <c r="W54" i="32"/>
  <c r="X54" i="32"/>
  <c r="Y54" i="32"/>
  <c r="Z54" i="32"/>
  <c r="AB54" i="32"/>
  <c r="AC54" i="32"/>
  <c r="AD54" i="32"/>
  <c r="AE54" i="32"/>
  <c r="AH55" i="32"/>
  <c r="AI55" i="32"/>
  <c r="AJ55" i="32"/>
  <c r="AK55" i="32"/>
  <c r="W58" i="32"/>
  <c r="X58" i="32"/>
  <c r="Y58" i="32"/>
  <c r="Z58" i="32"/>
  <c r="AB58" i="32"/>
  <c r="AC58" i="32"/>
  <c r="AD58" i="32"/>
  <c r="AE58" i="32"/>
  <c r="W59" i="32"/>
  <c r="X59" i="32"/>
  <c r="Y59" i="32"/>
  <c r="Z59" i="32"/>
  <c r="AB59" i="32"/>
  <c r="AC59" i="32"/>
  <c r="AD59" i="32"/>
  <c r="AE59" i="32"/>
  <c r="AH59" i="32"/>
  <c r="AI59" i="32"/>
  <c r="AJ59" i="32"/>
  <c r="AK59" i="32"/>
  <c r="O7" i="48"/>
  <c r="P7" i="48"/>
  <c r="R7" i="48"/>
  <c r="T7" i="48"/>
  <c r="O8" i="48"/>
  <c r="P8" i="48"/>
  <c r="R8" i="48"/>
  <c r="T8" i="48"/>
  <c r="O9" i="48"/>
  <c r="P9" i="48"/>
  <c r="R9" i="48"/>
  <c r="T9" i="48"/>
  <c r="O10" i="48"/>
  <c r="P10" i="48"/>
  <c r="R10" i="48"/>
  <c r="T10" i="48"/>
  <c r="O12" i="48"/>
  <c r="P12" i="48"/>
  <c r="R12" i="48"/>
  <c r="T12" i="48"/>
  <c r="O13" i="48"/>
  <c r="P13" i="48"/>
  <c r="R13" i="48"/>
  <c r="T13" i="48"/>
  <c r="O14" i="48"/>
  <c r="P14" i="48"/>
  <c r="R14" i="48"/>
  <c r="T14" i="48"/>
  <c r="O15" i="48"/>
  <c r="P15" i="48"/>
  <c r="R15" i="48"/>
  <c r="T15" i="48"/>
  <c r="P21" i="48"/>
  <c r="R21" i="48"/>
  <c r="T21" i="48"/>
  <c r="P22" i="48"/>
  <c r="R22" i="48"/>
  <c r="T22" i="48"/>
  <c r="P24" i="48"/>
  <c r="R24" i="48"/>
  <c r="T24" i="48"/>
  <c r="P26" i="48"/>
  <c r="R26" i="48"/>
  <c r="T26" i="48"/>
  <c r="P30" i="48"/>
  <c r="R30" i="48"/>
  <c r="T30" i="48"/>
  <c r="P31" i="48"/>
  <c r="R31" i="48"/>
  <c r="T31" i="48"/>
  <c r="P33" i="48"/>
  <c r="R33" i="48"/>
  <c r="T33" i="48"/>
  <c r="P35" i="48"/>
  <c r="R35" i="48"/>
  <c r="T35" i="48"/>
  <c r="P39" i="48"/>
  <c r="T39" i="48"/>
  <c r="P40" i="48"/>
  <c r="T40" i="48"/>
  <c r="P42" i="48"/>
  <c r="T42" i="48"/>
  <c r="P44" i="48"/>
  <c r="T44" i="48"/>
  <c r="P46" i="48"/>
  <c r="R46" i="48"/>
  <c r="T46" i="48"/>
  <c r="P47" i="48"/>
  <c r="R47" i="48"/>
  <c r="T47" i="48"/>
  <c r="P48" i="48"/>
  <c r="R48" i="48"/>
  <c r="T48" i="48"/>
  <c r="O68" i="48"/>
  <c r="P68" i="48"/>
  <c r="Q68" i="48"/>
  <c r="R68" i="48"/>
  <c r="S68" i="48"/>
  <c r="T68" i="48"/>
  <c r="U68" i="48"/>
  <c r="O69" i="48"/>
  <c r="P69" i="48"/>
  <c r="Q69" i="48"/>
  <c r="R69" i="48"/>
  <c r="S69" i="48"/>
  <c r="T69" i="48"/>
  <c r="U69" i="48"/>
  <c r="O70" i="48"/>
  <c r="Q70" i="48"/>
  <c r="S70" i="48"/>
  <c r="U70" i="48"/>
  <c r="O71" i="48"/>
  <c r="Q71" i="48"/>
  <c r="S71" i="48"/>
  <c r="U71" i="48"/>
  <c r="O72" i="48"/>
  <c r="Q72" i="48"/>
  <c r="S72" i="48"/>
  <c r="U72" i="48"/>
  <c r="O73" i="48"/>
  <c r="Q73" i="48"/>
  <c r="S73" i="48"/>
  <c r="U73" i="48"/>
  <c r="O74" i="48"/>
  <c r="P74" i="48"/>
  <c r="Q74" i="48"/>
  <c r="R74" i="48"/>
  <c r="S74" i="48"/>
  <c r="T74" i="48"/>
  <c r="U74" i="48"/>
  <c r="O75" i="48"/>
  <c r="P75" i="48"/>
  <c r="R75" i="48"/>
  <c r="T75" i="48"/>
  <c r="O77" i="48"/>
  <c r="Q77" i="48"/>
  <c r="S77" i="48"/>
  <c r="U77" i="48"/>
  <c r="O78" i="48"/>
  <c r="Q78" i="48"/>
  <c r="S78" i="48"/>
  <c r="U78" i="48"/>
  <c r="O79" i="48"/>
  <c r="Q79" i="48"/>
  <c r="S79" i="48"/>
  <c r="U79" i="48"/>
  <c r="O80" i="48"/>
  <c r="Q80" i="48"/>
  <c r="S80" i="48"/>
  <c r="U80" i="48"/>
  <c r="O81" i="48"/>
  <c r="P81" i="48"/>
  <c r="Q81" i="48"/>
  <c r="R81" i="48"/>
  <c r="S81" i="48"/>
  <c r="T81" i="48"/>
  <c r="U81" i="48"/>
  <c r="O82" i="48"/>
  <c r="Q82" i="48"/>
  <c r="S82" i="48"/>
  <c r="U82" i="48"/>
  <c r="O83" i="48"/>
  <c r="Q83" i="48"/>
  <c r="S83" i="48"/>
  <c r="U83" i="48"/>
  <c r="O84" i="48"/>
  <c r="P84" i="48"/>
  <c r="R84" i="48"/>
  <c r="T84" i="48"/>
  <c r="O88" i="48"/>
  <c r="P88" i="48"/>
  <c r="Q88" i="48"/>
  <c r="R88" i="48"/>
  <c r="S88" i="48"/>
  <c r="T88" i="48"/>
  <c r="U88" i="48"/>
  <c r="O89" i="48"/>
  <c r="Q89" i="48"/>
  <c r="S89" i="48"/>
  <c r="U89" i="48"/>
  <c r="O90" i="48"/>
  <c r="P90" i="48"/>
  <c r="Q90" i="48"/>
  <c r="S90" i="48"/>
  <c r="T90" i="48"/>
  <c r="U90" i="48"/>
  <c r="O91" i="48"/>
  <c r="P91" i="48"/>
  <c r="Q91" i="48"/>
  <c r="R91" i="48"/>
  <c r="S91" i="48"/>
  <c r="T91" i="48"/>
  <c r="U91" i="48"/>
  <c r="O92" i="48"/>
  <c r="Q92" i="48"/>
  <c r="S92" i="48"/>
  <c r="U92" i="48"/>
  <c r="O93" i="48"/>
  <c r="Q93" i="48"/>
  <c r="S93" i="48"/>
  <c r="U93" i="48"/>
  <c r="O94" i="48"/>
  <c r="Q94" i="48"/>
  <c r="S94" i="48"/>
  <c r="U94" i="48"/>
  <c r="O95" i="48"/>
  <c r="P95" i="48"/>
  <c r="Q95" i="48"/>
  <c r="R95" i="48"/>
  <c r="S95" i="48"/>
  <c r="T95" i="48"/>
  <c r="U95" i="48"/>
  <c r="O96" i="48"/>
  <c r="P96" i="48"/>
  <c r="R96" i="48"/>
  <c r="T96" i="48"/>
  <c r="O98" i="48"/>
  <c r="Q98" i="48"/>
  <c r="S98" i="48"/>
  <c r="U98" i="48"/>
  <c r="O99" i="48"/>
  <c r="Q99" i="48"/>
  <c r="S99" i="48"/>
  <c r="U99" i="48"/>
  <c r="O100" i="48"/>
  <c r="Q100" i="48"/>
  <c r="S100" i="48"/>
  <c r="U100" i="48"/>
  <c r="O101" i="48"/>
  <c r="Q101" i="48"/>
  <c r="S101" i="48"/>
  <c r="U101" i="48"/>
  <c r="O102" i="48"/>
  <c r="P102" i="48"/>
  <c r="Q102" i="48"/>
  <c r="R102" i="48"/>
  <c r="S102" i="48"/>
  <c r="T102" i="48"/>
  <c r="U102" i="48"/>
  <c r="O103" i="48"/>
  <c r="Q103" i="48"/>
  <c r="S103" i="48"/>
  <c r="U103" i="48"/>
  <c r="O104" i="48"/>
  <c r="Q104" i="48"/>
  <c r="S104" i="48"/>
  <c r="U104" i="48"/>
  <c r="O105" i="48"/>
  <c r="P105" i="48"/>
  <c r="R105" i="48"/>
  <c r="T105" i="48"/>
  <c r="K9" i="35"/>
  <c r="AA9" i="35"/>
  <c r="AP9" i="35"/>
  <c r="F13" i="35"/>
  <c r="H13" i="35"/>
  <c r="J13" i="35"/>
  <c r="M13" i="35"/>
  <c r="N13" i="35"/>
  <c r="O13" i="35"/>
  <c r="P13" i="35"/>
  <c r="V13" i="35"/>
  <c r="X13" i="35"/>
  <c r="Z13" i="35"/>
  <c r="AD13" i="35"/>
  <c r="AE13" i="35"/>
  <c r="AF13" i="35"/>
  <c r="F14" i="35"/>
  <c r="H14" i="35"/>
  <c r="J14" i="35"/>
  <c r="M14" i="35"/>
  <c r="N14" i="35"/>
  <c r="O14" i="35"/>
  <c r="P14" i="35"/>
  <c r="V14" i="35"/>
  <c r="X14" i="35"/>
  <c r="Z14" i="35"/>
  <c r="AD14" i="35"/>
  <c r="AE14" i="35"/>
  <c r="AF14" i="35"/>
  <c r="AK14" i="35"/>
  <c r="AM14" i="35"/>
  <c r="AO14" i="35"/>
  <c r="AR14" i="35"/>
  <c r="AS14" i="35"/>
  <c r="AT14" i="35"/>
  <c r="AU14" i="35"/>
  <c r="F15" i="35"/>
  <c r="H15" i="35"/>
  <c r="J15" i="35"/>
  <c r="M15" i="35"/>
  <c r="N15" i="35"/>
  <c r="O15" i="35"/>
  <c r="P15" i="35"/>
  <c r="V15" i="35"/>
  <c r="X15" i="35"/>
  <c r="Z15" i="35"/>
  <c r="AD15" i="35"/>
  <c r="AE15" i="35"/>
  <c r="AF15" i="35"/>
  <c r="AK15" i="35"/>
  <c r="AM15" i="35"/>
  <c r="AO15" i="35"/>
  <c r="AR15" i="35"/>
  <c r="AS15" i="35"/>
  <c r="AT15" i="35"/>
  <c r="AU15" i="35"/>
  <c r="F16" i="35"/>
  <c r="H16" i="35"/>
  <c r="J16" i="35"/>
  <c r="M16" i="35"/>
  <c r="N16" i="35"/>
  <c r="O16" i="35"/>
  <c r="P16" i="35"/>
  <c r="V16" i="35"/>
  <c r="X16" i="35"/>
  <c r="Z16" i="35"/>
  <c r="AD16" i="35"/>
  <c r="AE16" i="35"/>
  <c r="AF16" i="35"/>
  <c r="AK16" i="35"/>
  <c r="AM16" i="35"/>
  <c r="AO16" i="35"/>
  <c r="AR16" i="35"/>
  <c r="AS16" i="35"/>
  <c r="AT16" i="35"/>
  <c r="AU16" i="35"/>
  <c r="F17" i="35"/>
  <c r="H17" i="35"/>
  <c r="J17" i="35"/>
  <c r="M17" i="35"/>
  <c r="N17" i="35"/>
  <c r="O17" i="35"/>
  <c r="P17" i="35"/>
  <c r="V17" i="35"/>
  <c r="X17" i="35"/>
  <c r="Z17" i="35"/>
  <c r="AD17" i="35"/>
  <c r="AE17" i="35"/>
  <c r="AF17" i="35"/>
  <c r="AK17" i="35"/>
  <c r="AM17" i="35"/>
  <c r="AO17" i="35"/>
  <c r="AR17" i="35"/>
  <c r="AS17" i="35"/>
  <c r="AT17" i="35"/>
  <c r="AU17" i="35"/>
  <c r="F18" i="35"/>
  <c r="H18" i="35"/>
  <c r="J18" i="35"/>
  <c r="M18" i="35"/>
  <c r="N18" i="35"/>
  <c r="O18" i="35"/>
  <c r="P18" i="35"/>
  <c r="V18" i="35"/>
  <c r="X18" i="35"/>
  <c r="Z18" i="35"/>
  <c r="AD18" i="35"/>
  <c r="AE18" i="35"/>
  <c r="AF18" i="35"/>
  <c r="AK18" i="35"/>
  <c r="AM18" i="35"/>
  <c r="AO18" i="35"/>
  <c r="AR18" i="35"/>
  <c r="AS18" i="35"/>
  <c r="AT18" i="35"/>
  <c r="AU18" i="35"/>
  <c r="F19" i="35"/>
  <c r="H19" i="35"/>
  <c r="J19" i="35"/>
  <c r="M19" i="35"/>
  <c r="N19" i="35"/>
  <c r="O19" i="35"/>
  <c r="P19" i="35"/>
  <c r="V19" i="35"/>
  <c r="X19" i="35"/>
  <c r="Z19" i="35"/>
  <c r="AD19" i="35"/>
  <c r="AE19" i="35"/>
  <c r="AF19" i="35"/>
  <c r="AK19" i="35"/>
  <c r="AM19" i="35"/>
  <c r="AO19" i="35"/>
  <c r="AR19" i="35"/>
  <c r="AS19" i="35"/>
  <c r="AT19" i="35"/>
  <c r="AU19" i="35"/>
  <c r="F20" i="35"/>
  <c r="H20" i="35"/>
  <c r="J20" i="35"/>
  <c r="M20" i="35"/>
  <c r="N20" i="35"/>
  <c r="O20" i="35"/>
  <c r="P20" i="35"/>
  <c r="V20" i="35"/>
  <c r="X20" i="35"/>
  <c r="Z20" i="35"/>
  <c r="AD20" i="35"/>
  <c r="AE20" i="35"/>
  <c r="AF20" i="35"/>
  <c r="AK20" i="35"/>
  <c r="AM20" i="35"/>
  <c r="AO20" i="35"/>
  <c r="AR20" i="35"/>
  <c r="AS20" i="35"/>
  <c r="AT20" i="35"/>
  <c r="AU20" i="35"/>
  <c r="F21" i="35"/>
  <c r="H21" i="35"/>
  <c r="J21" i="35"/>
  <c r="M21" i="35"/>
  <c r="N21" i="35"/>
  <c r="O21" i="35"/>
  <c r="P21" i="35"/>
  <c r="V21" i="35"/>
  <c r="X21" i="35"/>
  <c r="Z21" i="35"/>
  <c r="AD21" i="35"/>
  <c r="AE21" i="35"/>
  <c r="AF21" i="35"/>
  <c r="AK21" i="35"/>
  <c r="AM21" i="35"/>
  <c r="AO21" i="35"/>
  <c r="AR21" i="35"/>
  <c r="AS21" i="35"/>
  <c r="AT21" i="35"/>
  <c r="AU21" i="35"/>
  <c r="F22" i="35"/>
  <c r="H22" i="35"/>
  <c r="J22" i="35"/>
  <c r="M22" i="35"/>
  <c r="N22" i="35"/>
  <c r="O22" i="35"/>
  <c r="P22" i="35"/>
  <c r="V22" i="35"/>
  <c r="X22" i="35"/>
  <c r="Z22" i="35"/>
  <c r="AD22" i="35"/>
  <c r="AE22" i="35"/>
  <c r="AF22" i="35"/>
  <c r="AK22" i="35"/>
  <c r="AM22" i="35"/>
  <c r="AO22" i="35"/>
  <c r="AR22" i="35"/>
  <c r="AS22" i="35"/>
  <c r="AT22" i="35"/>
  <c r="AU22" i="35"/>
  <c r="F23" i="35"/>
  <c r="H23" i="35"/>
  <c r="J23" i="35"/>
  <c r="M23" i="35"/>
  <c r="N23" i="35"/>
  <c r="O23" i="35"/>
  <c r="P23" i="35"/>
  <c r="V23" i="35"/>
  <c r="X23" i="35"/>
  <c r="Z23" i="35"/>
  <c r="AD23" i="35"/>
  <c r="AE23" i="35"/>
  <c r="AF23" i="35"/>
  <c r="AK23" i="35"/>
  <c r="AM23" i="35"/>
  <c r="AO23" i="35"/>
  <c r="AR23" i="35"/>
  <c r="AS23" i="35"/>
  <c r="AT23" i="35"/>
  <c r="AU23" i="35"/>
  <c r="F24" i="35"/>
  <c r="H24" i="35"/>
  <c r="J24" i="35"/>
  <c r="M24" i="35"/>
  <c r="N24" i="35"/>
  <c r="O24" i="35"/>
  <c r="P24" i="35"/>
  <c r="V24" i="35"/>
  <c r="X24" i="35"/>
  <c r="Z24" i="35"/>
  <c r="AD24" i="35"/>
  <c r="AE24" i="35"/>
  <c r="AF24" i="35"/>
  <c r="AK24" i="35"/>
  <c r="AM24" i="35"/>
  <c r="AO24" i="35"/>
  <c r="AR24" i="35"/>
  <c r="AS24" i="35"/>
  <c r="AT24" i="35"/>
  <c r="AU24" i="35"/>
  <c r="F25" i="35"/>
  <c r="H25" i="35"/>
  <c r="J25" i="35"/>
  <c r="M25" i="35"/>
  <c r="N25" i="35"/>
  <c r="O25" i="35"/>
  <c r="P25" i="35"/>
  <c r="V25" i="35"/>
  <c r="X25" i="35"/>
  <c r="Z25" i="35"/>
  <c r="AD25" i="35"/>
  <c r="AE25" i="35"/>
  <c r="AF25" i="35"/>
  <c r="AK25" i="35"/>
  <c r="AM25" i="35"/>
  <c r="AO25" i="35"/>
  <c r="AR25" i="35"/>
  <c r="AS25" i="35"/>
  <c r="AT25" i="35"/>
  <c r="AU25" i="35"/>
  <c r="F26" i="35"/>
  <c r="H26" i="35"/>
  <c r="J26" i="35"/>
  <c r="M26" i="35"/>
  <c r="N26" i="35"/>
  <c r="O26" i="35"/>
  <c r="P26" i="35"/>
  <c r="V26" i="35"/>
  <c r="X26" i="35"/>
  <c r="Z26" i="35"/>
  <c r="AD26" i="35"/>
  <c r="AE26" i="35"/>
  <c r="AF26" i="35"/>
  <c r="AK26" i="35"/>
  <c r="AM26" i="35"/>
  <c r="AO26" i="35"/>
  <c r="AR26" i="35"/>
  <c r="AS26" i="35"/>
  <c r="AT26" i="35"/>
  <c r="AU26" i="35"/>
  <c r="F27" i="35"/>
  <c r="H27" i="35"/>
  <c r="J27" i="35"/>
  <c r="M27" i="35"/>
  <c r="N27" i="35"/>
  <c r="O27" i="35"/>
  <c r="P27" i="35"/>
  <c r="V27" i="35"/>
  <c r="X27" i="35"/>
  <c r="Z27" i="35"/>
  <c r="AD27" i="35"/>
  <c r="AE27" i="35"/>
  <c r="AF27" i="35"/>
  <c r="AK27" i="35"/>
  <c r="AM27" i="35"/>
  <c r="AO27" i="35"/>
  <c r="AR27" i="35"/>
  <c r="AS27" i="35"/>
  <c r="AT27" i="35"/>
  <c r="AU27" i="35"/>
  <c r="F28" i="35"/>
  <c r="H28" i="35"/>
  <c r="J28" i="35"/>
  <c r="M28" i="35"/>
  <c r="N28" i="35"/>
  <c r="O28" i="35"/>
  <c r="P28" i="35"/>
  <c r="V28" i="35"/>
  <c r="X28" i="35"/>
  <c r="Z28" i="35"/>
  <c r="AD28" i="35"/>
  <c r="AE28" i="35"/>
  <c r="AF28" i="35"/>
  <c r="AK28" i="35"/>
  <c r="AM28" i="35"/>
  <c r="AO28" i="35"/>
  <c r="AR28" i="35"/>
  <c r="AS28" i="35"/>
  <c r="AT28" i="35"/>
  <c r="AU28" i="35"/>
  <c r="F29" i="35"/>
  <c r="H29" i="35"/>
  <c r="J29" i="35"/>
  <c r="M29" i="35"/>
  <c r="N29" i="35"/>
  <c r="O29" i="35"/>
  <c r="P29" i="35"/>
  <c r="V29" i="35"/>
  <c r="X29" i="35"/>
  <c r="Z29" i="35"/>
  <c r="AD29" i="35"/>
  <c r="AE29" i="35"/>
  <c r="AF29" i="35"/>
  <c r="AK29" i="35"/>
  <c r="AM29" i="35"/>
  <c r="AO29" i="35"/>
  <c r="AR29" i="35"/>
  <c r="AS29" i="35"/>
  <c r="AT29" i="35"/>
  <c r="AU29" i="35"/>
  <c r="F30" i="35"/>
  <c r="H30" i="35"/>
  <c r="J30" i="35"/>
  <c r="M30" i="35"/>
  <c r="N30" i="35"/>
  <c r="O30" i="35"/>
  <c r="P30" i="35"/>
  <c r="V30" i="35"/>
  <c r="X30" i="35"/>
  <c r="Z30" i="35"/>
  <c r="AD30" i="35"/>
  <c r="AE30" i="35"/>
  <c r="AF30" i="35"/>
  <c r="AK30" i="35"/>
  <c r="AM30" i="35"/>
  <c r="AO30" i="35"/>
  <c r="AR30" i="35"/>
  <c r="AS30" i="35"/>
  <c r="AT30" i="35"/>
  <c r="AU30" i="35"/>
  <c r="F31" i="35"/>
  <c r="H31" i="35"/>
  <c r="J31" i="35"/>
  <c r="M31" i="35"/>
  <c r="N31" i="35"/>
  <c r="O31" i="35"/>
  <c r="P31" i="35"/>
  <c r="V31" i="35"/>
  <c r="X31" i="35"/>
  <c r="Z31" i="35"/>
  <c r="AD31" i="35"/>
  <c r="AE31" i="35"/>
  <c r="AF31" i="35"/>
  <c r="AK31" i="35"/>
  <c r="AM31" i="35"/>
  <c r="AO31" i="35"/>
  <c r="AR31" i="35"/>
  <c r="AS31" i="35"/>
  <c r="AT31" i="35"/>
  <c r="AU31" i="35"/>
  <c r="F32" i="35"/>
  <c r="H32" i="35"/>
  <c r="J32" i="35"/>
  <c r="M32" i="35"/>
  <c r="N32" i="35"/>
  <c r="O32" i="35"/>
  <c r="P32" i="35"/>
  <c r="V32" i="35"/>
  <c r="X32" i="35"/>
  <c r="Z32" i="35"/>
  <c r="AD32" i="35"/>
  <c r="AE32" i="35"/>
  <c r="AF32" i="35"/>
  <c r="AK32" i="35"/>
  <c r="AM32" i="35"/>
  <c r="AO32" i="35"/>
  <c r="AR32" i="35"/>
  <c r="AS32" i="35"/>
  <c r="AT32" i="35"/>
  <c r="AU32" i="35"/>
  <c r="F33" i="35"/>
  <c r="H33" i="35"/>
  <c r="J33" i="35"/>
  <c r="M33" i="35"/>
  <c r="N33" i="35"/>
  <c r="O33" i="35"/>
  <c r="P33" i="35"/>
  <c r="V33" i="35"/>
  <c r="X33" i="35"/>
  <c r="Z33" i="35"/>
  <c r="AD33" i="35"/>
  <c r="AE33" i="35"/>
  <c r="AF33" i="35"/>
  <c r="AK33" i="35"/>
  <c r="AM33" i="35"/>
  <c r="AO33" i="35"/>
  <c r="AR33" i="35"/>
  <c r="AS33" i="35"/>
  <c r="AT33" i="35"/>
  <c r="AU33" i="35"/>
  <c r="F34" i="35"/>
  <c r="H34" i="35"/>
  <c r="J34" i="35"/>
  <c r="M34" i="35"/>
  <c r="N34" i="35"/>
  <c r="O34" i="35"/>
  <c r="P34" i="35"/>
  <c r="V34" i="35"/>
  <c r="X34" i="35"/>
  <c r="Z34" i="35"/>
  <c r="AD34" i="35"/>
  <c r="AE34" i="35"/>
  <c r="AF34" i="35"/>
  <c r="AK34" i="35"/>
  <c r="AM34" i="35"/>
  <c r="AO34" i="35"/>
  <c r="AR34" i="35"/>
  <c r="AS34" i="35"/>
  <c r="AT34" i="35"/>
  <c r="AU34" i="35"/>
  <c r="F35" i="35"/>
  <c r="H35" i="35"/>
  <c r="J35" i="35"/>
  <c r="M35" i="35"/>
  <c r="N35" i="35"/>
  <c r="O35" i="35"/>
  <c r="P35" i="35"/>
  <c r="V35" i="35"/>
  <c r="X35" i="35"/>
  <c r="Z35" i="35"/>
  <c r="AD35" i="35"/>
  <c r="AE35" i="35"/>
  <c r="AF35" i="35"/>
  <c r="AK35" i="35"/>
  <c r="AM35" i="35"/>
  <c r="AO35" i="35"/>
  <c r="AR35" i="35"/>
  <c r="AS35" i="35"/>
  <c r="AT35" i="35"/>
  <c r="AU35" i="35"/>
  <c r="F36" i="35"/>
  <c r="H36" i="35"/>
  <c r="J36" i="35"/>
  <c r="M36" i="35"/>
  <c r="N36" i="35"/>
  <c r="O36" i="35"/>
  <c r="P36" i="35"/>
  <c r="V36" i="35"/>
  <c r="X36" i="35"/>
  <c r="Z36" i="35"/>
  <c r="AD36" i="35"/>
  <c r="AE36" i="35"/>
  <c r="AF36" i="35"/>
  <c r="AK36" i="35"/>
  <c r="AM36" i="35"/>
  <c r="AO36" i="35"/>
  <c r="AR36" i="35"/>
  <c r="AS36" i="35"/>
  <c r="AT36" i="35"/>
  <c r="AU36" i="35"/>
  <c r="F37" i="35"/>
  <c r="H37" i="35"/>
  <c r="J37" i="35"/>
  <c r="M37" i="35"/>
  <c r="N37" i="35"/>
  <c r="O37" i="35"/>
  <c r="P37" i="35"/>
  <c r="V37" i="35"/>
  <c r="X37" i="35"/>
  <c r="Z37" i="35"/>
  <c r="AD37" i="35"/>
  <c r="AE37" i="35"/>
  <c r="AF37" i="35"/>
  <c r="AK37" i="35"/>
  <c r="AM37" i="35"/>
  <c r="AO37" i="35"/>
  <c r="AR37" i="35"/>
  <c r="AS37" i="35"/>
  <c r="AT37" i="35"/>
  <c r="AU37" i="35"/>
  <c r="F38" i="35"/>
  <c r="H38" i="35"/>
  <c r="J38" i="35"/>
  <c r="M38" i="35"/>
  <c r="N38" i="35"/>
  <c r="O38" i="35"/>
  <c r="P38" i="35"/>
  <c r="V38" i="35"/>
  <c r="X38" i="35"/>
  <c r="Z38" i="35"/>
  <c r="AD38" i="35"/>
  <c r="AE38" i="35"/>
  <c r="AF38" i="35"/>
  <c r="AK38" i="35"/>
  <c r="AM38" i="35"/>
  <c r="AO38" i="35"/>
  <c r="AR38" i="35"/>
  <c r="AS38" i="35"/>
  <c r="AT38" i="35"/>
  <c r="AU38" i="35"/>
  <c r="F39" i="35"/>
  <c r="H39" i="35"/>
  <c r="J39" i="35"/>
  <c r="M39" i="35"/>
  <c r="N39" i="35"/>
  <c r="O39" i="35"/>
  <c r="P39" i="35"/>
  <c r="V39" i="35"/>
  <c r="X39" i="35"/>
  <c r="Z39" i="35"/>
  <c r="AD39" i="35"/>
  <c r="AE39" i="35"/>
  <c r="AF39" i="35"/>
  <c r="AK39" i="35"/>
  <c r="AM39" i="35"/>
  <c r="AO39" i="35"/>
  <c r="AR39" i="35"/>
  <c r="AS39" i="35"/>
  <c r="AT39" i="35"/>
  <c r="AU39" i="35"/>
  <c r="F40" i="35"/>
  <c r="H40" i="35"/>
  <c r="J40" i="35"/>
  <c r="M40" i="35"/>
  <c r="N40" i="35"/>
  <c r="O40" i="35"/>
  <c r="P40" i="35"/>
  <c r="V40" i="35"/>
  <c r="X40" i="35"/>
  <c r="Z40" i="35"/>
  <c r="AD40" i="35"/>
  <c r="AE40" i="35"/>
  <c r="AF40" i="35"/>
  <c r="AK40" i="35"/>
  <c r="AM40" i="35"/>
  <c r="AO40" i="35"/>
  <c r="AR40" i="35"/>
  <c r="AS40" i="35"/>
  <c r="AT40" i="35"/>
  <c r="AU40" i="35"/>
  <c r="F41" i="35"/>
  <c r="H41" i="35"/>
  <c r="J41" i="35"/>
  <c r="M41" i="35"/>
  <c r="N41" i="35"/>
  <c r="O41" i="35"/>
  <c r="P41" i="35"/>
  <c r="V41" i="35"/>
  <c r="X41" i="35"/>
  <c r="Z41" i="35"/>
  <c r="AD41" i="35"/>
  <c r="AE41" i="35"/>
  <c r="AF41" i="35"/>
  <c r="AK41" i="35"/>
  <c r="AM41" i="35"/>
  <c r="AO41" i="35"/>
  <c r="AR41" i="35"/>
  <c r="AS41" i="35"/>
  <c r="AT41" i="35"/>
  <c r="AU41" i="35"/>
  <c r="F42" i="35"/>
  <c r="H42" i="35"/>
  <c r="J42" i="35"/>
  <c r="M42" i="35"/>
  <c r="N42" i="35"/>
  <c r="O42" i="35"/>
  <c r="P42" i="35"/>
  <c r="V42" i="35"/>
  <c r="X42" i="35"/>
  <c r="Z42" i="35"/>
  <c r="AD42" i="35"/>
  <c r="AE42" i="35"/>
  <c r="AF42" i="35"/>
  <c r="AK42" i="35"/>
  <c r="AM42" i="35"/>
  <c r="AO42" i="35"/>
  <c r="AR42" i="35"/>
  <c r="AS42" i="35"/>
  <c r="AT42" i="35"/>
  <c r="AU42" i="35"/>
  <c r="F43" i="35"/>
  <c r="H43" i="35"/>
  <c r="J43" i="35"/>
  <c r="M43" i="35"/>
  <c r="N43" i="35"/>
  <c r="O43" i="35"/>
  <c r="P43" i="35"/>
  <c r="V43" i="35"/>
  <c r="X43" i="35"/>
  <c r="Z43" i="35"/>
  <c r="AD43" i="35"/>
  <c r="AE43" i="35"/>
  <c r="AF43" i="35"/>
  <c r="AK43" i="35"/>
  <c r="AM43" i="35"/>
  <c r="AO43" i="35"/>
  <c r="AR43" i="35"/>
  <c r="AS43" i="35"/>
  <c r="AT43" i="35"/>
  <c r="AU43" i="35"/>
  <c r="F44" i="35"/>
  <c r="H44" i="35"/>
  <c r="J44" i="35"/>
  <c r="M44" i="35"/>
  <c r="N44" i="35"/>
  <c r="O44" i="35"/>
  <c r="P44" i="35"/>
  <c r="V44" i="35"/>
  <c r="X44" i="35"/>
  <c r="Z44" i="35"/>
  <c r="AD44" i="35"/>
  <c r="AE44" i="35"/>
  <c r="AF44" i="35"/>
  <c r="AK44" i="35"/>
  <c r="AM44" i="35"/>
  <c r="AO44" i="35"/>
  <c r="AR44" i="35"/>
  <c r="AS44" i="35"/>
  <c r="AT44" i="35"/>
  <c r="AU44" i="35"/>
  <c r="F45" i="35"/>
  <c r="H45" i="35"/>
  <c r="J45" i="35"/>
  <c r="M45" i="35"/>
  <c r="N45" i="35"/>
  <c r="O45" i="35"/>
  <c r="P45" i="35"/>
  <c r="V45" i="35"/>
  <c r="X45" i="35"/>
  <c r="Z45" i="35"/>
  <c r="AD45" i="35"/>
  <c r="AE45" i="35"/>
  <c r="AF45" i="35"/>
  <c r="AK45" i="35"/>
  <c r="AM45" i="35"/>
  <c r="AO45" i="35"/>
  <c r="AR45" i="35"/>
  <c r="AS45" i="35"/>
  <c r="AT45" i="35"/>
  <c r="AU45" i="35"/>
  <c r="O46" i="35"/>
  <c r="AE46" i="35"/>
  <c r="AT46" i="35"/>
  <c r="O47" i="35"/>
  <c r="AE47" i="35"/>
  <c r="AT47"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P</author>
  </authors>
  <commentList>
    <comment ref="G34" authorId="0" shapeId="0" xr:uid="{B9317525-C732-4172-BF7B-F81A279597CE}">
      <text>
        <r>
          <rPr>
            <b/>
            <sz val="9"/>
            <color indexed="81"/>
            <rFont val="Tahoma"/>
            <family val="2"/>
          </rPr>
          <t>Oscar P:</t>
        </r>
        <r>
          <rPr>
            <sz val="9"/>
            <color indexed="81"/>
            <rFont val="Tahoma"/>
            <family val="2"/>
          </rPr>
          <t xml:space="preserve">
Don't leave as zero or will mark error in the cashflow</t>
        </r>
      </text>
    </comment>
    <comment ref="N95" authorId="0" shapeId="0" xr:uid="{942EBC1C-6D35-4441-8BFA-63D302D9C57F}">
      <text>
        <r>
          <rPr>
            <b/>
            <sz val="9"/>
            <color indexed="81"/>
            <rFont val="Tahoma"/>
            <family val="2"/>
          </rPr>
          <t>Oscar P:</t>
        </r>
        <r>
          <rPr>
            <sz val="9"/>
            <color indexed="81"/>
            <rFont val="Tahoma"/>
            <family val="2"/>
          </rPr>
          <t xml:space="preserve">
Note: goal seek to $7.16 as by Market Research</t>
        </r>
      </text>
    </comment>
    <comment ref="N96" authorId="0" shapeId="0" xr:uid="{0EE94F52-CA34-4A3D-BE92-D59EA978AB85}">
      <text>
        <r>
          <rPr>
            <b/>
            <sz val="9"/>
            <color indexed="81"/>
            <rFont val="Tahoma"/>
            <family val="2"/>
          </rPr>
          <t>Oscar P:</t>
        </r>
        <r>
          <rPr>
            <sz val="9"/>
            <color indexed="81"/>
            <rFont val="Tahoma"/>
            <family val="2"/>
          </rPr>
          <t xml:space="preserve">
Note: goal seek to $9.7 as by Market Research</t>
        </r>
      </text>
    </comment>
    <comment ref="G210" authorId="0" shapeId="0" xr:uid="{72777C7B-5E2C-436B-913C-BB3B20D6E847}">
      <text>
        <r>
          <rPr>
            <b/>
            <sz val="9"/>
            <color indexed="81"/>
            <rFont val="Tahoma"/>
            <family val="2"/>
          </rPr>
          <t>Oscar P:</t>
        </r>
        <r>
          <rPr>
            <sz val="9"/>
            <color indexed="81"/>
            <rFont val="Tahoma"/>
            <family val="2"/>
          </rPr>
          <t xml:space="preserve">
ret+of+of</t>
        </r>
      </text>
    </comment>
    <comment ref="H210" authorId="0" shapeId="0" xr:uid="{5E603BFE-7444-41FA-8F02-3C1D2C1531E1}">
      <text>
        <r>
          <rPr>
            <b/>
            <sz val="9"/>
            <color indexed="81"/>
            <rFont val="Tahoma"/>
            <family val="2"/>
          </rPr>
          <t>Oscar P:</t>
        </r>
        <r>
          <rPr>
            <sz val="9"/>
            <color indexed="81"/>
            <rFont val="Tahoma"/>
            <family val="2"/>
          </rPr>
          <t xml:space="preserve">
ret+of+of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Oscar P</author>
  </authors>
  <commentList>
    <comment ref="I67" authorId="0" shapeId="0" xr:uid="{2571E649-4EB9-4629-AFF4-4BA9F3B08803}">
      <text>
        <r>
          <rPr>
            <b/>
            <sz val="9"/>
            <color indexed="81"/>
            <rFont val="Tahoma"/>
            <family val="2"/>
          </rPr>
          <t>Oscar P:</t>
        </r>
        <r>
          <rPr>
            <sz val="9"/>
            <color indexed="81"/>
            <rFont val="Tahoma"/>
            <family val="2"/>
          </rPr>
          <t xml:space="preserve">
input zero then undo to overcome the circular reference</t>
        </r>
      </text>
    </comment>
    <comment ref="H82" authorId="0" shapeId="0" xr:uid="{C855D85F-EA15-4620-8AB3-408BA9B4807E}">
      <text>
        <r>
          <rPr>
            <b/>
            <sz val="9"/>
            <color indexed="81"/>
            <rFont val="Tahoma"/>
            <family val="2"/>
          </rPr>
          <t>Oscar P:</t>
        </r>
        <r>
          <rPr>
            <sz val="9"/>
            <color indexed="81"/>
            <rFont val="Tahoma"/>
            <family val="2"/>
          </rPr>
          <t xml:space="preserve">
Took out Financing Costs from Development budget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Oscar P</author>
  </authors>
  <commentList>
    <comment ref="C37" authorId="0" shapeId="0" xr:uid="{A7265AD0-9B8A-40BB-B625-76D347CE7FBE}">
      <text>
        <r>
          <rPr>
            <b/>
            <sz val="9"/>
            <color indexed="81"/>
            <rFont val="Tahoma"/>
            <family val="2"/>
          </rPr>
          <t>Oscar P:
City will finance this costs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Oscar P</author>
  </authors>
  <commentList>
    <comment ref="F46" authorId="0" shapeId="0" xr:uid="{C1DAB199-0B4F-4842-A854-235DEAD00BE0}">
      <text>
        <r>
          <rPr>
            <b/>
            <sz val="9"/>
            <color indexed="81"/>
            <rFont val="Tahoma"/>
            <family val="2"/>
          </rPr>
          <t>Oscar P:</t>
        </r>
        <r>
          <rPr>
            <sz val="9"/>
            <color indexed="81"/>
            <rFont val="Tahoma"/>
            <family val="2"/>
          </rPr>
          <t xml:space="preserve">
changed formula to correct for "error"</t>
        </r>
      </text>
    </comment>
  </commentList>
</comments>
</file>

<file path=xl/sharedStrings.xml><?xml version="1.0" encoding="utf-8"?>
<sst xmlns="http://schemas.openxmlformats.org/spreadsheetml/2006/main" count="4529" uniqueCount="1255">
  <si>
    <t xml:space="preserve">Net Operating Income </t>
  </si>
  <si>
    <t>Total Net Operating Income</t>
  </si>
  <si>
    <t>Development Costs</t>
  </si>
  <si>
    <t>Total Development Costs</t>
  </si>
  <si>
    <t>Annual Cash Flow</t>
  </si>
  <si>
    <t>Net Operating Income</t>
  </si>
  <si>
    <t>Project Buildout by Development Units</t>
  </si>
  <si>
    <t>Inflation Factor</t>
  </si>
  <si>
    <t>Infrastructure Costs</t>
  </si>
  <si>
    <t>Expenses</t>
  </si>
  <si>
    <t>Net Present Value</t>
  </si>
  <si>
    <t>Total Costs of Sale</t>
  </si>
  <si>
    <t>Total Buildout</t>
  </si>
  <si>
    <t>(units)</t>
  </si>
  <si>
    <t>(s.f.)</t>
  </si>
  <si>
    <t>(rooms)</t>
  </si>
  <si>
    <t>(spaces)</t>
  </si>
  <si>
    <t>Total</t>
  </si>
  <si>
    <t>Year-by-Year Cumulative Absorption</t>
  </si>
  <si>
    <t>Other</t>
  </si>
  <si>
    <t>Total Costs</t>
  </si>
  <si>
    <t>Phase I</t>
  </si>
  <si>
    <t>1. Summary Pro Forma</t>
  </si>
  <si>
    <t>2. Multiyear Development Program</t>
  </si>
  <si>
    <t>Office/Commercial</t>
  </si>
  <si>
    <t>Retail</t>
  </si>
  <si>
    <t>Hotel</t>
  </si>
  <si>
    <t>Structured Parking</t>
  </si>
  <si>
    <t>Surface Parking</t>
  </si>
  <si>
    <t>Equity</t>
  </si>
  <si>
    <t>Affordable</t>
  </si>
  <si>
    <t>Debt Service</t>
  </si>
  <si>
    <t>3. Unit Development and Infrastructure Costs</t>
  </si>
  <si>
    <t>4. Equity and Financing Sources</t>
  </si>
  <si>
    <t>Amount</t>
  </si>
  <si>
    <t>Equity Sources (total)</t>
  </si>
  <si>
    <t>Financing Sources (total)</t>
  </si>
  <si>
    <t>Unit Cost</t>
  </si>
  <si>
    <t>Utilities</t>
  </si>
  <si>
    <t>Landscaping</t>
  </si>
  <si>
    <t>Other Hardscaping (not incl. surf. pkg.)</t>
  </si>
  <si>
    <t>Public</t>
  </si>
  <si>
    <t>Total Infrastructure</t>
  </si>
  <si>
    <t>Private</t>
  </si>
  <si>
    <t>Roads</t>
  </si>
  <si>
    <t xml:space="preserve">Total Asset Value </t>
  </si>
  <si>
    <t>Projected Site Value (end of Year 10)</t>
  </si>
  <si>
    <t>Land Acquisition</t>
  </si>
  <si>
    <t>Underground Parking</t>
  </si>
  <si>
    <t>Total Income</t>
  </si>
  <si>
    <t>Demolition</t>
  </si>
  <si>
    <t>Remediation</t>
  </si>
  <si>
    <t>Development Fees</t>
  </si>
  <si>
    <t>Acquisition Taxes and Fees</t>
  </si>
  <si>
    <t>Exit Assumptions</t>
  </si>
  <si>
    <t>PSF</t>
  </si>
  <si>
    <t>Hard Costs</t>
  </si>
  <si>
    <t>Soft Costs</t>
  </si>
  <si>
    <t>Insurance</t>
  </si>
  <si>
    <t>Developer Fee</t>
  </si>
  <si>
    <t>Acquisition Costs</t>
  </si>
  <si>
    <t>Decking</t>
  </si>
  <si>
    <t>Global</t>
  </si>
  <si>
    <t>Acquisition</t>
  </si>
  <si>
    <t>Site Acquisition Price</t>
  </si>
  <si>
    <t>Acquisition Subtotal</t>
  </si>
  <si>
    <t>Hard Costs Subtotal</t>
  </si>
  <si>
    <t>Architectural &amp; Engineering</t>
  </si>
  <si>
    <t>Permits</t>
  </si>
  <si>
    <t>Environmental/Geotechnical</t>
  </si>
  <si>
    <t>Bank Legal</t>
  </si>
  <si>
    <t>Developer Legal</t>
  </si>
  <si>
    <t>Marketing</t>
  </si>
  <si>
    <t>Title &amp; Survey</t>
  </si>
  <si>
    <t>Construction Monitoring &amp; Testing</t>
  </si>
  <si>
    <t>Construction Inspections</t>
  </si>
  <si>
    <t>LEED Certification Fee</t>
  </si>
  <si>
    <t>Soft Cost Contingency</t>
  </si>
  <si>
    <t>Soft Costs Subtotal</t>
  </si>
  <si>
    <t>Financing Costs</t>
  </si>
  <si>
    <t>Construction Senior Loan Origination Fee</t>
  </si>
  <si>
    <t>Financing Costs Subtotal</t>
  </si>
  <si>
    <t>Reserves</t>
  </si>
  <si>
    <t>Capitalized Operating Reserve</t>
  </si>
  <si>
    <t>Lease-Up Reserve</t>
  </si>
  <si>
    <t>Reserves Subtotal</t>
  </si>
  <si>
    <t>Developer Fee Subtotal</t>
  </si>
  <si>
    <t>Accounting</t>
  </si>
  <si>
    <t>Overall Percentage</t>
  </si>
  <si>
    <t>Gross Square Footage</t>
  </si>
  <si>
    <t>Appraisal</t>
  </si>
  <si>
    <t>Predevelopment Sources</t>
  </si>
  <si>
    <t>Predevelopment Uses</t>
  </si>
  <si>
    <t>Construction Sources</t>
  </si>
  <si>
    <t>Construction Uses</t>
  </si>
  <si>
    <t>Total Sources</t>
  </si>
  <si>
    <t>Total Uses</t>
  </si>
  <si>
    <t>TIF Loan</t>
  </si>
  <si>
    <t>LIHTC Equity</t>
  </si>
  <si>
    <t>NMTC Equity</t>
  </si>
  <si>
    <t>Senior Permanent Loan</t>
  </si>
  <si>
    <t>Permanent Sources</t>
  </si>
  <si>
    <t>Permanent Uses</t>
  </si>
  <si>
    <t>Timing Assumptions</t>
  </si>
  <si>
    <t>Predevelopment Closing</t>
  </si>
  <si>
    <t>Predevelopment Period</t>
  </si>
  <si>
    <t>Construction Closing</t>
  </si>
  <si>
    <t>Construction Period</t>
  </si>
  <si>
    <t>Construction Completion</t>
  </si>
  <si>
    <t>Lease-up Period</t>
  </si>
  <si>
    <t>Stabilization</t>
  </si>
  <si>
    <t>Partnership Hold Period</t>
  </si>
  <si>
    <t>Project Sale</t>
  </si>
  <si>
    <t>Operating Assumptions</t>
  </si>
  <si>
    <t>Studio Units</t>
  </si>
  <si>
    <t>Vacancy</t>
  </si>
  <si>
    <t>Average Size</t>
  </si>
  <si>
    <t>Affordable Residential Vacancy</t>
  </si>
  <si>
    <t>Rent PSF</t>
  </si>
  <si>
    <t>Rent PU</t>
  </si>
  <si>
    <t>Retail Vacancy</t>
  </si>
  <si>
    <t>1-BR Units</t>
  </si>
  <si>
    <t>Office Vacancy</t>
  </si>
  <si>
    <t>Rent Growth</t>
  </si>
  <si>
    <t>2-BR Units</t>
  </si>
  <si>
    <t>Affordable Residential Growth</t>
  </si>
  <si>
    <t>Retail Growth</t>
  </si>
  <si>
    <t>every…</t>
  </si>
  <si>
    <t>3-BR Units</t>
  </si>
  <si>
    <t>Office Growth</t>
  </si>
  <si>
    <t>Total RSF</t>
  </si>
  <si>
    <t>Total Units</t>
  </si>
  <si>
    <t>Retail Reimbursement</t>
  </si>
  <si>
    <t>Blended Rent PSF</t>
  </si>
  <si>
    <t>Blended Rent PU</t>
  </si>
  <si>
    <t>Office Reimbursement</t>
  </si>
  <si>
    <t>Affordable Residential</t>
  </si>
  <si>
    <t>Hotel Operating Expenses</t>
  </si>
  <si>
    <t>Departmental Expenses</t>
  </si>
  <si>
    <t>Office</t>
  </si>
  <si>
    <t>Cap Rate</t>
  </si>
  <si>
    <t>Annual Market Resi Gross Rent</t>
  </si>
  <si>
    <t>Hotel Mix</t>
  </si>
  <si>
    <t>Sale Costs</t>
  </si>
  <si>
    <t>Keys</t>
  </si>
  <si>
    <t>Financing</t>
  </si>
  <si>
    <t>RevPAR</t>
  </si>
  <si>
    <t>Occupancy</t>
  </si>
  <si>
    <t>LTC</t>
  </si>
  <si>
    <t>Rate</t>
  </si>
  <si>
    <t>Origination Fee</t>
  </si>
  <si>
    <t>Permanent Senior Bank Loan</t>
  </si>
  <si>
    <t>Total Keys</t>
  </si>
  <si>
    <t>Blended RevPAR PSF</t>
  </si>
  <si>
    <t>F&amp;B</t>
  </si>
  <si>
    <t>Per Occupied Room Night</t>
  </si>
  <si>
    <t>Amortization</t>
  </si>
  <si>
    <t>Annual per Key</t>
  </si>
  <si>
    <t>EB-5 Loan</t>
  </si>
  <si>
    <t>Miscellaneous</t>
  </si>
  <si>
    <t>Retail Mix</t>
  </si>
  <si>
    <t>IO</t>
  </si>
  <si>
    <t>Square Footage</t>
  </si>
  <si>
    <t>Annual Rent</t>
  </si>
  <si>
    <t>Total Allocation</t>
  </si>
  <si>
    <t>Pricing</t>
  </si>
  <si>
    <t>Allocation</t>
  </si>
  <si>
    <t>Credits</t>
  </si>
  <si>
    <t>Annual Retail Rent</t>
  </si>
  <si>
    <t>Office Mix</t>
  </si>
  <si>
    <t>Annual Office Rent</t>
  </si>
  <si>
    <t>Conference Space</t>
  </si>
  <si>
    <t>DSCR</t>
  </si>
  <si>
    <t>LTV</t>
  </si>
  <si>
    <t>Millage Rate</t>
  </si>
  <si>
    <t>TIF Loan Origination Fee</t>
  </si>
  <si>
    <t>Average Utilization</t>
  </si>
  <si>
    <t>All-in Rate</t>
  </si>
  <si>
    <t>Date</t>
  </si>
  <si>
    <t>Project Value</t>
  </si>
  <si>
    <t>Starting Value</t>
  </si>
  <si>
    <t>Every</t>
  </si>
  <si>
    <t>Assessment Rate</t>
  </si>
  <si>
    <t>Assessed Value</t>
  </si>
  <si>
    <t>Incremental Taxes</t>
  </si>
  <si>
    <t>School Percentage</t>
  </si>
  <si>
    <t>Available for Debt Service</t>
  </si>
  <si>
    <t>Minimum DSCR</t>
  </si>
  <si>
    <t>Maximum Debt Service</t>
  </si>
  <si>
    <t>Maximum Loan Size</t>
  </si>
  <si>
    <t>TIF Year</t>
  </si>
  <si>
    <t>Minimum Debt Service</t>
  </si>
  <si>
    <t>Completion Date</t>
  </si>
  <si>
    <t>I</t>
  </si>
  <si>
    <t>Closing Date</t>
  </si>
  <si>
    <t>Annual F&amp;B Revenue</t>
  </si>
  <si>
    <t>Annual Conference Revenue</t>
  </si>
  <si>
    <t>Annual Revenue PSF</t>
  </si>
  <si>
    <t>Guests / Event</t>
  </si>
  <si>
    <t>Revenue / Guest</t>
  </si>
  <si>
    <t>Parking Mix</t>
  </si>
  <si>
    <t>Structural Parking</t>
  </si>
  <si>
    <t>Annual Parking Rent</t>
  </si>
  <si>
    <t>Structural Parking - Revenue</t>
  </si>
  <si>
    <t>Structural Parking - Non-Revenue</t>
  </si>
  <si>
    <t>Surface Parking - Revenue</t>
  </si>
  <si>
    <t>Surface Parking - Non-Revenue</t>
  </si>
  <si>
    <t>Spaces</t>
  </si>
  <si>
    <t>SF / Space</t>
  </si>
  <si>
    <t>Monthly Rent / Space</t>
  </si>
  <si>
    <t>Parking Vacancy</t>
  </si>
  <si>
    <t>Parking Growth</t>
  </si>
  <si>
    <t>Parking</t>
  </si>
  <si>
    <t>Development Mix</t>
  </si>
  <si>
    <t>Square Footages</t>
  </si>
  <si>
    <t>GSF</t>
  </si>
  <si>
    <t>NSF</t>
  </si>
  <si>
    <t>Total NSF</t>
  </si>
  <si>
    <t>Total GSF</t>
  </si>
  <si>
    <t>Total RSF - Structural</t>
  </si>
  <si>
    <t>Total RSF - Surface</t>
  </si>
  <si>
    <t>Units</t>
  </si>
  <si>
    <t>LIBOR Forecast (Construction)</t>
  </si>
  <si>
    <t>Total Development Budget</t>
  </si>
  <si>
    <t>CAM + Expense Reimbursement Rate</t>
  </si>
  <si>
    <t>II</t>
  </si>
  <si>
    <t>III</t>
  </si>
  <si>
    <t>Phase</t>
  </si>
  <si>
    <t>Gross Revenue</t>
  </si>
  <si>
    <t>Less: Vacancy</t>
  </si>
  <si>
    <t>Space Leased</t>
  </si>
  <si>
    <t>Total On-Line Space EOP</t>
  </si>
  <si>
    <t>Total On-Line Units</t>
  </si>
  <si>
    <t>NOI</t>
  </si>
  <si>
    <t>Total Expenses</t>
  </si>
  <si>
    <t>Expense Growth</t>
  </si>
  <si>
    <t>Revenue Growth Factor</t>
  </si>
  <si>
    <t>Expense Growth Factor</t>
  </si>
  <si>
    <t>Net Revenue</t>
  </si>
  <si>
    <t>Operating Margin</t>
  </si>
  <si>
    <t>Yield-to-Cost</t>
  </si>
  <si>
    <t>TIF Loan Capitalized Interest</t>
  </si>
  <si>
    <t>Construction Senior Loan Capitalized Interest</t>
  </si>
  <si>
    <t>Year from Completion</t>
  </si>
  <si>
    <t>Expense / CAM Reimbursement</t>
  </si>
  <si>
    <t>Market Residential</t>
  </si>
  <si>
    <t>IRB Loan</t>
  </si>
  <si>
    <t>Loan Sizing</t>
  </si>
  <si>
    <t>Permanent Bank Loan</t>
  </si>
  <si>
    <t>Affordable NOI</t>
  </si>
  <si>
    <t>Affordable Value</t>
  </si>
  <si>
    <t>Market Resi NOI</t>
  </si>
  <si>
    <t>Market Resi Value</t>
  </si>
  <si>
    <t>Retail Value</t>
  </si>
  <si>
    <t>Office Value</t>
  </si>
  <si>
    <t>Parking Value</t>
  </si>
  <si>
    <t>LTV Constraint Max. Proceeds</t>
  </si>
  <si>
    <t>Retail NOI</t>
  </si>
  <si>
    <t>Office NOI</t>
  </si>
  <si>
    <t>Parking NOI</t>
  </si>
  <si>
    <t>DSCR Constraint Max. Proceeds</t>
  </si>
  <si>
    <t>Year from Stabilization</t>
  </si>
  <si>
    <t>Max Annual Payment</t>
  </si>
  <si>
    <t>Max Permanent Loan Proceeds</t>
  </si>
  <si>
    <t>Room Expenses</t>
  </si>
  <si>
    <t>Undistributed Expenses</t>
  </si>
  <si>
    <t>G&amp;A</t>
  </si>
  <si>
    <t>Telecom</t>
  </si>
  <si>
    <t>Franchise Fees</t>
  </si>
  <si>
    <t>Utility Costs</t>
  </si>
  <si>
    <t>Maintenance</t>
  </si>
  <si>
    <t>Management Fees</t>
  </si>
  <si>
    <t>FF&amp;E Reserve</t>
  </si>
  <si>
    <t>Departmental Expenses (% of Relevant Revenue)</t>
  </si>
  <si>
    <t>Undistributed Expenses (% of Total Revenue)</t>
  </si>
  <si>
    <t>Reserves (% of Total Revenue)</t>
  </si>
  <si>
    <t>Conference Space (% of Relevant Revenue)</t>
  </si>
  <si>
    <t>Ramp-Up</t>
  </si>
  <si>
    <t>Year 1 Occupancy</t>
  </si>
  <si>
    <t>Year 1 ADR</t>
  </si>
  <si>
    <t>Stabilized ADR</t>
  </si>
  <si>
    <t>Year 2 Occupancy</t>
  </si>
  <si>
    <t>Year 2 ADR</t>
  </si>
  <si>
    <t>Hotel Growth</t>
  </si>
  <si>
    <t>% Available</t>
  </si>
  <si>
    <t>% On-Line</t>
  </si>
  <si>
    <t>Total Room Revenue</t>
  </si>
  <si>
    <t>Base ADR</t>
  </si>
  <si>
    <t>Adjusted ADR</t>
  </si>
  <si>
    <t>Annual Hotel Revenue</t>
  </si>
  <si>
    <t>Total Available Rooms</t>
  </si>
  <si>
    <t>F&amp;B + Other Expenses</t>
  </si>
  <si>
    <t>F&amp;B and Miscellaneous Revenue</t>
  </si>
  <si>
    <t>Conference Space Revenue</t>
  </si>
  <si>
    <t>Growth Factor</t>
  </si>
  <si>
    <t>Total Hotel Operational Revenue</t>
  </si>
  <si>
    <t>Hotel EBITDA (before Reserves)</t>
  </si>
  <si>
    <t>Total Operating Expenses</t>
  </si>
  <si>
    <t>Hotel Cash Flow after Reserves</t>
  </si>
  <si>
    <t>Hotel Value</t>
  </si>
  <si>
    <t>Maximum Projected Debt Service</t>
  </si>
  <si>
    <t>Total PILOT and Taxes</t>
  </si>
  <si>
    <t>Existing Taxes</t>
  </si>
  <si>
    <t>Total Stabilized Value</t>
  </si>
  <si>
    <r>
      <t>Total Stabilized NOI</t>
    </r>
    <r>
      <rPr>
        <vertAlign val="superscript"/>
        <sz val="12"/>
        <rFont val="Arial"/>
        <family val="2"/>
      </rPr>
      <t>1</t>
    </r>
  </si>
  <si>
    <t>1. Stabilized NOI incorporates hotel reserves (stabilized value is based on hotel EBITDA before reserves).</t>
  </si>
  <si>
    <t>% NOI</t>
  </si>
  <si>
    <t>% Value</t>
  </si>
  <si>
    <t>PILOT (including TIF) and Taxes</t>
  </si>
  <si>
    <t>Total Value</t>
  </si>
  <si>
    <t>Food Hall</t>
  </si>
  <si>
    <t>Blended Exit Cap</t>
  </si>
  <si>
    <t>Senior Construction Loan</t>
  </si>
  <si>
    <t>Senior Loan Balance BOP</t>
  </si>
  <si>
    <t>Interest</t>
  </si>
  <si>
    <t>Senior Loan Balance EOP</t>
  </si>
  <si>
    <t>Cash Flow after Debt Service</t>
  </si>
  <si>
    <t>Exit</t>
  </si>
  <si>
    <t>Gross Sale Proceeds</t>
  </si>
  <si>
    <t>Less: Sale Costs</t>
  </si>
  <si>
    <t>Less: Outstanding Debt</t>
  </si>
  <si>
    <t>Net Sale Proceeds</t>
  </si>
  <si>
    <t>Total Cash Flow to Equity</t>
  </si>
  <si>
    <t>Total Debt Service</t>
  </si>
  <si>
    <t>Funding</t>
  </si>
  <si>
    <t>Capital Events</t>
  </si>
  <si>
    <t>Amenity Fees and Laundry</t>
  </si>
  <si>
    <t>Levered Development Costs</t>
  </si>
  <si>
    <t>Levered Development Costs and Cash Flows</t>
  </si>
  <si>
    <t>Draw Schedule</t>
  </si>
  <si>
    <t>Equity Cash Flows</t>
  </si>
  <si>
    <t>Equity Draws</t>
  </si>
  <si>
    <t>Cash to Equity</t>
  </si>
  <si>
    <t>Total Equity Cash Flows</t>
  </si>
  <si>
    <t>Total Loan Size</t>
  </si>
  <si>
    <t>PnL</t>
  </si>
  <si>
    <t>Equity Multiple</t>
  </si>
  <si>
    <t>Levered IRR</t>
  </si>
  <si>
    <t>Total Phase Cash Flows</t>
  </si>
  <si>
    <r>
      <t>Owner's Contingency</t>
    </r>
    <r>
      <rPr>
        <vertAlign val="superscript"/>
        <sz val="12"/>
        <color theme="1"/>
        <rFont val="Arial"/>
        <family val="2"/>
      </rPr>
      <t>1</t>
    </r>
  </si>
  <si>
    <t>1. Customary to exclude demolition from owner's contingency</t>
  </si>
  <si>
    <t>% before Closing</t>
  </si>
  <si>
    <t>Taxes During Construction</t>
  </si>
  <si>
    <t>Construction Loan</t>
  </si>
  <si>
    <t>Hard Costs (Demolition)</t>
  </si>
  <si>
    <t>Credit Pricing</t>
  </si>
  <si>
    <t>Expenditures during Construction (excluding Predevelopment)</t>
  </si>
  <si>
    <r>
      <t>Fully Loaded Cap Rate</t>
    </r>
    <r>
      <rPr>
        <vertAlign val="superscript"/>
        <sz val="12"/>
        <rFont val="Arial"/>
        <family val="2"/>
      </rPr>
      <t>1</t>
    </r>
  </si>
  <si>
    <t>1. Based on guidance from the Hamilton County Auditor for previous TIF bond issuances.</t>
  </si>
  <si>
    <t>Equity Returns</t>
  </si>
  <si>
    <t>Project (Unlevered) Returns</t>
  </si>
  <si>
    <r>
      <t>Plus: Refinance Proceeds</t>
    </r>
    <r>
      <rPr>
        <vertAlign val="superscript"/>
        <sz val="12"/>
        <rFont val="Arial"/>
        <family val="2"/>
      </rPr>
      <t>1</t>
    </r>
  </si>
  <si>
    <t>Total Cost less Subsidies</t>
  </si>
  <si>
    <t>Number of Events per Year</t>
  </si>
  <si>
    <t>Live Work Units</t>
  </si>
  <si>
    <t>Live-Work Units (4-BR)</t>
  </si>
  <si>
    <t>STEM Charter School</t>
  </si>
  <si>
    <t>Phase II</t>
  </si>
  <si>
    <t>Public Park Space</t>
  </si>
  <si>
    <t>Total Draws</t>
  </si>
  <si>
    <t>Phase III</t>
  </si>
  <si>
    <t>Amenity Fees</t>
  </si>
  <si>
    <t>Laundry-Amenity / MR Occ. Mo.</t>
  </si>
  <si>
    <t>Laundry-Amenity / Aff. Occ. Mo.</t>
  </si>
  <si>
    <t>Total Development Budget (excl Parking Hard Costs)</t>
  </si>
  <si>
    <t>Hard Cost PU</t>
  </si>
  <si>
    <t>TDC PU</t>
  </si>
  <si>
    <t>TDC PSF</t>
  </si>
  <si>
    <t>Cost Growth</t>
  </si>
  <si>
    <t>Years to Inflate</t>
  </si>
  <si>
    <t>Inflation</t>
  </si>
  <si>
    <t>Operating Expenses and Replacement Reserves</t>
  </si>
  <si>
    <t>Operating Expenses and Replacement Reserves PU (Annual)</t>
  </si>
  <si>
    <t>Unlevered Development Costs and Cash Flows</t>
  </si>
  <si>
    <t>Unlevered Development Costs</t>
  </si>
  <si>
    <t>Unlevered IRR</t>
  </si>
  <si>
    <t>Levered Cash Flows</t>
  </si>
  <si>
    <t>Total Levered Cash Flows</t>
  </si>
  <si>
    <t>Unlevered Cash Flows</t>
  </si>
  <si>
    <t>Total Unlevered Cash Flows</t>
  </si>
  <si>
    <t>Equity Investment</t>
  </si>
  <si>
    <t>Tax Basis</t>
  </si>
  <si>
    <t>Balance BOP</t>
  </si>
  <si>
    <t>Cash Flow to Equity</t>
  </si>
  <si>
    <t>Balance EOP</t>
  </si>
  <si>
    <t>Sale Value</t>
  </si>
  <si>
    <t>Opportunity Zones</t>
  </si>
  <si>
    <t>Marginal Tax Rate</t>
  </si>
  <si>
    <t>Post-Tax OZ Cash Flows</t>
  </si>
  <si>
    <t>Post-Tax Non-OZ Cash Flows</t>
  </si>
  <si>
    <t>Income Taxes</t>
  </si>
  <si>
    <t>Cash Flow</t>
  </si>
  <si>
    <t>Depreciation</t>
  </si>
  <si>
    <t>Unlevered Opportunity Zone Cash Flows</t>
  </si>
  <si>
    <t>Depreciable Life</t>
  </si>
  <si>
    <t>Depreciable % of costs</t>
  </si>
  <si>
    <t>Capital Gains</t>
  </si>
  <si>
    <t>Capital Gains Taxes</t>
  </si>
  <si>
    <t>Deferred Prior Capital Gains</t>
  </si>
  <si>
    <t>Payment of Prior Capital Gains</t>
  </si>
  <si>
    <t>Reduction of Prior Capital Gains</t>
  </si>
  <si>
    <t>Eligible Prior Capital Gains Reductions</t>
  </si>
  <si>
    <t>Post-Tax Non-OZ Unlevered IRR</t>
  </si>
  <si>
    <t>Post-Tax OZ Unlevered IRR</t>
  </si>
  <si>
    <t>"Gross-Up" Pre-Tax OZ Unlevered IRR</t>
  </si>
  <si>
    <t>Workforce Rental Housing</t>
  </si>
  <si>
    <t>Affordable Rental Housing</t>
  </si>
  <si>
    <t>Affordable For-Sale Housing</t>
  </si>
  <si>
    <t>Market-Rate For Sale Housing</t>
  </si>
  <si>
    <t>Market-Rate Rental Housing</t>
  </si>
  <si>
    <t>Sale</t>
  </si>
  <si>
    <t>Soft Costs and Reserves</t>
  </si>
  <si>
    <t>Less: Sales Cost</t>
  </si>
  <si>
    <t>Total Unlevered Development Costs</t>
  </si>
  <si>
    <t>Levered Net Cash Flow</t>
  </si>
  <si>
    <t>Levered IRR Before Taxes</t>
  </si>
  <si>
    <t>Unlevered IRR Before Taxes</t>
  </si>
  <si>
    <t>Capitalized Financing Costs</t>
  </si>
  <si>
    <t>TDC Net of Subsidies</t>
  </si>
  <si>
    <t>Public Subsidies</t>
  </si>
  <si>
    <t>Levered TDC Net of Subsidies</t>
  </si>
  <si>
    <t>Tax Credits &amp; TIF Subsidies</t>
  </si>
  <si>
    <t>Unlevered Net Cash Flow</t>
  </si>
  <si>
    <t>Total Loan Proceeds</t>
  </si>
  <si>
    <r>
      <t>Current Site Value</t>
    </r>
    <r>
      <rPr>
        <b/>
        <vertAlign val="superscript"/>
        <sz val="12"/>
        <rFont val="Arial"/>
        <family val="2"/>
      </rPr>
      <t>2</t>
    </r>
    <r>
      <rPr>
        <b/>
        <sz val="12"/>
        <rFont val="Arial"/>
        <family val="2"/>
      </rPr>
      <t xml:space="preserve"> (start of Year 0)</t>
    </r>
  </si>
  <si>
    <t>Parcel</t>
  </si>
  <si>
    <t>Parcel B</t>
  </si>
  <si>
    <t>Parcel C</t>
  </si>
  <si>
    <t>Parcel D</t>
  </si>
  <si>
    <t>Parcel E</t>
  </si>
  <si>
    <t>Parcel F</t>
  </si>
  <si>
    <t>Parcel G</t>
  </si>
  <si>
    <t>Parcel H</t>
  </si>
  <si>
    <t>Parcel I</t>
  </si>
  <si>
    <t>Parcel J</t>
  </si>
  <si>
    <t>Parcel K</t>
  </si>
  <si>
    <t>Parcel M</t>
  </si>
  <si>
    <t>Parcel N</t>
  </si>
  <si>
    <t>Parcel O</t>
  </si>
  <si>
    <t>Parcel A1</t>
  </si>
  <si>
    <t>Parcel A2</t>
  </si>
  <si>
    <t>Parcel A3</t>
  </si>
  <si>
    <t>Parcel A4</t>
  </si>
  <si>
    <t>Podium Square Footage</t>
  </si>
  <si>
    <t>Tower Square Footage</t>
  </si>
  <si>
    <t>Parking Square Footage</t>
  </si>
  <si>
    <t>Gross Square Footages</t>
  </si>
  <si>
    <t>Net Square Footages</t>
  </si>
  <si>
    <t>Resi</t>
  </si>
  <si>
    <t>Efficiency</t>
  </si>
  <si>
    <t>Blend excl. Parking</t>
  </si>
  <si>
    <t>Check</t>
  </si>
  <si>
    <t>Traditional Retail</t>
  </si>
  <si>
    <t>Test Kitchen</t>
  </si>
  <si>
    <t>Studio</t>
  </si>
  <si>
    <t>1-BR</t>
  </si>
  <si>
    <t>2-BR</t>
  </si>
  <si>
    <t>3-BR</t>
  </si>
  <si>
    <t>Live-Work</t>
  </si>
  <si>
    <t>MR Resi</t>
  </si>
  <si>
    <t>Structural</t>
  </si>
  <si>
    <t>Surface</t>
  </si>
  <si>
    <t>Original Site</t>
  </si>
  <si>
    <t>Original Site or Developable</t>
  </si>
  <si>
    <t>Developable</t>
  </si>
  <si>
    <t>N/A</t>
  </si>
  <si>
    <t>Units Brought On-Line</t>
  </si>
  <si>
    <t>-</t>
  </si>
  <si>
    <r>
      <t>Project Buildout by Area</t>
    </r>
    <r>
      <rPr>
        <b/>
        <vertAlign val="superscript"/>
        <sz val="12"/>
        <rFont val="Arial"/>
        <family val="2"/>
      </rPr>
      <t>3</t>
    </r>
  </si>
  <si>
    <t xml:space="preserve">3. All buildout figures presented are for net rentable square feet. See the Parcel Breakdown or Assumptions tab for the buildout by gross square footage. </t>
  </si>
  <si>
    <t>Unit Hard Cost</t>
  </si>
  <si>
    <t>Hard Cost PSF</t>
  </si>
  <si>
    <r>
      <t>Unit TDC</t>
    </r>
    <r>
      <rPr>
        <b/>
        <vertAlign val="superscript"/>
        <sz val="12"/>
        <rFont val="Arial"/>
        <family val="2"/>
      </rPr>
      <t>4</t>
    </r>
  </si>
  <si>
    <r>
      <t>TDC</t>
    </r>
    <r>
      <rPr>
        <b/>
        <vertAlign val="superscript"/>
        <sz val="12"/>
        <rFont val="Arial"/>
        <family val="2"/>
      </rPr>
      <t>4</t>
    </r>
  </si>
  <si>
    <t>Structured and Surface Parking</t>
  </si>
  <si>
    <t>Demolition (included in Hard Costs below)</t>
  </si>
  <si>
    <t>Total Debt Service and Origination Fees</t>
  </si>
  <si>
    <t>Perm Loan Debt Service, Repayment, &amp; Origination Fees</t>
  </si>
  <si>
    <t>Loan Funding and Refinancing</t>
  </si>
  <si>
    <t>Blended Perm Loan to Value Ratio (LVR)</t>
  </si>
  <si>
    <t>Construction Phase</t>
  </si>
  <si>
    <t>Permanent Phase</t>
  </si>
  <si>
    <t>Public Subsidies (total)</t>
  </si>
  <si>
    <t>EB-5 Senior Loan</t>
  </si>
  <si>
    <t>Infrastructure Budget - Itemized</t>
  </si>
  <si>
    <t>Source</t>
  </si>
  <si>
    <t>Public Landscape</t>
  </si>
  <si>
    <t>High End</t>
  </si>
  <si>
    <t>Low End</t>
  </si>
  <si>
    <t>Others</t>
  </si>
  <si>
    <t>Street</t>
  </si>
  <si>
    <t>New Streets</t>
  </si>
  <si>
    <t>Existing Road Upgrade</t>
  </si>
  <si>
    <t>High</t>
  </si>
  <si>
    <t>Medium</t>
  </si>
  <si>
    <t>Low</t>
  </si>
  <si>
    <t>New Transit Station</t>
  </si>
  <si>
    <t>Utilities Connection</t>
  </si>
  <si>
    <t xml:space="preserve">Storm Water </t>
  </si>
  <si>
    <t>Cisterns (Pumping Included)</t>
  </si>
  <si>
    <t xml:space="preserve">Storm Water and Gray Water Pipe </t>
  </si>
  <si>
    <t>Brownwater Living Machines</t>
  </si>
  <si>
    <t>Infrastructure Cost - Private</t>
  </si>
  <si>
    <t>Infrastructure Cost - Public</t>
  </si>
  <si>
    <t>Cost Per Unit</t>
  </si>
  <si>
    <t>SF</t>
  </si>
  <si>
    <t>Per site</t>
  </si>
  <si>
    <t>LF</t>
  </si>
  <si>
    <t>Decking Cost Analysis</t>
  </si>
  <si>
    <t>Site</t>
  </si>
  <si>
    <t>Size (sqft)</t>
  </si>
  <si>
    <t>Decking cost (per sqft)</t>
  </si>
  <si>
    <t>Ventilation System</t>
  </si>
  <si>
    <t>Subtotal</t>
  </si>
  <si>
    <t>Structural Reinforcement</t>
  </si>
  <si>
    <t>Reinforced Area</t>
  </si>
  <si>
    <t>Depth of Caission (ft)</t>
  </si>
  <si>
    <t>Width of Caission (ft)</t>
  </si>
  <si>
    <t>Length of Structure Support (lf)</t>
  </si>
  <si>
    <t>Concrete, reinforced deep caission</t>
  </si>
  <si>
    <t xml:space="preserve">Brownwater Pipe </t>
  </si>
  <si>
    <t>Brownwater Pipe</t>
  </si>
  <si>
    <t>Public Realm Assumption</t>
  </si>
  <si>
    <t>Public Landscape &amp; Park</t>
  </si>
  <si>
    <t>Site Area</t>
  </si>
  <si>
    <t>Roads &amp; Transit Station</t>
  </si>
  <si>
    <t>FT</t>
  </si>
  <si>
    <t>CF</t>
  </si>
  <si>
    <t>Parcel #</t>
  </si>
  <si>
    <t>% of total area</t>
  </si>
  <si>
    <t>Acquisition Cost</t>
  </si>
  <si>
    <t>Total Lease Payment</t>
  </si>
  <si>
    <t>M</t>
  </si>
  <si>
    <t>N</t>
  </si>
  <si>
    <t>O (Part)</t>
  </si>
  <si>
    <t>Address</t>
  </si>
  <si>
    <t>308 Vine Street Garage</t>
  </si>
  <si>
    <t>48 E 3rd St Garage</t>
  </si>
  <si>
    <t>150E Third Street</t>
  </si>
  <si>
    <t>Lot 1 Parking Garage</t>
  </si>
  <si>
    <t>Parking Space</t>
  </si>
  <si>
    <t>Type</t>
  </si>
  <si>
    <t>Parking Garage</t>
  </si>
  <si>
    <t>Vacancy (%)</t>
  </si>
  <si>
    <t>Operating Margin (%)</t>
  </si>
  <si>
    <t>Annualized NOI</t>
  </si>
  <si>
    <t>Cap rate</t>
  </si>
  <si>
    <t>Current Use</t>
  </si>
  <si>
    <t>After Year 10</t>
  </si>
  <si>
    <t>Annual Lease Schedule</t>
  </si>
  <si>
    <t>Acquisition Cost - Summary</t>
  </si>
  <si>
    <r>
      <t>New Transit Station</t>
    </r>
    <r>
      <rPr>
        <vertAlign val="superscript"/>
        <sz val="12"/>
        <color rgb="FF000000"/>
        <rFont val="Arial"/>
        <family val="2"/>
      </rPr>
      <t>1</t>
    </r>
  </si>
  <si>
    <t>Blended rent as % of listing</t>
  </si>
  <si>
    <t>Listed parking rate per mth</t>
  </si>
  <si>
    <t>Rentable Area (sqft)</t>
  </si>
  <si>
    <t>Purchase of Class B Parking Garages</t>
  </si>
  <si>
    <t>Decking and Additional Support</t>
  </si>
  <si>
    <t>Total Infrastructure and Acquisition Costs</t>
  </si>
  <si>
    <t>Operating Expenses and Replacement Reserves PSF</t>
  </si>
  <si>
    <t>Square Footage for Demolition</t>
  </si>
  <si>
    <t>Hard Cost Total</t>
  </si>
  <si>
    <t>PGSF</t>
  </si>
  <si>
    <t>Blended</t>
  </si>
  <si>
    <t>(-) Parking</t>
  </si>
  <si>
    <t>HTC Equity</t>
  </si>
  <si>
    <t>Historic Tax Credit Equity</t>
  </si>
  <si>
    <t>Low-Income Housing Tax Credit Equity</t>
  </si>
  <si>
    <t>Federal New Markets Tax Credit Equity</t>
  </si>
  <si>
    <t>New Markets Tax Credit Equity</t>
  </si>
  <si>
    <t>Low-Income Housing Credit Equity</t>
  </si>
  <si>
    <t>QREs (Gut Rehab Hard Costs, Associated Developer Fee)</t>
  </si>
  <si>
    <t>Opportunity Zone Unlevered Pre-Tax IRR</t>
  </si>
  <si>
    <t>4. TDC includes pro-rated acquisition and infrastructure costs, hard costs, soft costs, financing costs, reserves, and developer fee.</t>
  </si>
  <si>
    <t>Opportunity Zone Fund Equity</t>
  </si>
  <si>
    <t>I - Full Service Hotel</t>
  </si>
  <si>
    <t>II - Limited-Service Hotel</t>
  </si>
  <si>
    <t>Public Benefits</t>
  </si>
  <si>
    <t>Market Rate Equivalent Revenue</t>
  </si>
  <si>
    <t>NPV</t>
  </si>
  <si>
    <t>Levered Opportunity Zone Cash Flows</t>
  </si>
  <si>
    <t>NOI less Interest</t>
  </si>
  <si>
    <t>Post-Tax OZ Levered IRR</t>
  </si>
  <si>
    <t>"Gross-Up" Pre-Tax OZ Levered IRR</t>
  </si>
  <si>
    <t>Sale Value and Refi (Return of Equity)</t>
  </si>
  <si>
    <t>Benefit of Income Tax Losses / (Gains)</t>
  </si>
  <si>
    <t>Sale and Refi Proceeds (Return of Equity)</t>
  </si>
  <si>
    <t>Cash Flow (Return on Equity)</t>
  </si>
  <si>
    <t>Post-Tax Non-OZ Levered IRR</t>
  </si>
  <si>
    <t>Post-Tax Levered OZ Cash Flows</t>
  </si>
  <si>
    <t>Post-Tax Levered Non-OZ Cash Flows</t>
  </si>
  <si>
    <t>Combined Pre-Tax Returns</t>
  </si>
  <si>
    <t>Combined Pre-Tax Equivalent Opportunity Zone Returns</t>
  </si>
  <si>
    <t>OZ Unlevered Post-Tax Cash Flows</t>
  </si>
  <si>
    <t>OZ Unlevered Post-Tax IRR</t>
  </si>
  <si>
    <t>Pre-Tax Equivalent IRR</t>
  </si>
  <si>
    <t>Total OZ Unlevered Post-Tax Cash Flows</t>
  </si>
  <si>
    <t>OZ Levered Post-Tax Cash Flows</t>
  </si>
  <si>
    <t>Cost</t>
  </si>
  <si>
    <t>Total Subsidies</t>
  </si>
  <si>
    <t>Exit Cap Rate</t>
  </si>
  <si>
    <t>Uses ($mm)</t>
  </si>
  <si>
    <t>Sources ($mm)</t>
  </si>
  <si>
    <t>Construction</t>
  </si>
  <si>
    <t>Senior Bank Loan</t>
  </si>
  <si>
    <t>Fund Equity</t>
  </si>
  <si>
    <t>Permanent</t>
  </si>
  <si>
    <t>Senior EB-5 Loan</t>
  </si>
  <si>
    <t>Senior IRB Loan</t>
  </si>
  <si>
    <t>Infrastructure</t>
  </si>
  <si>
    <t>Unlevered</t>
  </si>
  <si>
    <t>Levered</t>
  </si>
  <si>
    <t>Opportunity Zone Levered</t>
  </si>
  <si>
    <t>Public Parks</t>
  </si>
  <si>
    <t>Affordable Housing</t>
  </si>
  <si>
    <t>Public Benefit Space</t>
  </si>
  <si>
    <t>Affordable Housing Public Benefit Value</t>
  </si>
  <si>
    <t>Affordable Housing Revenue</t>
  </si>
  <si>
    <t>Discounted Rent in Affordable Units</t>
  </si>
  <si>
    <t>Combined</t>
  </si>
  <si>
    <t>Return of Equity and Exposure</t>
  </si>
  <si>
    <t>Phase III Equity Fundings</t>
  </si>
  <si>
    <t>Phase III Return of / on Equity</t>
  </si>
  <si>
    <t>Combined Equity Fundings</t>
  </si>
  <si>
    <t>Combined Return of / on Equity</t>
  </si>
  <si>
    <t>Phase II Equity Fundings</t>
  </si>
  <si>
    <t>Phase II Return of / on Equity</t>
  </si>
  <si>
    <t>Phase I Equity Fundings</t>
  </si>
  <si>
    <t>Phase I Return of / on Equity</t>
  </si>
  <si>
    <t>Total Equity Exposure</t>
  </si>
  <si>
    <t>Project Timeline</t>
  </si>
  <si>
    <t>Financial Performance</t>
  </si>
  <si>
    <t>Development Mix - Residential Mix (Units)</t>
  </si>
  <si>
    <t>Avg Unit Size (sqft）</t>
  </si>
  <si>
    <t>Financing Assumption</t>
  </si>
  <si>
    <t>Maximum LTV</t>
  </si>
  <si>
    <t>Maximum Loan by LTV Test</t>
  </si>
  <si>
    <t>Maximum Loan by DSCR Test</t>
  </si>
  <si>
    <t>Development Mix - Commercial (sqft)</t>
  </si>
  <si>
    <t>Development Mix - Others</t>
  </si>
  <si>
    <t>Avg Unit Size (sqft)</t>
  </si>
  <si>
    <t>Hotel (Rooms)</t>
  </si>
  <si>
    <t>Sources &amp; Uses</t>
  </si>
  <si>
    <t>%</t>
  </si>
  <si>
    <t>Predevelopment</t>
  </si>
  <si>
    <t>Sources</t>
  </si>
  <si>
    <t>Uses</t>
  </si>
  <si>
    <t>Parking (space)</t>
  </si>
  <si>
    <t>Market Rent Assumption - Residential</t>
  </si>
  <si>
    <t>Market Rent</t>
  </si>
  <si>
    <t>Rental Growth</t>
  </si>
  <si>
    <t>(%)</t>
  </si>
  <si>
    <t>（%）</t>
  </si>
  <si>
    <t>Market Rent Assumption - Commercial</t>
  </si>
  <si>
    <t>Lease Type</t>
  </si>
  <si>
    <t>Market Rent Assumption - Hotel</t>
  </si>
  <si>
    <t>Market Rent Assumption - Others</t>
  </si>
  <si>
    <t xml:space="preserve">Market Rent </t>
  </si>
  <si>
    <t>Per Unit</t>
  </si>
  <si>
    <t>Total Permanent Loan Amount</t>
  </si>
  <si>
    <t>Construction Loan Amount</t>
  </si>
  <si>
    <t>Projected Annual Debt Service</t>
  </si>
  <si>
    <t>Full Service Hotel</t>
  </si>
  <si>
    <t>Limited Service Hotel</t>
  </si>
  <si>
    <t>Boutique Hotel</t>
  </si>
  <si>
    <t>Full Service</t>
  </si>
  <si>
    <t>Limited Service</t>
  </si>
  <si>
    <t>Boutique</t>
  </si>
  <si>
    <t>III - Boutique Hotel</t>
  </si>
  <si>
    <t>NNN</t>
  </si>
  <si>
    <t>Mod. Gross</t>
  </si>
  <si>
    <t>OpEx Only</t>
  </si>
  <si>
    <t>Team Code: 192019</t>
  </si>
  <si>
    <t>Average Utilization (Draw)</t>
  </si>
  <si>
    <t>Full Build-Out</t>
  </si>
  <si>
    <t>Combined Breakdown by Asset Type</t>
  </si>
  <si>
    <t>Phase I Breakdown by Asset Type</t>
  </si>
  <si>
    <t>Yield-to-Cost after Subsidies</t>
  </si>
  <si>
    <t>IRR</t>
  </si>
  <si>
    <t>Levered IRR without Opportunity Zone</t>
  </si>
  <si>
    <t>Levered IRR with Opportunity Zone</t>
  </si>
  <si>
    <t>Phase II Breakdown by Asset Type</t>
  </si>
  <si>
    <t>Phase III Breakdown by Asset Type</t>
  </si>
  <si>
    <t xml:space="preserve"> </t>
  </si>
  <si>
    <t>Levered IRR after Opportunity Zone Benefit</t>
  </si>
  <si>
    <t>Levered IRR before Opportunity Zone Benefit</t>
  </si>
  <si>
    <t>Opportunity Zone Levered Pre-Tax IRR</t>
  </si>
  <si>
    <t>Rate (30 year am.)</t>
  </si>
  <si>
    <t>Rate (I/O)</t>
  </si>
  <si>
    <t>Senior Permanent Bank Loan</t>
  </si>
  <si>
    <t>Conventional Retail</t>
  </si>
  <si>
    <t>Space Absorbed</t>
  </si>
  <si>
    <t>Rooms Absorbed</t>
  </si>
  <si>
    <t>* To acquire from the city and county at $1 acquisiton cost each phase</t>
  </si>
  <si>
    <t>Stabilized Mixed-Use Component NOI</t>
  </si>
  <si>
    <t>Estimated Mixed-Use Component Value</t>
  </si>
  <si>
    <t>Stabilized Hotel Component NOI</t>
  </si>
  <si>
    <t>Estimated Hotel Component Value</t>
  </si>
  <si>
    <t>Mixed-Use Component</t>
  </si>
  <si>
    <t>Hotel Component</t>
  </si>
  <si>
    <t>Mixed-Use Component NOI</t>
  </si>
  <si>
    <t>1. For simplicity, all refinance proceeds modelled as part of the mixed-income component.</t>
  </si>
  <si>
    <t>Total Hotel Component Revenue</t>
  </si>
  <si>
    <t>Co-living Units (4-BR)</t>
  </si>
  <si>
    <t>Penthouses</t>
  </si>
  <si>
    <t>Annual Gross Rent</t>
  </si>
  <si>
    <t>Retail (gifts &amp; sourvenirs)</t>
  </si>
  <si>
    <t>Coworking Spaces</t>
  </si>
  <si>
    <t>Corporate Space</t>
  </si>
  <si>
    <t>School of Arts</t>
  </si>
  <si>
    <t>Public Facilities</t>
  </si>
  <si>
    <t>School</t>
  </si>
  <si>
    <t>building num</t>
  </si>
  <si>
    <t xml:space="preserve">building name </t>
  </si>
  <si>
    <t>floor</t>
  </si>
  <si>
    <t>section1</t>
  </si>
  <si>
    <t>total sqf</t>
  </si>
  <si>
    <t>function 1</t>
  </si>
  <si>
    <t>Cubikko</t>
  </si>
  <si>
    <t>1f</t>
  </si>
  <si>
    <t xml:space="preserve">Station </t>
  </si>
  <si>
    <t>plan1</t>
  </si>
  <si>
    <t>plan2</t>
  </si>
  <si>
    <t>square meters</t>
  </si>
  <si>
    <t xml:space="preserve">2f </t>
  </si>
  <si>
    <t xml:space="preserve">retail-retail for station </t>
  </si>
  <si>
    <t>retail</t>
  </si>
  <si>
    <t>S 3f-9f(34.29)</t>
  </si>
  <si>
    <t>office</t>
  </si>
  <si>
    <t>N 3f-11f</t>
  </si>
  <si>
    <t xml:space="preserve">residential - sale </t>
  </si>
  <si>
    <t>total</t>
  </si>
  <si>
    <t>Wynwood Billboard</t>
  </si>
  <si>
    <t>residential - rent</t>
  </si>
  <si>
    <t xml:space="preserve">Central Platform </t>
  </si>
  <si>
    <t>residential</t>
  </si>
  <si>
    <t xml:space="preserve">Art Wynwood + Wynwood History Museum </t>
  </si>
  <si>
    <t>1-2f</t>
  </si>
  <si>
    <t xml:space="preserve">public-wynwood museum </t>
  </si>
  <si>
    <t xml:space="preserve">station </t>
  </si>
  <si>
    <t>3-6f</t>
  </si>
  <si>
    <t>public facilities</t>
  </si>
  <si>
    <t>7f</t>
  </si>
  <si>
    <t xml:space="preserve">public-visitor center </t>
  </si>
  <si>
    <t>parking</t>
  </si>
  <si>
    <t>8-10f</t>
  </si>
  <si>
    <t xml:space="preserve">hotel </t>
  </si>
  <si>
    <t>Wynwood Plaza</t>
  </si>
  <si>
    <t>Wynwood Ribbon</t>
  </si>
  <si>
    <t>Golf Cart Loop</t>
  </si>
  <si>
    <t>Art Gallery + Retail( Art-oriented)  + Co-Working (Art/Design Studio )</t>
  </si>
  <si>
    <t>retail-retail for art&amp;design work, art gallery + retail</t>
  </si>
  <si>
    <t>2-6f</t>
  </si>
  <si>
    <t>office-co-working spaces</t>
  </si>
  <si>
    <t>Incubator</t>
  </si>
  <si>
    <t>2-4f</t>
  </si>
  <si>
    <t xml:space="preserve">office-incubator </t>
  </si>
  <si>
    <t>5-10f</t>
  </si>
  <si>
    <t xml:space="preserve">Co-Living </t>
  </si>
  <si>
    <t>1-5f</t>
  </si>
  <si>
    <t xml:space="preserve">parking </t>
  </si>
  <si>
    <t>Affordable &amp; Coliving Units</t>
  </si>
  <si>
    <t>6-9f</t>
  </si>
  <si>
    <t xml:space="preserve">rent residential-co-living </t>
  </si>
  <si>
    <t>Area (m2)</t>
  </si>
  <si>
    <t>Type (m2)</t>
  </si>
  <si>
    <t>check</t>
  </si>
  <si>
    <t>2f</t>
  </si>
  <si>
    <t>residential facilities</t>
  </si>
  <si>
    <t>3-5f</t>
  </si>
  <si>
    <t>2-5f</t>
  </si>
  <si>
    <t>sq ft</t>
  </si>
  <si>
    <t>$</t>
  </si>
  <si>
    <t>$/sq ft</t>
  </si>
  <si>
    <t xml:space="preserve">Affordable Housing </t>
  </si>
  <si>
    <t xml:space="preserve">parking for residential </t>
  </si>
  <si>
    <t>7-9f</t>
  </si>
  <si>
    <t>Affordable Housing - For sale</t>
  </si>
  <si>
    <t xml:space="preserve">residential building </t>
  </si>
  <si>
    <t>3-12f</t>
  </si>
  <si>
    <t>Natiivo</t>
  </si>
  <si>
    <t>1-4f</t>
  </si>
  <si>
    <t>5-8f</t>
  </si>
  <si>
    <t>air bnb</t>
  </si>
  <si>
    <t>hotel1</t>
  </si>
  <si>
    <t xml:space="preserve">retail-Street shops，2nd floor restaurant </t>
  </si>
  <si>
    <t>hotel</t>
  </si>
  <si>
    <t>7-12f</t>
  </si>
  <si>
    <t>hotel2</t>
  </si>
  <si>
    <t>retail-Street shops</t>
  </si>
  <si>
    <t>Midtown Plaza - A</t>
  </si>
  <si>
    <t>1-3f</t>
  </si>
  <si>
    <t xml:space="preserve">retail-shopping mall </t>
  </si>
  <si>
    <t>4-23f</t>
  </si>
  <si>
    <t xml:space="preserve">office </t>
  </si>
  <si>
    <t>Midtown Plaza - B</t>
  </si>
  <si>
    <t>3-23f</t>
  </si>
  <si>
    <t>Midtown Plaza - C</t>
  </si>
  <si>
    <t>1-8f</t>
  </si>
  <si>
    <t xml:space="preserve">parking for commercial building </t>
  </si>
  <si>
    <t>Area (sf)</t>
  </si>
  <si>
    <t>Type (sf)</t>
  </si>
  <si>
    <t>9-23f</t>
  </si>
  <si>
    <t>Midtown Plaza - Ascott</t>
  </si>
  <si>
    <t>New Transit/ Last Mile Transit Spot</t>
  </si>
  <si>
    <t>Multifamily</t>
  </si>
  <si>
    <t>Affordable Housing &amp; Co-living Unit Mix</t>
  </si>
  <si>
    <t>Gallery, Museum &amp; Exhibition Center</t>
  </si>
  <si>
    <t>Annual Gallery, Museum &amp; Exhibition Rent</t>
  </si>
  <si>
    <t>Gallery &amp; Museum</t>
  </si>
  <si>
    <t>Affordable Residential &amp; Coliving</t>
  </si>
  <si>
    <t>Multifamily Vacancy</t>
  </si>
  <si>
    <t>Multifamily Growth</t>
  </si>
  <si>
    <t xml:space="preserve">Multifamily </t>
  </si>
  <si>
    <t>Multifamily-sale</t>
  </si>
  <si>
    <t xml:space="preserve">Multifamily-sale </t>
  </si>
  <si>
    <t>School Revenue Bond Loan</t>
  </si>
  <si>
    <t>Light School</t>
  </si>
  <si>
    <t>Stabilized School Component NOI</t>
  </si>
  <si>
    <t>Estimated School Component Value</t>
  </si>
  <si>
    <t>School Vacancy</t>
  </si>
  <si>
    <t>School Growth</t>
  </si>
  <si>
    <t>School Reimbursement</t>
  </si>
  <si>
    <t>Tax-Exempt School Revenue Bond Loan</t>
  </si>
  <si>
    <t>Annual School Rent</t>
  </si>
  <si>
    <t>School Value</t>
  </si>
  <si>
    <t>School NOI</t>
  </si>
  <si>
    <t>School Component</t>
  </si>
  <si>
    <t>Gallery &amp; Museum Facility</t>
  </si>
  <si>
    <t>Retail and Gallery &amp; Museum Facility</t>
  </si>
  <si>
    <t>Gallery &amp; Museum Space (sqft)</t>
  </si>
  <si>
    <t>Gallery &amp; Museum Facility Vacancy</t>
  </si>
  <si>
    <t>Gallery &amp; Museum Facility Growth</t>
  </si>
  <si>
    <t>Gallery &amp; Museum Facility Reimbursement</t>
  </si>
  <si>
    <t>Sports Museum / Gallery &amp; Museum Rec Center</t>
  </si>
  <si>
    <t>public--exhibition spaces/Gallery &amp; Museum center</t>
  </si>
  <si>
    <t xml:space="preserve">public-Gallery &amp; Museum office </t>
  </si>
  <si>
    <t xml:space="preserve">Gallery &amp; Museum Facilities </t>
  </si>
  <si>
    <t xml:space="preserve">retail for the Gallery &amp; Museum </t>
  </si>
  <si>
    <t>Gallery &amp; Museum Facility Value</t>
  </si>
  <si>
    <t>Gallery &amp; Museum Facility NOI</t>
  </si>
  <si>
    <t>City of Miami Grant</t>
  </si>
  <si>
    <t>1. Calculated based on overall cost estimate for 7 stations along Oasis Rail Line in Miami.</t>
  </si>
  <si>
    <t>Affordable Housing Loan</t>
  </si>
  <si>
    <t>Credit as % of Hard Costs for Affordable Housing Dev.</t>
  </si>
  <si>
    <t>Market Multifamily Mix</t>
  </si>
  <si>
    <t>Florida Housing Tax Credit</t>
  </si>
  <si>
    <t>9% per Unit</t>
  </si>
  <si>
    <t>Miami Property Tax Abatement Program</t>
  </si>
  <si>
    <t>Wynwood or Edgewater</t>
  </si>
  <si>
    <t># on Map</t>
  </si>
  <si>
    <t>Required</t>
  </si>
  <si>
    <t>Folio</t>
  </si>
  <si>
    <t>Sub-Division</t>
  </si>
  <si>
    <t>Property Address</t>
  </si>
  <si>
    <t>Owner Name 1</t>
  </si>
  <si>
    <t>Owner Name 2</t>
  </si>
  <si>
    <t>PA Primary Zone</t>
  </si>
  <si>
    <t>Primary Land Use</t>
  </si>
  <si>
    <t>Lot Size #</t>
  </si>
  <si>
    <t>Lot Size</t>
  </si>
  <si>
    <t xml:space="preserve">2019 Land Value	</t>
  </si>
  <si>
    <t>Prorata</t>
  </si>
  <si>
    <t>2019 Building Value</t>
  </si>
  <si>
    <t>Extra Feature Value</t>
  </si>
  <si>
    <t>2019 Market Value</t>
  </si>
  <si>
    <t>Muni Zone</t>
  </si>
  <si>
    <t xml:space="preserve">
Community Development District</t>
  </si>
  <si>
    <t>Community Redevelopment Area</t>
  </si>
  <si>
    <t>Empowerment Zone</t>
  </si>
  <si>
    <t>Enterprise Zone</t>
  </si>
  <si>
    <t>Urban Development</t>
  </si>
  <si>
    <t>Zoning Code</t>
  </si>
  <si>
    <t>Existing Land Use</t>
  </si>
  <si>
    <t>Edgewater</t>
  </si>
  <si>
    <t>No</t>
  </si>
  <si>
    <t>01-3125-004-0300</t>
  </si>
  <si>
    <t>WESTERN BLVD TR</t>
  </si>
  <si>
    <t>154 NE 29 ST; 160 NE 29 ST; 166 NE 29 ST; 172 NE 29 ST; 178 NE 29 ST; 2816 NE 2 AVE; 2830 NE 2 AVE; 180 NE 29 ST</t>
  </si>
  <si>
    <t>MIAMI MIDTOWN 29 LLC C/O THE MORGAN GROUP INC</t>
  </si>
  <si>
    <t>6110 COMM/RESIDENTIAL-DESIGN D</t>
  </si>
  <si>
    <t>0303 MULTIFAMILY 10 UNITS PLUS : MULTIFAMILY 3 OR MORE UNITS</t>
  </si>
  <si>
    <t>74,326 Sq.Ft</t>
  </si>
  <si>
    <t>T6-8-O; T6-12-O</t>
  </si>
  <si>
    <t>NONE</t>
  </si>
  <si>
    <t>NORTH CENTRAL</t>
  </si>
  <si>
    <t>CENTRAL</t>
  </si>
  <si>
    <t>INSIDE URBAN DEVELOPMENT BOUNDARY</t>
  </si>
  <si>
    <t>T6-12-O -</t>
  </si>
  <si>
    <t>35 - MULTI-FAMILY, HIGH DENSITY (OVER 25 DU/GROSS ACRE)</t>
  </si>
  <si>
    <t>01-3125-004-0021</t>
  </si>
  <si>
    <t>186 NE 29 ST</t>
  </si>
  <si>
    <t>LUCIA PLA</t>
  </si>
  <si>
    <t>1209 MIXED USE-STORE/RESIDENTIAL : MIXED USE - RESIDENTIAL</t>
  </si>
  <si>
    <t>5,600 Sq.Ft</t>
  </si>
  <si>
    <t>T6-12-O</t>
  </si>
  <si>
    <t>110 - SALES AND SERVICES (WHOLESALE FACILITIES, SPOT COMMERCIAL, STRIP COMMERCIAL, NEIGHBORHOOD SHOPPING CENTERS/PLAZAS). EXCLUDES OFFICE FACILITIES</t>
  </si>
  <si>
    <t>01-3125-005-0010</t>
  </si>
  <si>
    <t>FLAGLER PARK</t>
  </si>
  <si>
    <t>2800 NE 2 AVE</t>
  </si>
  <si>
    <t>JJK 2800 NE 2ND LLC</t>
  </si>
  <si>
    <t>KB 2800 NE 2ND LLC</t>
  </si>
  <si>
    <t>1111 STORE : RETAIL OUTLET</t>
  </si>
  <si>
    <t>10,500 Sq.Ft</t>
  </si>
  <si>
    <t>Yes</t>
  </si>
  <si>
    <t>01-3125-006-0080</t>
  </si>
  <si>
    <t>HALCYON HGTS</t>
  </si>
  <si>
    <t>127 NE 27 ST</t>
  </si>
  <si>
    <t>MILLER MACHINERY &amp; SUPPLY CO</t>
  </si>
  <si>
    <t>6100 COMMERCIAL - NEIGHBORHOOD</t>
  </si>
  <si>
    <t>4837 WAREHOUSE TERMINAL OR STG : WAREHOUSE OR STORAGE</t>
  </si>
  <si>
    <t>36,753 Sq.Ft</t>
  </si>
  <si>
    <t>T6-8-O</t>
  </si>
  <si>
    <t>T6-8-O -</t>
  </si>
  <si>
    <t>320 - INDUSTRIAL INTENSIVE, HEAVY-LIGHT MANUFACTURING, AND WAREHOUSING-STORAGE TYPE OF USE</t>
  </si>
  <si>
    <t>01-3125-005-0150</t>
  </si>
  <si>
    <t>144 NE 28 ST</t>
  </si>
  <si>
    <t>0081 VACANT RESIDENTIAL : VACANT LAND</t>
  </si>
  <si>
    <t>2,188 Sq.Ft</t>
  </si>
  <si>
    <t>804 - VACANT, NON-PROTECTED, PRIVATELY-OWNED</t>
  </si>
  <si>
    <t>01-3125-005-0130</t>
  </si>
  <si>
    <t>146 NE 28 ST</t>
  </si>
  <si>
    <t>2,360 Sq.Ft</t>
  </si>
  <si>
    <t>01-3125-005-0090</t>
  </si>
  <si>
    <t>148 NE 28 ST</t>
  </si>
  <si>
    <t>RAMMOS HOLDCO INC</t>
  </si>
  <si>
    <t>4,688 Sq.Ft</t>
  </si>
  <si>
    <t>01-3125-005-0070</t>
  </si>
  <si>
    <t>156 NE 28 ST</t>
  </si>
  <si>
    <t>156 NE 28 ST LLC</t>
  </si>
  <si>
    <t>1081 VACANT LAND - COMMERCIAL : VACANT LAND</t>
  </si>
  <si>
    <t>1,875 Sq.Ft</t>
  </si>
  <si>
    <t>11 - SINGLE-FAMILY, HIGH DENSITY (OVER 5 DU/GROSS ACRE, OTHER THAN TOWNHOUSES, DUPLEXES AND MOBILE HOMES)</t>
  </si>
  <si>
    <t>01-3125-005-0050</t>
  </si>
  <si>
    <t>160 NE 28 ST</t>
  </si>
  <si>
    <t>MAGGIE SHEA</t>
  </si>
  <si>
    <t>0101 RESIDENTIAL - SINGLE FAMILY : 1 UNIT</t>
  </si>
  <si>
    <t>1,750 Sq.Ft</t>
  </si>
  <si>
    <t>01-3125-005-0030</t>
  </si>
  <si>
    <t>166 NE 28 ST</t>
  </si>
  <si>
    <t>27EDGEWATER LLC</t>
  </si>
  <si>
    <t>3,500 Sq.Ft</t>
  </si>
  <si>
    <t>01-3125-005-0020</t>
  </si>
  <si>
    <t>2728 NE 2 AVE</t>
  </si>
  <si>
    <t>510 - MUNICIPAL OPERATED PARKS</t>
  </si>
  <si>
    <t>01-3125-006-0060</t>
  </si>
  <si>
    <t>151 NE 27 ST</t>
  </si>
  <si>
    <t>14,000 Sq.Ft</t>
  </si>
  <si>
    <t>01-3125-006-0050</t>
  </si>
  <si>
    <t>159 NE 27 ST</t>
  </si>
  <si>
    <t>7,000 Sq.Ft</t>
  </si>
  <si>
    <t>01-3125-006-0040</t>
  </si>
  <si>
    <t>161 NE 27 ST</t>
  </si>
  <si>
    <t>01-3125-006-0030</t>
  </si>
  <si>
    <t>169 NE 27 ST</t>
  </si>
  <si>
    <t>1066 VACANT LAND - COMMERCIAL : EXTRA FEA OTHER THAN PARKING</t>
  </si>
  <si>
    <t>17,550 Sq.Ft</t>
  </si>
  <si>
    <t>01-3125-007-0100</t>
  </si>
  <si>
    <t>POMELO PARK</t>
  </si>
  <si>
    <t>125 NE 26 ST</t>
  </si>
  <si>
    <t>52,250 Sq.Ft</t>
  </si>
  <si>
    <t>01-3125-006-0190</t>
  </si>
  <si>
    <t>130 NE 27 ST</t>
  </si>
  <si>
    <t>01-3125-006-0210</t>
  </si>
  <si>
    <t>144 NE 27 ST</t>
  </si>
  <si>
    <t>01-3125-006-0220</t>
  </si>
  <si>
    <t>150 NE 27 ST</t>
  </si>
  <si>
    <t>0803 MULTIFAMILY 2-9 UNITS : MULTIFAMILY 3 OR MORE UNITS</t>
  </si>
  <si>
    <t>30 - MULTI-FAMILY, LOW-DENSITY (UNDER 25 DU/GROSS ACRE)</t>
  </si>
  <si>
    <t>01-3125-006-0230</t>
  </si>
  <si>
    <t>156 NE 27 ST</t>
  </si>
  <si>
    <t>0802 MULTIFAMILY 2-9 UNITS : 2 LIVING UNITS</t>
  </si>
  <si>
    <t>01-3125-006-0240</t>
  </si>
  <si>
    <t>186 NE 27 ST</t>
  </si>
  <si>
    <t>Y &amp; K ENTERPRISES INC</t>
  </si>
  <si>
    <t>01-3125-006-0010</t>
  </si>
  <si>
    <t>192 NE 27 ST</t>
  </si>
  <si>
    <t>11,726 Sq.Ft</t>
  </si>
  <si>
    <t>01-3125-006-0020</t>
  </si>
  <si>
    <t>2634 NE 2 AV</t>
  </si>
  <si>
    <t>5,823 Sq.Ft</t>
  </si>
  <si>
    <t>01-3125-007-0110</t>
  </si>
  <si>
    <t>145 NE 26 ST</t>
  </si>
  <si>
    <t>6,800 Sq.Ft</t>
  </si>
  <si>
    <t>01-3125-007-0130</t>
  </si>
  <si>
    <t>157 NE 26 ST</t>
  </si>
  <si>
    <t>1,620 Sq.Ft</t>
  </si>
  <si>
    <t>Temporarily Unavailable</t>
  </si>
  <si>
    <t>01-3125-007-0170</t>
  </si>
  <si>
    <t>2,974 Sq.Ft</t>
  </si>
  <si>
    <t>01-3125-007-0150</t>
  </si>
  <si>
    <t>161 NE 26 ST</t>
  </si>
  <si>
    <t>4,501 Sq.Ft</t>
  </si>
  <si>
    <t xml:space="preserve">01-3125-007-0180 </t>
  </si>
  <si>
    <t>167 NE 26 ST</t>
  </si>
  <si>
    <t>8,090 Sq.Ft</t>
  </si>
  <si>
    <t xml:space="preserve">01-3125-007-0190 </t>
  </si>
  <si>
    <t>189 NE 26 ST</t>
  </si>
  <si>
    <t>GATO ENCERRADO LLC</t>
  </si>
  <si>
    <t>9,930 Sq.Ft</t>
  </si>
  <si>
    <t>01-3125-007-0200</t>
  </si>
  <si>
    <t>2626 NE 2 AV</t>
  </si>
  <si>
    <t>MARIO A ARBER TRS</t>
  </si>
  <si>
    <t>13,050 Sq.Ft</t>
  </si>
  <si>
    <t>01-3125-007-0210</t>
  </si>
  <si>
    <t>2600 NE 2 AV</t>
  </si>
  <si>
    <t>MIDTOWN PROPERTY 21 LLC</t>
  </si>
  <si>
    <t>6981 CONTAINER NURSERY ABOVE-GR : VACANT LAND</t>
  </si>
  <si>
    <t>14,154.4 Sq.Ft</t>
  </si>
  <si>
    <t>25 (split)</t>
  </si>
  <si>
    <t>01-3125-007-0120</t>
  </si>
  <si>
    <t>153 NE 26 ST</t>
  </si>
  <si>
    <t>5,538 Sq.Ft</t>
  </si>
  <si>
    <t>Wynwood</t>
  </si>
  <si>
    <t>01-3125-004-0130</t>
  </si>
  <si>
    <t>2827 N MIAMI AVE</t>
  </si>
  <si>
    <t>LEEMA HOLDINGS GROUP LLC</t>
  </si>
  <si>
    <t>3,250 Sq.Ft</t>
  </si>
  <si>
    <t>440 - HOUSES OF WORSHIP AND RELIGIOUS.</t>
  </si>
  <si>
    <t>01-3125-004-0150</t>
  </si>
  <si>
    <t>10 NE 29 ST</t>
  </si>
  <si>
    <t>3,450 Sq.Ft</t>
  </si>
  <si>
    <t>804 - VACANT, NON-PROTECTED, PRIVATELY-OWNED.</t>
  </si>
  <si>
    <t>01-3125-004-0160</t>
  </si>
  <si>
    <t>20 NE 29 ST</t>
  </si>
  <si>
    <t>MIAMI-DADE COUNTY ISD R/E MGMT</t>
  </si>
  <si>
    <t>8080 VACANT GOVERNMENTAL : VACANT LAND - GOVERNMENTAL</t>
  </si>
  <si>
    <t>6,900 Sq.Ft</t>
  </si>
  <si>
    <t>801 - VACANT GOVERNMENT OWNED OR CONTROLLED</t>
  </si>
  <si>
    <t>01-3125-004-0170</t>
  </si>
  <si>
    <t>28 NE 29 ST</t>
  </si>
  <si>
    <t>29 STREET WAREHOUSES LLC</t>
  </si>
  <si>
    <t>2111 RESTAURANT OR CAFETERIA : RETAIL OUTLET</t>
  </si>
  <si>
    <t>01-3125-004-0180</t>
  </si>
  <si>
    <t>40 NE 29 ST</t>
  </si>
  <si>
    <t>2865 PARKING LOT/MOBILE HOME PARK : PARKING LOT</t>
  </si>
  <si>
    <t>13,800 Sq.Ft</t>
  </si>
  <si>
    <t>650 - PARKING - PUBLIC AND PRIVATE GARAGES AND LOTS</t>
  </si>
  <si>
    <t xml:space="preserve">01-3125-004-0190 </t>
  </si>
  <si>
    <t xml:space="preserve">44 NE 29 ST </t>
  </si>
  <si>
    <t xml:space="preserve">29 ST WAREHOUSE LLC </t>
  </si>
  <si>
    <t xml:space="preserve">T6-8-O - </t>
  </si>
  <si>
    <t xml:space="preserve"> 	804 - VACANT, NON-PROTECTED, PRIVATELY-OWNED.</t>
  </si>
  <si>
    <t>01-3125-004-0200</t>
  </si>
  <si>
    <t>50 NE 29 ST</t>
  </si>
  <si>
    <t>01-3125-004-0220</t>
  </si>
  <si>
    <t>80 NE 29 ST; 82 NE 29 ST</t>
  </si>
  <si>
    <t>01-3125-004-0230</t>
  </si>
  <si>
    <t>84 NE 29 ST</t>
  </si>
  <si>
    <t>29TH STREET WAREHOUSES LLC C/O LOMBARDI PROPERTIES</t>
  </si>
  <si>
    <t>01-3125-004-0240</t>
  </si>
  <si>
    <t>100 NE 29 ST; 94 NE 29 ST</t>
  </si>
  <si>
    <t>101 NE 28 STREET LLC</t>
  </si>
  <si>
    <t>24,288 Sq.Ft</t>
  </si>
  <si>
    <t>01-3125-004-0140</t>
  </si>
  <si>
    <t>2817 N MIAMI AVE</t>
  </si>
  <si>
    <t>7,106 Sq.Ft</t>
  </si>
  <si>
    <t>412 - PRIVATE SCHOOLS, INCLUDING PLAYGROUNDS (K-12, VOCATIONAL ED., DAY CARE AND CHILD NURSERIES)</t>
  </si>
  <si>
    <t>01-3125-005-0510</t>
  </si>
  <si>
    <t>2811 N MIAMI AVE</t>
  </si>
  <si>
    <t>7241 EDUCATIONAL/SCIENTIFIC - EX : EDUCATIONAL - PRIVATE</t>
  </si>
  <si>
    <t>5,250 Sq.Ft</t>
  </si>
  <si>
    <t>01-3125-005-0470</t>
  </si>
  <si>
    <t>17 NE 28 ST</t>
  </si>
  <si>
    <t>4081 VACANT LAND - INDUSTRIAL : VACANT LAND</t>
  </si>
  <si>
    <t>01-3125-005-0480</t>
  </si>
  <si>
    <t>21 NE 28 ST</t>
  </si>
  <si>
    <t>6101 CEN-PEDESTRIAN ORIENTATIO</t>
  </si>
  <si>
    <t>825 Sq.Ft</t>
  </si>
  <si>
    <t>T5-O</t>
  </si>
  <si>
    <t>T5-O -</t>
  </si>
  <si>
    <t>01-3125-005-0450</t>
  </si>
  <si>
    <t>25 NE 28 ST</t>
  </si>
  <si>
    <t>UN MELON EN WYNWOOD LLC</t>
  </si>
  <si>
    <t>01-3125-005-0420</t>
  </si>
  <si>
    <t>31 NE 28 ST</t>
  </si>
  <si>
    <t>JAMISON PROPERTIES LLC</t>
  </si>
  <si>
    <t>1713 OFFICE BUILDING - ONE STORY : OFFICE BUILDING</t>
  </si>
  <si>
    <t>342 - INDUSTRIAL INTENSIVE, OFFICE TYPE OF USE</t>
  </si>
  <si>
    <t>01-3125-005-0380</t>
  </si>
  <si>
    <t>37 NE 28 ST</t>
  </si>
  <si>
    <t>1211 MIXED USE-STORE/RESIDENTIAL : RETAIL OUTLET</t>
  </si>
  <si>
    <t>01-3125-005-0360</t>
  </si>
  <si>
    <t>59 NE 28 ST</t>
  </si>
  <si>
    <t>29 ST WAREHOUSES LLC</t>
  </si>
  <si>
    <t>01-3125-005-0350</t>
  </si>
  <si>
    <t>61 NE 28 ST</t>
  </si>
  <si>
    <t>01-3125-005-0330</t>
  </si>
  <si>
    <t>75 NE 28 ST</t>
  </si>
  <si>
    <t>01-3125-005-0300</t>
  </si>
  <si>
    <t>79 NE 28 ST</t>
  </si>
  <si>
    <t>01-3125-005-0280</t>
  </si>
  <si>
    <t>89 NE 28 ST</t>
  </si>
  <si>
    <t>WYNWOOD SPACES LLC</t>
  </si>
  <si>
    <t>339 - INDUSTRIAL EXTENSIVE</t>
  </si>
  <si>
    <t>01-3125-005-0270</t>
  </si>
  <si>
    <t>93 NE 28 ST</t>
  </si>
  <si>
    <t>01-3125-005-0250</t>
  </si>
  <si>
    <t>97 NE 28 ST</t>
  </si>
  <si>
    <t>01-3125-005-0230</t>
  </si>
  <si>
    <t>101 NE 28 ST</t>
  </si>
  <si>
    <t>101 NE 28 ST LLC</t>
  </si>
  <si>
    <t>7,070 Sq.Ft</t>
  </si>
  <si>
    <t>01-3125-006-0130</t>
  </si>
  <si>
    <t>2751 N MIAMI AVE</t>
  </si>
  <si>
    <t>OMM PROJECT INC</t>
  </si>
  <si>
    <t>4132 LIGHT MANUFACTURING : LIGHT MFG &amp; FOOD PROCESSING</t>
  </si>
  <si>
    <t>24,808 Sq.Ft</t>
  </si>
  <si>
    <t>01-3125-005-0490</t>
  </si>
  <si>
    <t>20 NE 28 ST</t>
  </si>
  <si>
    <t>01-3125-005-0460</t>
  </si>
  <si>
    <t>24 NE 28 ST</t>
  </si>
  <si>
    <t>01-3125-005-0440</t>
  </si>
  <si>
    <t>28 NE 28 ST; 30 NE 28 ST</t>
  </si>
  <si>
    <t>FILIBERTO VAZQUEZ &amp;W NIDIA H</t>
  </si>
  <si>
    <t>20 - TWO-FAMILY (DUPLEXES)</t>
  </si>
  <si>
    <t>01-3125-005-0430</t>
  </si>
  <si>
    <t>40 NE 28 ST</t>
  </si>
  <si>
    <t>0066 VACANT RESIDENTIAL : EXTRA FEA OTHER THAN PARKING</t>
  </si>
  <si>
    <t>01-3125-005-0400</t>
  </si>
  <si>
    <t>42 NE 28 ST</t>
  </si>
  <si>
    <t>NEWCOMB PROPERTIES #2 LLC</t>
  </si>
  <si>
    <t>01-3125-005-0390</t>
  </si>
  <si>
    <t>54 NE 28 ST</t>
  </si>
  <si>
    <t>01-3125-005-0370</t>
  </si>
  <si>
    <t>58 NE 28 ST</t>
  </si>
  <si>
    <t>01-3125-005-0340</t>
  </si>
  <si>
    <t>66 NE 28 ST</t>
  </si>
  <si>
    <t>01-3125-005-0310</t>
  </si>
  <si>
    <t>72 NE 28 ST</t>
  </si>
  <si>
    <t>01-3125-005-0290</t>
  </si>
  <si>
    <t>80 NE 28 ST</t>
  </si>
  <si>
    <t>01-3125-005-0240</t>
  </si>
  <si>
    <t>100 NE 28 ST</t>
  </si>
  <si>
    <t>10,570 Sq.Ft</t>
  </si>
  <si>
    <t>01-3125-006-0111</t>
  </si>
  <si>
    <t>27 NE 27 ST</t>
  </si>
  <si>
    <t>27 STREET LLC</t>
  </si>
  <si>
    <t>01-3125-006-0110</t>
  </si>
  <si>
    <t>37 NE 27 ST</t>
  </si>
  <si>
    <t>01-3125-006-0100</t>
  </si>
  <si>
    <t>45 NE 27 ST</t>
  </si>
  <si>
    <t>2719 AUTOMOTIVE OR MARINE : AUTOMOTIVE OR MARINE</t>
  </si>
  <si>
    <t>35,000 Sq.Ft</t>
  </si>
  <si>
    <t>01-3125-006-0090</t>
  </si>
  <si>
    <t>85 NE 27 ST</t>
  </si>
  <si>
    <t>15,750 Sq.Ft</t>
  </si>
  <si>
    <t>01-3125-006-0150</t>
  </si>
  <si>
    <t>2637 N MIAMI AV</t>
  </si>
  <si>
    <t>WYNWOOD GATES LLC</t>
  </si>
  <si>
    <t>15,293 Sq.Ft</t>
  </si>
  <si>
    <t>01-3125-006-0160</t>
  </si>
  <si>
    <t>26 NE 27 ST</t>
  </si>
  <si>
    <t>ART BY GOD INC</t>
  </si>
  <si>
    <t>28,000 Sq.Ft</t>
  </si>
  <si>
    <t>01-3125-006-0170</t>
  </si>
  <si>
    <t>60 NE 27 ST</t>
  </si>
  <si>
    <t>6,985 Sq.Ft</t>
  </si>
  <si>
    <t>01-3125-006-0180</t>
  </si>
  <si>
    <t>62 NE 27 ST</t>
  </si>
  <si>
    <t>GARI NADER &amp; CO LLC</t>
  </si>
  <si>
    <t>4937 OPEN STORAGE : WAREHOUSE OR STORAGE</t>
  </si>
  <si>
    <t>51,644 Sq.Ft</t>
  </si>
  <si>
    <t>01-3125-008-0060</t>
  </si>
  <si>
    <t>EVON ADDN</t>
  </si>
  <si>
    <t>2605 N MIAMI AVE</t>
  </si>
  <si>
    <t>18,455 Sq.Ft</t>
  </si>
  <si>
    <t>01-3125-008-0050</t>
  </si>
  <si>
    <t>21 NE 26 ST</t>
  </si>
  <si>
    <t>21 NE 26 LLC</t>
  </si>
  <si>
    <t>1813 OFFICE BUILDING - MULTISTORY : OFFICE BUILDING</t>
  </si>
  <si>
    <t>7,150 Sq.Ft</t>
  </si>
  <si>
    <t>01-3125-008-0040</t>
  </si>
  <si>
    <t>25 NE 26 ST</t>
  </si>
  <si>
    <t>7,135 Sq.Ft</t>
  </si>
  <si>
    <t>01-3125-008-0030</t>
  </si>
  <si>
    <t>35 NE 26 ST</t>
  </si>
  <si>
    <t>35 NE 26TH STREET LLC</t>
  </si>
  <si>
    <t>1229 MIXED USE-STORE/RESIDENTIAL : MIXED USE - COMMERCIAL</t>
  </si>
  <si>
    <t>01-3125-008-0020</t>
  </si>
  <si>
    <t>45 NE 26 ST</t>
  </si>
  <si>
    <t>35 NE 26 STREET LLC</t>
  </si>
  <si>
    <t>2914 WHOLESALE OUTLET : WHOLESALE OUTLET</t>
  </si>
  <si>
    <t>01-3125-008-0011</t>
  </si>
  <si>
    <t>61 NE 26 ST</t>
  </si>
  <si>
    <t>14,270 Sq.Ft</t>
  </si>
  <si>
    <t>Prorated average</t>
  </si>
  <si>
    <t>4 to 15 - Edgewater</t>
  </si>
  <si>
    <t>16 to 32 - Edgewater (public-private JV)</t>
  </si>
  <si>
    <t>Affordable Housing Land Acquisition - Affordable Housing Innovation Fund</t>
  </si>
  <si>
    <t>State</t>
  </si>
  <si>
    <t>Parcels 16 to 32</t>
  </si>
  <si>
    <t>Total Cost</t>
  </si>
  <si>
    <t>1 to 45 - Wynwood</t>
  </si>
  <si>
    <t>Acquirer</t>
  </si>
  <si>
    <t>Phase III Land</t>
  </si>
  <si>
    <t>10,25,37,41,45</t>
  </si>
  <si>
    <t>4,16</t>
  </si>
  <si>
    <t>Station</t>
  </si>
  <si>
    <t>Purchase of  Air Rights</t>
  </si>
  <si>
    <t>Air rights</t>
  </si>
  <si>
    <t>University</t>
  </si>
  <si>
    <t xml:space="preserve">Affordable Housing Units </t>
  </si>
  <si>
    <t>Cubikko - Miami</t>
  </si>
  <si>
    <t>% of Opex / Unit / Annual</t>
  </si>
  <si>
    <t>Pedestrian infrastructure</t>
  </si>
  <si>
    <t>Pad Sales</t>
  </si>
  <si>
    <t>Natiivo Pad</t>
  </si>
  <si>
    <t>CitizenM Pad</t>
  </si>
  <si>
    <t>Buyers/partners</t>
  </si>
  <si>
    <t>Size (sq ft)</t>
  </si>
  <si>
    <t>Total Land size</t>
  </si>
  <si>
    <t>Total Acq Price ($)</t>
  </si>
  <si>
    <t>Factor</t>
  </si>
  <si>
    <t>Infrastructure Cost / sq ft</t>
  </si>
  <si>
    <t>TOTAL</t>
  </si>
  <si>
    <t>Total Acq Price per sq ft</t>
  </si>
  <si>
    <t>$/ sq ft</t>
  </si>
  <si>
    <t>Total sale price</t>
  </si>
  <si>
    <t>Total Pad</t>
  </si>
  <si>
    <t>Sale date</t>
  </si>
  <si>
    <t>Hotel/Condos</t>
  </si>
  <si>
    <t>Condos</t>
  </si>
  <si>
    <t>Sale costs (% of Total Price)</t>
  </si>
  <si>
    <t>Pads (Net of sale costs)</t>
  </si>
  <si>
    <t>2020-2021</t>
  </si>
  <si>
    <t>Pre-closing</t>
  </si>
  <si>
    <t>Cubikko - Miami Design District</t>
  </si>
  <si>
    <t>Gallery &amp; Museum Recreation Space</t>
  </si>
  <si>
    <t>Discounted Rent at School of Art</t>
  </si>
  <si>
    <t>Gallery &amp; Musem</t>
  </si>
  <si>
    <t>Revenue</t>
  </si>
  <si>
    <t>Market-Rate Multifamily</t>
  </si>
  <si>
    <t>Affordable Lease-Purchase Housing</t>
  </si>
  <si>
    <t>Co-working/Office/Commercial</t>
  </si>
  <si>
    <t>Total Development Costs (net of public incentives)</t>
  </si>
  <si>
    <r>
      <t>Affordable Lease-Purchase Housing</t>
    </r>
    <r>
      <rPr>
        <vertAlign val="superscript"/>
        <sz val="11"/>
        <rFont val="Arial"/>
        <family val="2"/>
      </rPr>
      <t>1</t>
    </r>
  </si>
  <si>
    <r>
      <t>Levered IRR after Public Incentives</t>
    </r>
    <r>
      <rPr>
        <b/>
        <vertAlign val="superscript"/>
        <sz val="12"/>
        <rFont val="Arial"/>
        <family val="2"/>
      </rPr>
      <t>3</t>
    </r>
  </si>
  <si>
    <r>
      <t>Gross Sale Proceeds (exit &amp; sale of pads)</t>
    </r>
    <r>
      <rPr>
        <vertAlign val="superscript"/>
        <sz val="12"/>
        <rFont val="Arial"/>
        <family val="2"/>
      </rPr>
      <t>2</t>
    </r>
  </si>
  <si>
    <t>Predevelopment Equity</t>
  </si>
  <si>
    <t>Federal and State Tax Credit Equity</t>
  </si>
  <si>
    <t>Affordable Housing Tax Abatement</t>
  </si>
  <si>
    <t xml:space="preserve">Construction Loan </t>
  </si>
  <si>
    <t>Rates</t>
  </si>
  <si>
    <t>Multifamily at main building</t>
  </si>
  <si>
    <t>Mixed-Income</t>
  </si>
  <si>
    <t>School (gray work)</t>
  </si>
  <si>
    <r>
      <t>1) The revenue from the sale of pads for the condos &amp; hotel are net of sale costs and are projected to fund the art and cultural destinations of the project such as the public art gallery and improved land and open spaces. 2) The proposal for affordable housing development considers a public-private investment partnership with a lease-purchase housing scheme for residents that grants a long-term right of purchase in which a share of the annual rent is allocated for the purchase. The conservative base case assumes that no sales will be done until the 10</t>
    </r>
    <r>
      <rPr>
        <i/>
        <vertAlign val="superscript"/>
        <sz val="6.6"/>
        <rFont val="Arial"/>
        <family val="2"/>
      </rPr>
      <t>th</t>
    </r>
    <r>
      <rPr>
        <i/>
        <sz val="12"/>
        <rFont val="Arial"/>
        <family val="2"/>
      </rPr>
      <t xml:space="preserve"> year of lease.</t>
    </r>
  </si>
  <si>
    <t>3) Our proposal assumes that the project will participate in a number of public state and federal programs such as the Affordable Housing Innovation Fund, Afordable Housing Loan, Opportunity Zone and Property Tax Abatement Programs in order to be able to afford a share of the land and cosntruction costs required to incorporate a significant amount of affordable and below-market-rate housing as is intended in the project.</t>
  </si>
  <si>
    <t>Affordable Housing &amp; Co-living Units</t>
  </si>
  <si>
    <t>Mixed-Income Rate</t>
  </si>
  <si>
    <t>Gallery Area</t>
  </si>
  <si>
    <t>Office Area</t>
  </si>
  <si>
    <t>Retail Area</t>
  </si>
  <si>
    <t>Station (shared costs)</t>
  </si>
  <si>
    <t>Team Code: 2019-534</t>
    <phoneticPr fontId="6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</si>
</sst>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76" formatCode="_-* #,##0.00_-;\-* #,##0.00_-;_-* &quot;-&quot;??_-;_-@_-"/>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quot;$&quot;#,##0.0_);\(&quot;$&quot;#,##0.0\)"/>
    <numFmt numFmtId="184" formatCode="0&quot; years&quot;"/>
    <numFmt numFmtId="185" formatCode="0.0%"/>
    <numFmt numFmtId="186" formatCode="&quot;L + &quot;0"/>
    <numFmt numFmtId="187" formatCode="0.00&quot;x&quot;"/>
    <numFmt numFmtId="188" formatCode="0.0&quot;x&quot;"/>
    <numFmt numFmtId="189" formatCode="&quot;$&quot;#,##0.000_);[Red]\(&quot;$&quot;#,##0.000\)"/>
    <numFmt numFmtId="190" formatCode="&quot;$&quot;#,##0.0\ &quot;pgsf&quot;"/>
    <numFmt numFmtId="191" formatCode="&quot;$&quot;#,##0.00"/>
    <numFmt numFmtId="192" formatCode="_(* #,##0_);_(* \(#,##0\);_(* &quot;-&quot;??_);_(@_)"/>
    <numFmt numFmtId="193" formatCode="General\ &quot; *&quot;"/>
    <numFmt numFmtId="194" formatCode="&quot;Year &quot;0"/>
    <numFmt numFmtId="195" formatCode="0.0&quot; years&quot;"/>
    <numFmt numFmtId="196" formatCode="&quot;$&quot;#,##0.0_);[Red]\(&quot;$&quot;#,##0.0\)"/>
    <numFmt numFmtId="197" formatCode="_(* #,##0.0000_);_(* \(#,##0.0000\);_(* &quot;-&quot;??_);_(@_)"/>
    <numFmt numFmtId="198" formatCode="_(&quot;$&quot;* #,##0_);_(&quot;$&quot;* \(#,##0\);_(&quot;$&quot;* &quot;-&quot;??_);_(@_)"/>
    <numFmt numFmtId="199" formatCode="_-* #,##0.0_-;\-* #,##0.0_-;_-* &quot;-&quot;??_-;_-@_-"/>
    <numFmt numFmtId="200" formatCode="_-* #,##0_-;\-* #,##0_-;_-* &quot;-&quot;??_-;_-@_-"/>
  </numFmts>
  <fonts count="80">
    <font>
      <sz val="10"/>
      <name val="Arial"/>
    </font>
    <font>
      <sz val="12"/>
      <color theme="1"/>
      <name val="DengXian"/>
      <family val="2"/>
      <scheme val="minor"/>
    </font>
    <font>
      <sz val="10"/>
      <name val="Arial"/>
      <family val="2"/>
    </font>
    <font>
      <b/>
      <sz val="12"/>
      <color theme="0"/>
      <name val="Arial"/>
      <family val="2"/>
    </font>
    <font>
      <sz val="12"/>
      <color theme="0"/>
      <name val="Arial"/>
      <family val="2"/>
    </font>
    <font>
      <sz val="12"/>
      <color theme="1"/>
      <name val="Arial"/>
      <family val="2"/>
    </font>
    <font>
      <sz val="12"/>
      <name val="Arial"/>
      <family val="2"/>
    </font>
    <font>
      <i/>
      <sz val="12"/>
      <color theme="1"/>
      <name val="Arial"/>
      <family val="2"/>
    </font>
    <font>
      <b/>
      <sz val="12"/>
      <name val="Arial"/>
      <family val="2"/>
    </font>
    <font>
      <i/>
      <sz val="12"/>
      <name val="Arial"/>
      <family val="2"/>
    </font>
    <font>
      <sz val="12"/>
      <color rgb="FF0000FF"/>
      <name val="Arial"/>
      <family val="2"/>
    </font>
    <font>
      <b/>
      <sz val="12"/>
      <color theme="1"/>
      <name val="Arial"/>
      <family val="2"/>
    </font>
    <font>
      <b/>
      <sz val="12"/>
      <color rgb="FF0000FF"/>
      <name val="Arial"/>
      <family val="2"/>
    </font>
    <font>
      <sz val="12"/>
      <color rgb="FF00B050"/>
      <name val="Arial"/>
      <family val="2"/>
    </font>
    <font>
      <i/>
      <sz val="12"/>
      <color theme="0" tint="-0.14999847407452621"/>
      <name val="Arial"/>
      <family val="2"/>
    </font>
    <font>
      <b/>
      <sz val="12"/>
      <color rgb="FF00B050"/>
      <name val="Arial"/>
      <family val="2"/>
    </font>
    <font>
      <i/>
      <sz val="10"/>
      <name val="Arial"/>
      <family val="2"/>
    </font>
    <font>
      <i/>
      <sz val="12"/>
      <color theme="0" tint="-4.9989318521683403E-2"/>
      <name val="Arial"/>
      <family val="2"/>
    </font>
    <font>
      <b/>
      <i/>
      <sz val="12"/>
      <name val="Arial"/>
      <family val="2"/>
    </font>
    <font>
      <b/>
      <sz val="12"/>
      <color theme="3"/>
      <name val="Arial"/>
      <family val="2"/>
    </font>
    <font>
      <sz val="12"/>
      <color theme="3"/>
      <name val="Arial"/>
      <family val="2"/>
    </font>
    <font>
      <b/>
      <u/>
      <sz val="12"/>
      <name val="Arial"/>
      <family val="2"/>
    </font>
    <font>
      <u/>
      <sz val="12"/>
      <name val="Arial"/>
      <family val="2"/>
    </font>
    <font>
      <u/>
      <sz val="12"/>
      <color theme="1"/>
      <name val="Arial"/>
      <family val="2"/>
    </font>
    <font>
      <u/>
      <sz val="12"/>
      <color rgb="FF0000FF"/>
      <name val="Arial"/>
      <family val="2"/>
    </font>
    <font>
      <vertAlign val="superscript"/>
      <sz val="12"/>
      <name val="Arial"/>
      <family val="2"/>
    </font>
    <font>
      <b/>
      <i/>
      <sz val="12"/>
      <color theme="0"/>
      <name val="Arial"/>
      <family val="2"/>
    </font>
    <font>
      <i/>
      <sz val="12"/>
      <color theme="0"/>
      <name val="Arial"/>
      <family val="2"/>
    </font>
    <font>
      <i/>
      <sz val="12"/>
      <color rgb="FF0000FF"/>
      <name val="Arial"/>
      <family val="2"/>
    </font>
    <font>
      <vertAlign val="superscript"/>
      <sz val="12"/>
      <color theme="1"/>
      <name val="Arial"/>
      <family val="2"/>
    </font>
    <font>
      <i/>
      <sz val="10"/>
      <color theme="1"/>
      <name val="Arial"/>
      <family val="2"/>
    </font>
    <font>
      <b/>
      <sz val="12"/>
      <color rgb="FFFF0000"/>
      <name val="Arial"/>
      <family val="2"/>
    </font>
    <font>
      <b/>
      <sz val="20"/>
      <name val="Arial"/>
      <family val="2"/>
    </font>
    <font>
      <sz val="12"/>
      <color indexed="12"/>
      <name val="Arial"/>
      <family val="2"/>
    </font>
    <font>
      <b/>
      <sz val="12"/>
      <color indexed="9"/>
      <name val="Arial"/>
      <family val="2"/>
    </font>
    <font>
      <b/>
      <vertAlign val="superscript"/>
      <sz val="12"/>
      <name val="Arial"/>
      <family val="2"/>
    </font>
    <font>
      <b/>
      <i/>
      <sz val="12"/>
      <color rgb="FFFF0000"/>
      <name val="Arial"/>
      <family val="2"/>
    </font>
    <font>
      <i/>
      <sz val="12"/>
      <color theme="0" tint="-0.34998626667073579"/>
      <name val="Arial"/>
      <family val="2"/>
    </font>
    <font>
      <b/>
      <sz val="12"/>
      <color theme="1"/>
      <name val="DengXian"/>
      <family val="2"/>
      <scheme val="minor"/>
    </font>
    <font>
      <sz val="12"/>
      <color theme="0"/>
      <name val="DengXian"/>
      <family val="2"/>
      <scheme val="minor"/>
    </font>
    <font>
      <u/>
      <sz val="12"/>
      <color theme="10"/>
      <name val="DengXian"/>
      <family val="2"/>
      <scheme val="minor"/>
    </font>
    <font>
      <u/>
      <sz val="12"/>
      <color theme="1"/>
      <name val="DengXian"/>
      <family val="2"/>
      <scheme val="minor"/>
    </font>
    <font>
      <sz val="12"/>
      <color rgb="FF000000"/>
      <name val="DengXian"/>
      <family val="2"/>
      <scheme val="minor"/>
    </font>
    <font>
      <sz val="12"/>
      <color rgb="FF271BC9"/>
      <name val="DengXian"/>
      <family val="2"/>
      <scheme val="minor"/>
    </font>
    <font>
      <sz val="12"/>
      <color rgb="FF000000"/>
      <name val="Arial"/>
      <family val="2"/>
    </font>
    <font>
      <sz val="12"/>
      <color rgb="FF271BC9"/>
      <name val="Arial"/>
      <family val="2"/>
    </font>
    <font>
      <u/>
      <sz val="12"/>
      <color rgb="FF000000"/>
      <name val="Arial"/>
      <family val="2"/>
    </font>
    <font>
      <u/>
      <sz val="10"/>
      <color theme="11"/>
      <name val="Arial"/>
      <family val="2"/>
    </font>
    <font>
      <vertAlign val="superscript"/>
      <sz val="12"/>
      <color rgb="FF000000"/>
      <name val="Arial"/>
      <family val="2"/>
    </font>
    <font>
      <i/>
      <sz val="12"/>
      <color rgb="FF00B050"/>
      <name val="Arial"/>
      <family val="2"/>
    </font>
    <font>
      <sz val="10"/>
      <color theme="1"/>
      <name val="Arial"/>
      <family val="2"/>
    </font>
    <font>
      <sz val="10"/>
      <color rgb="FF000000"/>
      <name val="Arial"/>
      <family val="2"/>
    </font>
    <font>
      <b/>
      <sz val="11"/>
      <color theme="1"/>
      <name val="Arial"/>
      <family val="2"/>
    </font>
    <font>
      <i/>
      <u/>
      <sz val="12"/>
      <name val="Arial"/>
      <family val="2"/>
    </font>
    <font>
      <b/>
      <i/>
      <sz val="11"/>
      <color theme="1"/>
      <name val="Arial"/>
      <family val="2"/>
    </font>
    <font>
      <b/>
      <sz val="12"/>
      <color rgb="FFFFFFFF"/>
      <name val="Arial"/>
      <family val="2"/>
    </font>
    <font>
      <b/>
      <sz val="16"/>
      <color theme="3"/>
      <name val="Arial"/>
      <family val="2"/>
    </font>
    <font>
      <sz val="10"/>
      <name val="Montserrat"/>
      <family val="3"/>
    </font>
    <font>
      <b/>
      <sz val="10"/>
      <color theme="0"/>
      <name val="Montserrat"/>
      <family val="3"/>
    </font>
    <font>
      <sz val="10"/>
      <color theme="0"/>
      <name val="Montserrat"/>
      <family val="3"/>
    </font>
    <font>
      <sz val="10"/>
      <color theme="1"/>
      <name val="Montserrat"/>
      <family val="3"/>
    </font>
    <font>
      <b/>
      <sz val="10"/>
      <name val="Montserrat"/>
      <family val="3"/>
    </font>
    <font>
      <sz val="8"/>
      <name val="Arial"/>
      <family val="2"/>
    </font>
    <font>
      <sz val="10"/>
      <name val="Arial"/>
      <family val="2"/>
    </font>
    <font>
      <b/>
      <sz val="18"/>
      <color theme="3" tint="-0.499984740745262"/>
      <name val="Arial"/>
      <family val="2"/>
    </font>
    <font>
      <sz val="9"/>
      <color indexed="81"/>
      <name val="Tahoma"/>
      <family val="2"/>
    </font>
    <font>
      <b/>
      <sz val="9"/>
      <color indexed="81"/>
      <name val="Tahoma"/>
      <family val="2"/>
    </font>
    <font>
      <b/>
      <sz val="10"/>
      <color theme="1"/>
      <name val="Arial"/>
      <family val="2"/>
    </font>
    <font>
      <sz val="10"/>
      <color rgb="FF434343"/>
      <name val="Arial"/>
      <family val="2"/>
    </font>
    <font>
      <sz val="11"/>
      <color rgb="FF000000"/>
      <name val="Inconsolata"/>
    </font>
    <font>
      <sz val="10"/>
      <color rgb="FFFF0000"/>
      <name val="Arial"/>
      <family val="2"/>
    </font>
    <font>
      <sz val="11"/>
      <color theme="1"/>
      <name val="Arial"/>
      <family val="2"/>
    </font>
    <font>
      <b/>
      <sz val="11"/>
      <color theme="1"/>
      <name val="Calibri"/>
      <family val="2"/>
    </font>
    <font>
      <sz val="11"/>
      <color theme="1"/>
      <name val="Calibri"/>
      <family val="2"/>
    </font>
    <font>
      <sz val="11"/>
      <color rgb="FF333333"/>
      <name val="Calibri"/>
      <family val="2"/>
    </font>
    <font>
      <sz val="20"/>
      <color theme="1"/>
      <name val="Arial"/>
      <family val="2"/>
    </font>
    <font>
      <vertAlign val="superscript"/>
      <sz val="11"/>
      <name val="Arial"/>
      <family val="2"/>
    </font>
    <font>
      <i/>
      <vertAlign val="superscript"/>
      <sz val="6.6"/>
      <name val="Arial"/>
      <family val="2"/>
    </font>
    <font>
      <sz val="10"/>
      <color theme="0"/>
      <name val="Arial"/>
      <family val="2"/>
    </font>
    <font>
      <sz val="9"/>
      <name val="DengXian"/>
      <family val="3"/>
      <charset val="134"/>
    </font>
  </fonts>
  <fills count="32">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376F9D"/>
        <bgColor indexed="64"/>
      </patternFill>
    </fill>
    <fill>
      <patternFill patternType="solid">
        <fgColor rgb="FFFFFFCC"/>
        <bgColor indexed="64"/>
      </patternFill>
    </fill>
    <fill>
      <patternFill patternType="solid">
        <fgColor rgb="FFC000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376F9D"/>
        <bgColor rgb="FF000000"/>
      </patternFill>
    </fill>
    <fill>
      <patternFill patternType="solid">
        <fgColor theme="0"/>
        <bgColor rgb="FF000000"/>
      </patternFill>
    </fill>
    <fill>
      <patternFill patternType="solid">
        <fgColor rgb="FF871531"/>
        <bgColor indexed="64"/>
      </patternFill>
    </fill>
    <fill>
      <patternFill patternType="solid">
        <fgColor rgb="FFFFFF00"/>
        <bgColor indexed="64"/>
      </patternFill>
    </fill>
    <fill>
      <patternFill patternType="solid">
        <fgColor rgb="FFFFFFFF"/>
        <bgColor rgb="FFFFFFFF"/>
      </patternFill>
    </fill>
    <fill>
      <patternFill patternType="solid">
        <fgColor rgb="FFC9DAF8"/>
        <bgColor rgb="FFC9DAF8"/>
      </patternFill>
    </fill>
    <fill>
      <patternFill patternType="solid">
        <fgColor rgb="FFEFEFEF"/>
        <bgColor rgb="FFEFEFEF"/>
      </patternFill>
    </fill>
    <fill>
      <patternFill patternType="solid">
        <fgColor theme="9"/>
        <bgColor theme="9"/>
      </patternFill>
    </fill>
    <fill>
      <patternFill patternType="solid">
        <fgColor rgb="FFE06666"/>
        <bgColor rgb="FFE06666"/>
      </patternFill>
    </fill>
    <fill>
      <patternFill patternType="solid">
        <fgColor theme="4"/>
        <bgColor theme="4"/>
      </patternFill>
    </fill>
    <fill>
      <patternFill patternType="solid">
        <fgColor theme="6"/>
        <bgColor theme="6"/>
      </patternFill>
    </fill>
    <fill>
      <patternFill patternType="solid">
        <fgColor rgb="FFEAD1DC"/>
        <bgColor rgb="FFEAD1DC"/>
      </patternFill>
    </fill>
    <fill>
      <patternFill patternType="solid">
        <fgColor rgb="FFD9D9D9"/>
        <bgColor rgb="FFD9D9D9"/>
      </patternFill>
    </fill>
    <fill>
      <patternFill patternType="solid">
        <fgColor rgb="FFB4A7D6"/>
        <bgColor rgb="FFB4A7D6"/>
      </patternFill>
    </fill>
    <fill>
      <patternFill patternType="solid">
        <fgColor rgb="FFF6B26B"/>
        <bgColor rgb="FFF6B26B"/>
      </patternFill>
    </fill>
    <fill>
      <patternFill patternType="solid">
        <fgColor rgb="FFFFE598"/>
        <bgColor rgb="FFFFE598"/>
      </patternFill>
    </fill>
    <fill>
      <patternFill patternType="solid">
        <fgColor theme="7"/>
        <bgColor theme="7"/>
      </patternFill>
    </fill>
    <fill>
      <patternFill patternType="solid">
        <fgColor theme="0" tint="-0.249977111117893"/>
        <bgColor indexed="64"/>
      </patternFill>
    </fill>
  </fills>
  <borders count="48">
    <border>
      <left/>
      <right/>
      <top/>
      <bottom/>
      <diagonal/>
    </border>
    <border>
      <left/>
      <right/>
      <top/>
      <bottom style="thin">
        <color auto="1"/>
      </bottom>
      <diagonal/>
    </border>
    <border>
      <left/>
      <right/>
      <top/>
      <bottom style="hair">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hair">
        <color auto="1"/>
      </left>
      <right/>
      <top/>
      <bottom/>
      <diagonal/>
    </border>
    <border>
      <left/>
      <right/>
      <top/>
      <bottom style="medium">
        <color auto="1"/>
      </bottom>
      <diagonal/>
    </border>
    <border>
      <left/>
      <right/>
      <top style="thin">
        <color rgb="FF376F9D"/>
      </top>
      <bottom style="thin">
        <color rgb="FF376F9D"/>
      </bottom>
      <diagonal/>
    </border>
    <border>
      <left/>
      <right/>
      <top style="thin">
        <color rgb="FF376F9D"/>
      </top>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thin">
        <color auto="1"/>
      </left>
      <right/>
      <top/>
      <bottom/>
      <diagonal/>
    </border>
    <border>
      <left style="thin">
        <color auto="1"/>
      </left>
      <right/>
      <top/>
      <bottom style="thin">
        <color auto="1"/>
      </bottom>
      <diagonal/>
    </border>
    <border>
      <left style="thin">
        <color auto="1"/>
      </left>
      <right/>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diagonal/>
    </border>
    <border>
      <left/>
      <right/>
      <top/>
      <bottom style="medium">
        <color theme="3"/>
      </bottom>
      <diagonal/>
    </border>
    <border>
      <left style="thin">
        <color rgb="FF000000"/>
      </left>
      <right style="thin">
        <color rgb="FF000000"/>
      </right>
      <top style="thin">
        <color rgb="FF000000"/>
      </top>
      <bottom style="thin">
        <color rgb="FF000000"/>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right/>
      <top style="thin">
        <color indexed="64"/>
      </top>
      <bottom style="thin">
        <color rgb="FF376F9D"/>
      </bottom>
      <diagonal/>
    </border>
  </borders>
  <cellStyleXfs count="10">
    <xf numFmtId="0" fontId="0" fillId="0" borderId="0"/>
    <xf numFmtId="0" fontId="2" fillId="0" borderId="0"/>
    <xf numFmtId="0" fontId="4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76" fontId="63" fillId="0" borderId="0" applyFont="0" applyFill="0" applyBorder="0" applyAlignment="0" applyProtection="0"/>
    <xf numFmtId="9" fontId="63" fillId="0" borderId="0" applyFont="0" applyFill="0" applyBorder="0" applyAlignment="0" applyProtection="0"/>
    <xf numFmtId="0" fontId="51" fillId="0" borderId="0"/>
    <xf numFmtId="0" fontId="71" fillId="0" borderId="0"/>
    <xf numFmtId="9" fontId="71" fillId="0" borderId="0" applyFont="0" applyFill="0" applyBorder="0" applyAlignment="0" applyProtection="0"/>
  </cellStyleXfs>
  <cellXfs count="980">
    <xf numFmtId="0" fontId="0" fillId="0" borderId="0" xfId="0"/>
    <xf numFmtId="0" fontId="2" fillId="0" borderId="0" xfId="0" applyFont="1"/>
    <xf numFmtId="9" fontId="0" fillId="0" borderId="0" xfId="0" applyNumberFormat="1"/>
    <xf numFmtId="180" fontId="2" fillId="0" borderId="0" xfId="0" applyNumberFormat="1" applyFont="1" applyAlignment="1">
      <alignment vertical="center"/>
    </xf>
    <xf numFmtId="180" fontId="0" fillId="0" borderId="0" xfId="0" applyNumberFormat="1"/>
    <xf numFmtId="0" fontId="2" fillId="0" borderId="0" xfId="0" applyFont="1" applyAlignment="1">
      <alignment horizontal="left" indent="1"/>
    </xf>
    <xf numFmtId="0" fontId="2" fillId="0" borderId="0" xfId="0" applyFont="1" applyAlignment="1">
      <alignment horizontal="left"/>
    </xf>
    <xf numFmtId="0" fontId="3" fillId="4" borderId="0" xfId="0" applyFont="1" applyFill="1" applyBorder="1"/>
    <xf numFmtId="0" fontId="4" fillId="4" borderId="0" xfId="0" applyFont="1" applyFill="1" applyBorder="1"/>
    <xf numFmtId="0" fontId="5" fillId="0" borderId="0" xfId="0" applyFont="1"/>
    <xf numFmtId="177" fontId="5" fillId="0" borderId="0" xfId="0" applyNumberFormat="1" applyFont="1"/>
    <xf numFmtId="177" fontId="6" fillId="0" borderId="0" xfId="0" applyNumberFormat="1" applyFont="1"/>
    <xf numFmtId="0" fontId="8" fillId="3" borderId="8" xfId="0" applyFont="1" applyFill="1" applyBorder="1"/>
    <xf numFmtId="177" fontId="8" fillId="3" borderId="8" xfId="0" applyNumberFormat="1" applyFont="1" applyFill="1" applyBorder="1"/>
    <xf numFmtId="0" fontId="7" fillId="0" borderId="0" xfId="0" applyFont="1"/>
    <xf numFmtId="0" fontId="3" fillId="4" borderId="0" xfId="0" applyFont="1" applyFill="1"/>
    <xf numFmtId="0" fontId="4" fillId="4" borderId="0" xfId="0" applyFont="1" applyFill="1"/>
    <xf numFmtId="177" fontId="10" fillId="0" borderId="0" xfId="0" applyNumberFormat="1" applyFont="1"/>
    <xf numFmtId="0" fontId="6" fillId="0" borderId="0" xfId="0" applyFont="1"/>
    <xf numFmtId="37" fontId="6" fillId="0" borderId="0" xfId="0" applyNumberFormat="1" applyFont="1"/>
    <xf numFmtId="37" fontId="10" fillId="0" borderId="0" xfId="0" applyNumberFormat="1" applyFont="1"/>
    <xf numFmtId="177" fontId="11" fillId="0" borderId="0" xfId="0" applyNumberFormat="1" applyFont="1"/>
    <xf numFmtId="9" fontId="10" fillId="0" borderId="0" xfId="0" applyNumberFormat="1" applyFont="1"/>
    <xf numFmtId="0" fontId="3" fillId="4" borderId="0" xfId="0" applyFont="1" applyFill="1" applyAlignment="1">
      <alignment horizontal="center"/>
    </xf>
    <xf numFmtId="37" fontId="8" fillId="0" borderId="0" xfId="0" applyNumberFormat="1" applyFont="1"/>
    <xf numFmtId="9" fontId="9" fillId="0" borderId="0" xfId="0" applyNumberFormat="1" applyFont="1"/>
    <xf numFmtId="177" fontId="12" fillId="0" borderId="0" xfId="0" applyNumberFormat="1" applyFont="1"/>
    <xf numFmtId="177" fontId="8" fillId="0" borderId="0" xfId="0" applyNumberFormat="1" applyFont="1"/>
    <xf numFmtId="180" fontId="6" fillId="0" borderId="0" xfId="0" applyNumberFormat="1" applyFont="1"/>
    <xf numFmtId="177" fontId="8" fillId="3" borderId="0" xfId="0" applyNumberFormat="1" applyFont="1" applyFill="1"/>
    <xf numFmtId="37" fontId="13" fillId="0" borderId="0" xfId="0" applyNumberFormat="1" applyFont="1"/>
    <xf numFmtId="0" fontId="3" fillId="4" borderId="0" xfId="0" applyFont="1" applyFill="1" applyBorder="1"/>
    <xf numFmtId="0" fontId="4" fillId="4" borderId="0" xfId="0" applyFont="1" applyFill="1" applyBorder="1"/>
    <xf numFmtId="0" fontId="5" fillId="0" borderId="0" xfId="0" applyFont="1"/>
    <xf numFmtId="177" fontId="6" fillId="0" borderId="0" xfId="0" applyNumberFormat="1" applyFont="1"/>
    <xf numFmtId="0" fontId="8" fillId="3" borderId="8" xfId="0" applyFont="1" applyFill="1" applyBorder="1"/>
    <xf numFmtId="177" fontId="8" fillId="3" borderId="8" xfId="0" applyNumberFormat="1" applyFont="1" applyFill="1" applyBorder="1"/>
    <xf numFmtId="0" fontId="3" fillId="4" borderId="0" xfId="0" applyFont="1" applyFill="1"/>
    <xf numFmtId="0" fontId="4" fillId="4" borderId="0" xfId="0" applyFont="1" applyFill="1"/>
    <xf numFmtId="177" fontId="6" fillId="3" borderId="0" xfId="0" applyNumberFormat="1" applyFont="1" applyFill="1"/>
    <xf numFmtId="177" fontId="10" fillId="0" borderId="0" xfId="0" applyNumberFormat="1" applyFont="1"/>
    <xf numFmtId="0" fontId="6" fillId="0" borderId="0" xfId="0" applyFont="1"/>
    <xf numFmtId="37" fontId="6" fillId="0" borderId="0" xfId="0" applyNumberFormat="1" applyFont="1"/>
    <xf numFmtId="177" fontId="11" fillId="0" borderId="0" xfId="0" applyNumberFormat="1" applyFont="1"/>
    <xf numFmtId="9" fontId="10" fillId="0" borderId="0" xfId="0" applyNumberFormat="1" applyFont="1"/>
    <xf numFmtId="0" fontId="3" fillId="4" borderId="0" xfId="0" applyFont="1" applyFill="1" applyBorder="1" applyAlignment="1">
      <alignment horizontal="center"/>
    </xf>
    <xf numFmtId="0" fontId="3" fillId="4" borderId="0" xfId="0" applyFont="1" applyFill="1" applyAlignment="1">
      <alignment horizontal="center"/>
    </xf>
    <xf numFmtId="9" fontId="9" fillId="0" borderId="0" xfId="0" applyNumberFormat="1" applyFont="1"/>
    <xf numFmtId="177" fontId="8" fillId="0" borderId="0" xfId="0" applyNumberFormat="1" applyFont="1"/>
    <xf numFmtId="183" fontId="6" fillId="0" borderId="0" xfId="0" applyNumberFormat="1" applyFont="1"/>
    <xf numFmtId="0" fontId="8" fillId="0" borderId="7" xfId="0" applyFont="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8" fillId="0" borderId="0" xfId="0" applyFont="1" applyBorder="1" applyAlignment="1">
      <alignment horizontal="center" vertical="center"/>
    </xf>
    <xf numFmtId="0" fontId="6" fillId="0" borderId="0" xfId="0" applyFont="1" applyBorder="1" applyAlignment="1">
      <alignment horizontal="left" vertical="center"/>
    </xf>
    <xf numFmtId="14" fontId="6" fillId="0" borderId="0" xfId="0" applyNumberFormat="1" applyFont="1" applyBorder="1" applyAlignment="1">
      <alignment horizontal="center" vertical="center"/>
    </xf>
    <xf numFmtId="14"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Alignment="1">
      <alignment vertical="center"/>
    </xf>
    <xf numFmtId="37" fontId="8" fillId="0" borderId="0" xfId="0" applyNumberFormat="1" applyFont="1" applyBorder="1" applyAlignment="1">
      <alignment horizontal="center" vertical="center"/>
    </xf>
    <xf numFmtId="37" fontId="10" fillId="0" borderId="0" xfId="0" applyNumberFormat="1" applyFont="1" applyBorder="1" applyAlignment="1">
      <alignment horizontal="center" vertical="center"/>
    </xf>
    <xf numFmtId="0" fontId="8" fillId="0" borderId="0" xfId="0" applyFont="1" applyAlignment="1">
      <alignment horizontal="left" vertical="center"/>
    </xf>
    <xf numFmtId="0" fontId="6" fillId="0" borderId="0" xfId="0" applyFont="1" applyBorder="1" applyAlignment="1">
      <alignment horizontal="left" vertical="center" indent="1"/>
    </xf>
    <xf numFmtId="37" fontId="12" fillId="0" borderId="0" xfId="0" applyNumberFormat="1" applyFont="1" applyBorder="1" applyAlignment="1">
      <alignment horizontal="center" vertical="center"/>
    </xf>
    <xf numFmtId="37" fontId="6" fillId="0" borderId="0" xfId="0" applyNumberFormat="1" applyFont="1" applyBorder="1" applyAlignment="1">
      <alignment horizontal="center" vertical="center"/>
    </xf>
    <xf numFmtId="9" fontId="12"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183" fontId="6" fillId="0" borderId="0" xfId="0" applyNumberFormat="1" applyFont="1" applyBorder="1" applyAlignment="1">
      <alignment horizontal="center" vertical="center"/>
    </xf>
    <xf numFmtId="177" fontId="12" fillId="0" borderId="0" xfId="0" applyNumberFormat="1" applyFont="1" applyBorder="1" applyAlignment="1">
      <alignment horizontal="center" vertical="center"/>
    </xf>
    <xf numFmtId="177" fontId="6" fillId="0" borderId="0" xfId="0" applyNumberFormat="1" applyFont="1" applyBorder="1" applyAlignment="1">
      <alignment horizontal="center" vertical="center"/>
    </xf>
    <xf numFmtId="0" fontId="6" fillId="0" borderId="0" xfId="0" applyFont="1" applyAlignment="1">
      <alignment horizontal="left" vertical="center" indent="2"/>
    </xf>
    <xf numFmtId="184" fontId="12" fillId="0" borderId="0" xfId="0" applyNumberFormat="1" applyFont="1" applyBorder="1" applyAlignment="1">
      <alignment horizontal="center" vertical="center"/>
    </xf>
    <xf numFmtId="184" fontId="6" fillId="0" borderId="0" xfId="0" applyNumberFormat="1" applyFont="1" applyBorder="1" applyAlignment="1">
      <alignment horizontal="center" vertical="center"/>
    </xf>
    <xf numFmtId="0" fontId="8" fillId="0" borderId="3" xfId="0" applyFont="1" applyBorder="1" applyAlignment="1">
      <alignment vertical="center"/>
    </xf>
    <xf numFmtId="0" fontId="6" fillId="0" borderId="3" xfId="0" applyFont="1" applyBorder="1" applyAlignment="1">
      <alignment vertical="center"/>
    </xf>
    <xf numFmtId="177" fontId="8" fillId="0" borderId="3"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5" xfId="0" applyFont="1" applyBorder="1" applyAlignment="1">
      <alignment horizontal="left" vertical="center" indent="1"/>
    </xf>
    <xf numFmtId="0" fontId="6" fillId="0" borderId="5" xfId="0" applyFont="1" applyBorder="1" applyAlignment="1">
      <alignment vertical="center"/>
    </xf>
    <xf numFmtId="37" fontId="8" fillId="0" borderId="5" xfId="0" applyNumberFormat="1" applyFont="1" applyBorder="1" applyAlignment="1">
      <alignment horizontal="center" vertical="center"/>
    </xf>
    <xf numFmtId="37" fontId="6" fillId="0" borderId="5" xfId="0" applyNumberFormat="1" applyFont="1" applyBorder="1" applyAlignment="1">
      <alignment horizontal="center" vertical="center"/>
    </xf>
    <xf numFmtId="183" fontId="8" fillId="0" borderId="0" xfId="0" applyNumberFormat="1" applyFont="1" applyBorder="1" applyAlignment="1">
      <alignment horizontal="center" vertical="center"/>
    </xf>
    <xf numFmtId="0" fontId="6" fillId="0" borderId="1" xfId="0" applyFont="1" applyBorder="1" applyAlignment="1">
      <alignment horizontal="left" vertical="center" indent="1"/>
    </xf>
    <xf numFmtId="0" fontId="6" fillId="0" borderId="1" xfId="0" applyFont="1" applyBorder="1" applyAlignment="1">
      <alignment vertical="center"/>
    </xf>
    <xf numFmtId="177" fontId="8"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183" fontId="12" fillId="0" borderId="0" xfId="0" applyNumberFormat="1" applyFont="1" applyBorder="1" applyAlignment="1">
      <alignment horizontal="center" vertical="center"/>
    </xf>
    <xf numFmtId="10" fontId="12" fillId="0" borderId="0" xfId="0" applyNumberFormat="1" applyFont="1" applyBorder="1" applyAlignment="1">
      <alignment horizontal="center" vertical="center"/>
    </xf>
    <xf numFmtId="10" fontId="6" fillId="0" borderId="0" xfId="0" applyNumberFormat="1" applyFont="1" applyBorder="1" applyAlignment="1">
      <alignment horizontal="center" vertical="center"/>
    </xf>
    <xf numFmtId="185" fontId="10" fillId="0" borderId="0" xfId="0" applyNumberFormat="1" applyFont="1" applyBorder="1" applyAlignment="1">
      <alignment horizontal="center" vertical="center"/>
    </xf>
    <xf numFmtId="9" fontId="10" fillId="0" borderId="0" xfId="0" applyNumberFormat="1" applyFont="1" applyBorder="1" applyAlignment="1">
      <alignment horizontal="center" vertical="center"/>
    </xf>
    <xf numFmtId="185" fontId="12" fillId="0" borderId="0" xfId="0" applyNumberFormat="1" applyFont="1" applyBorder="1" applyAlignment="1">
      <alignment horizontal="center" vertical="center"/>
    </xf>
    <xf numFmtId="186" fontId="10" fillId="0" borderId="0" xfId="0" applyNumberFormat="1" applyFont="1" applyBorder="1" applyAlignment="1">
      <alignment horizontal="center" vertical="center"/>
    </xf>
    <xf numFmtId="183" fontId="8" fillId="0" borderId="1" xfId="0" applyNumberFormat="1" applyFont="1" applyBorder="1" applyAlignment="1">
      <alignment horizontal="center" vertical="center"/>
    </xf>
    <xf numFmtId="183" fontId="6" fillId="0" borderId="1" xfId="0" applyNumberFormat="1" applyFont="1" applyBorder="1" applyAlignment="1">
      <alignment horizontal="center" vertical="center"/>
    </xf>
    <xf numFmtId="0" fontId="8" fillId="0" borderId="0" xfId="0" applyFont="1" applyBorder="1" applyAlignment="1">
      <alignment horizontal="left" vertical="center"/>
    </xf>
    <xf numFmtId="187" fontId="10" fillId="0" borderId="0" xfId="0" applyNumberFormat="1" applyFont="1" applyBorder="1" applyAlignment="1">
      <alignment horizontal="center" vertical="center"/>
    </xf>
    <xf numFmtId="10" fontId="10" fillId="0" borderId="0" xfId="0" applyNumberFormat="1" applyFont="1" applyBorder="1" applyAlignment="1">
      <alignment horizontal="center" vertical="center"/>
    </xf>
    <xf numFmtId="184" fontId="10" fillId="0" borderId="0" xfId="0" applyNumberFormat="1" applyFont="1" applyBorder="1" applyAlignment="1">
      <alignment horizontal="center" vertical="center"/>
    </xf>
    <xf numFmtId="183" fontId="10" fillId="0" borderId="0" xfId="0" applyNumberFormat="1" applyFont="1" applyBorder="1" applyAlignment="1">
      <alignment horizontal="center" vertical="center"/>
    </xf>
    <xf numFmtId="178" fontId="10" fillId="0" borderId="0" xfId="0" applyNumberFormat="1" applyFont="1" applyBorder="1" applyAlignment="1">
      <alignment horizontal="center" vertical="center"/>
    </xf>
    <xf numFmtId="178" fontId="6" fillId="0" borderId="0" xfId="0" applyNumberFormat="1" applyFont="1" applyBorder="1" applyAlignment="1">
      <alignment horizontal="center" vertical="center"/>
    </xf>
    <xf numFmtId="180" fontId="10" fillId="0" borderId="0" xfId="0" applyNumberFormat="1" applyFont="1" applyBorder="1" applyAlignment="1">
      <alignment horizontal="center" vertical="center"/>
    </xf>
    <xf numFmtId="183" fontId="7" fillId="0" borderId="0" xfId="0" applyNumberFormat="1" applyFont="1"/>
    <xf numFmtId="183" fontId="7" fillId="0" borderId="3" xfId="0" applyNumberFormat="1" applyFont="1" applyBorder="1"/>
    <xf numFmtId="185" fontId="10" fillId="0" borderId="0" xfId="0" applyNumberFormat="1" applyFont="1"/>
    <xf numFmtId="9" fontId="6" fillId="0" borderId="0" xfId="0" applyNumberFormat="1" applyFont="1"/>
    <xf numFmtId="184" fontId="10" fillId="0" borderId="0" xfId="0" applyNumberFormat="1" applyFont="1"/>
    <xf numFmtId="0" fontId="14" fillId="0" borderId="0" xfId="0" applyFont="1"/>
    <xf numFmtId="0" fontId="8" fillId="0" borderId="7" xfId="0" applyFont="1" applyBorder="1" applyAlignment="1">
      <alignment horizontal="center" vertical="center" wrapText="1"/>
    </xf>
    <xf numFmtId="183" fontId="10" fillId="0" borderId="0" xfId="0" applyNumberFormat="1" applyFont="1"/>
    <xf numFmtId="184" fontId="13" fillId="0" borderId="0" xfId="0" applyNumberFormat="1" applyFont="1"/>
    <xf numFmtId="187" fontId="13" fillId="0" borderId="0" xfId="0" applyNumberFormat="1" applyFont="1"/>
    <xf numFmtId="185" fontId="13" fillId="0" borderId="0" xfId="0" applyNumberFormat="1" applyFont="1"/>
    <xf numFmtId="185" fontId="6" fillId="0" borderId="0" xfId="0" applyNumberFormat="1" applyFont="1"/>
    <xf numFmtId="0" fontId="5" fillId="0" borderId="0" xfId="0" applyNumberFormat="1" applyFont="1"/>
    <xf numFmtId="177" fontId="13" fillId="3" borderId="0" xfId="0" applyNumberFormat="1" applyFont="1" applyFill="1"/>
    <xf numFmtId="0" fontId="8" fillId="0" borderId="0" xfId="0" applyFont="1"/>
    <xf numFmtId="0" fontId="8" fillId="0" borderId="5" xfId="0" applyFont="1" applyBorder="1"/>
    <xf numFmtId="177" fontId="8" fillId="0" borderId="5" xfId="0" applyNumberFormat="1" applyFont="1" applyBorder="1"/>
    <xf numFmtId="0" fontId="8" fillId="0" borderId="1" xfId="0" applyFont="1" applyBorder="1"/>
    <xf numFmtId="177" fontId="8" fillId="0" borderId="1" xfId="0" applyNumberFormat="1" applyFont="1" applyBorder="1"/>
    <xf numFmtId="14" fontId="5" fillId="0" borderId="0" xfId="0" applyNumberFormat="1" applyFont="1" applyAlignment="1">
      <alignment horizontal="left"/>
    </xf>
    <xf numFmtId="14" fontId="13" fillId="0" borderId="0" xfId="0" applyNumberFormat="1" applyFont="1" applyAlignment="1">
      <alignment horizontal="left"/>
    </xf>
    <xf numFmtId="0" fontId="12" fillId="0" borderId="7" xfId="0" applyFont="1" applyBorder="1" applyAlignment="1">
      <alignment horizontal="center" vertical="center"/>
    </xf>
    <xf numFmtId="0" fontId="15" fillId="4" borderId="0" xfId="0" applyFont="1" applyFill="1" applyBorder="1" applyAlignment="1">
      <alignment horizontal="center"/>
    </xf>
    <xf numFmtId="0" fontId="8" fillId="0" borderId="0" xfId="0" applyFont="1" applyAlignment="1">
      <alignment horizontal="right"/>
    </xf>
    <xf numFmtId="177" fontId="6" fillId="3" borderId="8" xfId="0" applyNumberFormat="1" applyFont="1" applyFill="1" applyBorder="1"/>
    <xf numFmtId="177" fontId="8" fillId="0" borderId="0" xfId="0" applyNumberFormat="1" applyFont="1" applyBorder="1" applyAlignment="1">
      <alignment horizontal="center" vertical="center"/>
    </xf>
    <xf numFmtId="37" fontId="8" fillId="0" borderId="3" xfId="0" applyNumberFormat="1" applyFont="1" applyBorder="1" applyAlignment="1">
      <alignment horizontal="center" vertical="center"/>
    </xf>
    <xf numFmtId="37" fontId="6" fillId="0" borderId="3" xfId="0" applyNumberFormat="1" applyFont="1" applyBorder="1" applyAlignment="1">
      <alignment horizontal="center" vertical="center"/>
    </xf>
    <xf numFmtId="0" fontId="11" fillId="0" borderId="0" xfId="0" applyFont="1"/>
    <xf numFmtId="185" fontId="6" fillId="0" borderId="0" xfId="0" applyNumberFormat="1" applyFont="1" applyBorder="1" applyAlignment="1">
      <alignment horizontal="center" vertical="center"/>
    </xf>
    <xf numFmtId="0" fontId="6" fillId="0" borderId="0" xfId="0" applyFont="1" applyAlignment="1">
      <alignment horizontal="left" vertical="center" indent="1"/>
    </xf>
    <xf numFmtId="14" fontId="3" fillId="4" borderId="0" xfId="0" applyNumberFormat="1" applyFont="1" applyFill="1" applyAlignment="1">
      <alignment horizontal="center"/>
    </xf>
    <xf numFmtId="0" fontId="6" fillId="3" borderId="8" xfId="0" applyFont="1" applyFill="1" applyBorder="1"/>
    <xf numFmtId="0" fontId="8" fillId="5" borderId="8" xfId="0" applyFont="1" applyFill="1" applyBorder="1"/>
    <xf numFmtId="177" fontId="8" fillId="5" borderId="8" xfId="0" applyNumberFormat="1" applyFont="1" applyFill="1" applyBorder="1"/>
    <xf numFmtId="0" fontId="17" fillId="0" borderId="0" xfId="0" applyFont="1"/>
    <xf numFmtId="0" fontId="8" fillId="5" borderId="0" xfId="0" applyFont="1" applyFill="1" applyBorder="1"/>
    <xf numFmtId="177" fontId="8" fillId="5" borderId="0" xfId="0" applyNumberFormat="1" applyFont="1" applyFill="1" applyBorder="1"/>
    <xf numFmtId="0" fontId="18" fillId="5" borderId="0" xfId="0" applyFont="1" applyFill="1" applyBorder="1"/>
    <xf numFmtId="9" fontId="8" fillId="5" borderId="0" xfId="0" applyNumberFormat="1" applyFont="1" applyFill="1" applyBorder="1"/>
    <xf numFmtId="9" fontId="18" fillId="5" borderId="0" xfId="0" applyNumberFormat="1" applyFont="1" applyFill="1" applyBorder="1"/>
    <xf numFmtId="0" fontId="9" fillId="0" borderId="0" xfId="0" applyFont="1"/>
    <xf numFmtId="37" fontId="9" fillId="0" borderId="0" xfId="0" applyNumberFormat="1" applyFont="1"/>
    <xf numFmtId="0" fontId="19" fillId="3" borderId="0" xfId="0" applyFont="1" applyFill="1"/>
    <xf numFmtId="0" fontId="20" fillId="3" borderId="0" xfId="0" applyFont="1" applyFill="1"/>
    <xf numFmtId="14" fontId="19" fillId="3" borderId="0" xfId="0" applyNumberFormat="1" applyFont="1" applyFill="1" applyAlignment="1">
      <alignment horizontal="center"/>
    </xf>
    <xf numFmtId="37" fontId="6" fillId="3" borderId="0" xfId="0" applyNumberFormat="1" applyFont="1" applyFill="1"/>
    <xf numFmtId="9" fontId="8" fillId="0" borderId="0" xfId="0" applyNumberFormat="1" applyFont="1"/>
    <xf numFmtId="9" fontId="13" fillId="0" borderId="0" xfId="0" applyNumberFormat="1" applyFont="1"/>
    <xf numFmtId="10" fontId="13" fillId="0" borderId="0" xfId="0" applyNumberFormat="1" applyFont="1"/>
    <xf numFmtId="0" fontId="22" fillId="0" borderId="0" xfId="0" applyFont="1" applyAlignment="1">
      <alignment horizontal="left" vertical="center"/>
    </xf>
    <xf numFmtId="0" fontId="22" fillId="0" borderId="0" xfId="0" applyFont="1" applyAlignment="1">
      <alignment vertical="center"/>
    </xf>
    <xf numFmtId="0" fontId="6" fillId="0" borderId="0" xfId="0" applyFont="1" applyBorder="1"/>
    <xf numFmtId="0" fontId="23" fillId="0" borderId="1" xfId="0" applyFont="1" applyBorder="1"/>
    <xf numFmtId="177" fontId="24" fillId="0" borderId="1" xfId="0" applyNumberFormat="1" applyFont="1" applyBorder="1"/>
    <xf numFmtId="177" fontId="21" fillId="0" borderId="1" xfId="0" applyNumberFormat="1" applyFont="1" applyBorder="1"/>
    <xf numFmtId="0" fontId="11" fillId="0" borderId="1" xfId="0" applyFont="1" applyBorder="1"/>
    <xf numFmtId="177" fontId="8" fillId="0" borderId="1" xfId="0" applyNumberFormat="1" applyFont="1" applyBorder="1" applyAlignment="1">
      <alignment horizontal="center"/>
    </xf>
    <xf numFmtId="184" fontId="13" fillId="0" borderId="0" xfId="0" applyNumberFormat="1" applyFont="1" applyAlignment="1">
      <alignment horizontal="right"/>
    </xf>
    <xf numFmtId="0" fontId="8" fillId="0" borderId="0" xfId="0" applyFont="1" applyBorder="1" applyAlignment="1">
      <alignment horizontal="center" vertical="center" wrapText="1"/>
    </xf>
    <xf numFmtId="177" fontId="8" fillId="0" borderId="0" xfId="0" applyNumberFormat="1" applyFont="1" applyBorder="1"/>
    <xf numFmtId="0" fontId="6" fillId="5" borderId="8" xfId="0" applyFont="1" applyFill="1" applyBorder="1"/>
    <xf numFmtId="177" fontId="6" fillId="5" borderId="8" xfId="0" applyNumberFormat="1" applyFont="1" applyFill="1" applyBorder="1"/>
    <xf numFmtId="9" fontId="6" fillId="5" borderId="8" xfId="0" applyNumberFormat="1" applyFont="1" applyFill="1" applyBorder="1"/>
    <xf numFmtId="0" fontId="5" fillId="0" borderId="0" xfId="0" applyFont="1" applyAlignment="1">
      <alignment horizontal="left" indent="1"/>
    </xf>
    <xf numFmtId="10" fontId="10" fillId="0" borderId="0" xfId="0" applyNumberFormat="1" applyFont="1"/>
    <xf numFmtId="177" fontId="10" fillId="3" borderId="0" xfId="0" applyNumberFormat="1" applyFont="1" applyFill="1"/>
    <xf numFmtId="0" fontId="4" fillId="4" borderId="0" xfId="0" applyFont="1" applyFill="1" applyBorder="1" applyAlignment="1">
      <alignment horizontal="center"/>
    </xf>
    <xf numFmtId="0" fontId="6" fillId="5" borderId="5" xfId="0" applyFont="1" applyFill="1" applyBorder="1" applyAlignment="1">
      <alignment vertical="center"/>
    </xf>
    <xf numFmtId="177" fontId="6" fillId="5" borderId="5" xfId="0" applyNumberFormat="1" applyFont="1" applyFill="1" applyBorder="1" applyAlignment="1">
      <alignment vertical="center"/>
    </xf>
    <xf numFmtId="0" fontId="6" fillId="5" borderId="0" xfId="0" applyFont="1" applyFill="1" applyBorder="1" applyAlignment="1">
      <alignment vertical="center"/>
    </xf>
    <xf numFmtId="177" fontId="6" fillId="5" borderId="0" xfId="0" applyNumberFormat="1" applyFont="1" applyFill="1" applyBorder="1" applyAlignment="1">
      <alignment vertical="center"/>
    </xf>
    <xf numFmtId="0" fontId="6" fillId="5" borderId="1" xfId="0" applyFont="1" applyFill="1" applyBorder="1" applyAlignment="1">
      <alignment vertical="center"/>
    </xf>
    <xf numFmtId="185" fontId="6" fillId="5" borderId="5" xfId="0" applyNumberFormat="1" applyFont="1" applyFill="1" applyBorder="1" applyAlignment="1">
      <alignment vertical="center"/>
    </xf>
    <xf numFmtId="185" fontId="6" fillId="5" borderId="1" xfId="0" applyNumberFormat="1" applyFont="1" applyFill="1" applyBorder="1" applyAlignment="1">
      <alignment vertical="center"/>
    </xf>
    <xf numFmtId="187" fontId="9" fillId="0" borderId="0" xfId="0" applyNumberFormat="1" applyFont="1"/>
    <xf numFmtId="177" fontId="28" fillId="0" borderId="0" xfId="0" applyNumberFormat="1" applyFont="1"/>
    <xf numFmtId="177" fontId="18" fillId="0" borderId="0" xfId="0" applyNumberFormat="1" applyFont="1"/>
    <xf numFmtId="177" fontId="9" fillId="0" borderId="0" xfId="0" applyNumberFormat="1" applyFont="1"/>
    <xf numFmtId="9" fontId="28" fillId="0" borderId="0" xfId="0" applyNumberFormat="1" applyFont="1"/>
    <xf numFmtId="0" fontId="18" fillId="3" borderId="8" xfId="0" applyFont="1" applyFill="1" applyBorder="1"/>
    <xf numFmtId="177" fontId="18" fillId="3" borderId="8" xfId="0" applyNumberFormat="1" applyFont="1" applyFill="1" applyBorder="1"/>
    <xf numFmtId="0" fontId="26" fillId="6" borderId="0" xfId="0" applyFont="1" applyFill="1"/>
    <xf numFmtId="0" fontId="27" fillId="6" borderId="0" xfId="0" applyFont="1" applyFill="1"/>
    <xf numFmtId="0" fontId="26" fillId="6" borderId="0" xfId="0" applyFont="1" applyFill="1" applyAlignment="1">
      <alignment horizontal="center"/>
    </xf>
    <xf numFmtId="0" fontId="8" fillId="5" borderId="5" xfId="0" applyFont="1" applyFill="1" applyBorder="1"/>
    <xf numFmtId="185" fontId="8" fillId="5" borderId="5" xfId="0" applyNumberFormat="1" applyFont="1" applyFill="1" applyBorder="1"/>
    <xf numFmtId="0" fontId="6" fillId="5" borderId="0" xfId="0" applyFont="1" applyFill="1" applyBorder="1"/>
    <xf numFmtId="0" fontId="6" fillId="5" borderId="1" xfId="0" applyFont="1" applyFill="1" applyBorder="1"/>
    <xf numFmtId="0" fontId="8" fillId="5" borderId="1" xfId="0" applyFont="1" applyFill="1" applyBorder="1"/>
    <xf numFmtId="188" fontId="8" fillId="5" borderId="1" xfId="0" applyNumberFormat="1" applyFont="1" applyFill="1" applyBorder="1"/>
    <xf numFmtId="178" fontId="6" fillId="0" borderId="0" xfId="0" applyNumberFormat="1" applyFont="1" applyAlignment="1">
      <alignment vertical="center"/>
    </xf>
    <xf numFmtId="0" fontId="0" fillId="0" borderId="0" xfId="0" applyAlignment="1">
      <alignment horizontal="center"/>
    </xf>
    <xf numFmtId="177" fontId="13" fillId="0" borderId="0" xfId="0" applyNumberFormat="1" applyFont="1"/>
    <xf numFmtId="0" fontId="3" fillId="4" borderId="0" xfId="0" applyFont="1" applyFill="1" applyAlignment="1">
      <alignment horizontal="right"/>
    </xf>
    <xf numFmtId="177" fontId="12" fillId="3" borderId="0" xfId="0" applyNumberFormat="1" applyFont="1" applyFill="1"/>
    <xf numFmtId="10" fontId="5" fillId="0" borderId="0" xfId="0" applyNumberFormat="1" applyFont="1"/>
    <xf numFmtId="189" fontId="10" fillId="0" borderId="0" xfId="0" applyNumberFormat="1" applyFont="1"/>
    <xf numFmtId="0" fontId="32" fillId="0" borderId="0" xfId="0" applyFont="1"/>
    <xf numFmtId="187" fontId="6" fillId="0" borderId="0" xfId="0" applyNumberFormat="1" applyFont="1" applyBorder="1" applyAlignment="1">
      <alignment horizontal="center" vertical="center"/>
    </xf>
    <xf numFmtId="0" fontId="16" fillId="0" borderId="0" xfId="0" applyFont="1" applyAlignment="1"/>
    <xf numFmtId="188" fontId="6" fillId="5" borderId="1" xfId="0" applyNumberFormat="1" applyFont="1" applyFill="1" applyBorder="1" applyAlignment="1">
      <alignment vertical="center"/>
    </xf>
    <xf numFmtId="0" fontId="6" fillId="3" borderId="0" xfId="0" applyFont="1" applyFill="1"/>
    <xf numFmtId="0" fontId="16" fillId="0" borderId="0" xfId="0" applyFont="1"/>
    <xf numFmtId="37" fontId="10" fillId="3" borderId="0" xfId="0" applyNumberFormat="1" applyFont="1" applyFill="1"/>
    <xf numFmtId="0" fontId="30" fillId="0" borderId="0" xfId="0" applyFont="1" applyAlignment="1"/>
    <xf numFmtId="0" fontId="3" fillId="4" borderId="0" xfId="0" applyFont="1" applyFill="1" applyBorder="1" applyAlignment="1">
      <alignment wrapText="1"/>
    </xf>
    <xf numFmtId="0" fontId="3" fillId="4" borderId="0" xfId="0" applyFont="1" applyFill="1" applyBorder="1" applyAlignment="1">
      <alignment horizontal="center" wrapText="1"/>
    </xf>
    <xf numFmtId="0" fontId="5" fillId="0" borderId="0" xfId="0" applyFont="1" applyAlignment="1">
      <alignment wrapText="1"/>
    </xf>
    <xf numFmtId="0" fontId="3" fillId="4" borderId="0" xfId="0" applyFont="1" applyFill="1" applyAlignment="1">
      <alignment horizontal="center" wrapText="1"/>
    </xf>
    <xf numFmtId="0" fontId="11" fillId="5" borderId="5" xfId="0" applyFont="1" applyFill="1" applyBorder="1"/>
    <xf numFmtId="183" fontId="6" fillId="5" borderId="5" xfId="0" applyNumberFormat="1" applyFont="1" applyFill="1" applyBorder="1"/>
    <xf numFmtId="0" fontId="11" fillId="5" borderId="0" xfId="0" applyFont="1" applyFill="1" applyBorder="1"/>
    <xf numFmtId="177" fontId="6" fillId="5" borderId="0" xfId="0" applyNumberFormat="1" applyFont="1" applyFill="1" applyBorder="1"/>
    <xf numFmtId="0" fontId="11" fillId="5" borderId="1" xfId="0" applyFont="1" applyFill="1" applyBorder="1"/>
    <xf numFmtId="177" fontId="6" fillId="5" borderId="1" xfId="0" applyNumberFormat="1" applyFont="1" applyFill="1" applyBorder="1"/>
    <xf numFmtId="177" fontId="10" fillId="0" borderId="0" xfId="0" applyNumberFormat="1" applyFont="1" applyBorder="1" applyAlignment="1">
      <alignment horizontal="center" vertical="center"/>
    </xf>
    <xf numFmtId="185" fontId="6" fillId="5" borderId="0" xfId="0" applyNumberFormat="1" applyFont="1" applyFill="1" applyBorder="1" applyAlignment="1">
      <alignment vertical="center"/>
    </xf>
    <xf numFmtId="177" fontId="6" fillId="0" borderId="0" xfId="0" applyNumberFormat="1" applyFont="1" applyAlignment="1">
      <alignment vertical="center"/>
    </xf>
    <xf numFmtId="37" fontId="6" fillId="0" borderId="0" xfId="0" applyNumberFormat="1" applyFont="1" applyAlignment="1">
      <alignment vertical="center"/>
    </xf>
    <xf numFmtId="177" fontId="8" fillId="5" borderId="1" xfId="0" applyNumberFormat="1" applyFont="1" applyFill="1" applyBorder="1"/>
    <xf numFmtId="0" fontId="8" fillId="5" borderId="3" xfId="0" applyFont="1" applyFill="1" applyBorder="1"/>
    <xf numFmtId="185" fontId="8" fillId="5" borderId="3" xfId="0" applyNumberFormat="1" applyFont="1" applyFill="1" applyBorder="1"/>
    <xf numFmtId="185" fontId="8" fillId="5" borderId="1" xfId="0" applyNumberFormat="1" applyFont="1" applyFill="1" applyBorder="1"/>
    <xf numFmtId="0" fontId="9" fillId="0" borderId="0" xfId="0" applyNumberFormat="1" applyFont="1" applyAlignment="1">
      <alignment horizontal="center"/>
    </xf>
    <xf numFmtId="9" fontId="6" fillId="0" borderId="0" xfId="0" applyNumberFormat="1" applyFont="1" applyAlignment="1">
      <alignment vertical="center"/>
    </xf>
    <xf numFmtId="0" fontId="6" fillId="0" borderId="5" xfId="1" applyFont="1" applyBorder="1"/>
    <xf numFmtId="0" fontId="6" fillId="0" borderId="0" xfId="1" applyFont="1"/>
    <xf numFmtId="0" fontId="6" fillId="0" borderId="1" xfId="1" applyFont="1" applyBorder="1" applyAlignment="1">
      <alignment horizontal="center"/>
    </xf>
    <xf numFmtId="0" fontId="6" fillId="0" borderId="0" xfId="1" applyFont="1" applyBorder="1" applyAlignment="1">
      <alignment horizontal="center"/>
    </xf>
    <xf numFmtId="0" fontId="8" fillId="0" borderId="0" xfId="1" applyFont="1" applyBorder="1" applyAlignment="1">
      <alignment horizontal="center"/>
    </xf>
    <xf numFmtId="0" fontId="6" fillId="0" borderId="1" xfId="1" applyFont="1" applyFill="1" applyBorder="1"/>
    <xf numFmtId="0" fontId="8" fillId="0" borderId="0" xfId="1" applyFont="1" applyBorder="1" applyAlignment="1">
      <alignment horizontal="left"/>
    </xf>
    <xf numFmtId="0" fontId="6" fillId="0" borderId="0" xfId="1" applyFont="1" applyFill="1" applyBorder="1"/>
    <xf numFmtId="0" fontId="6" fillId="0" borderId="0" xfId="1" applyFont="1" applyFill="1" applyBorder="1" applyAlignment="1"/>
    <xf numFmtId="0" fontId="8" fillId="2" borderId="4" xfId="1" applyFont="1" applyFill="1" applyBorder="1" applyAlignment="1">
      <alignment horizontal="left"/>
    </xf>
    <xf numFmtId="0" fontId="8" fillId="2" borderId="3" xfId="1" applyFont="1" applyFill="1" applyBorder="1" applyAlignment="1">
      <alignment horizontal="left"/>
    </xf>
    <xf numFmtId="0" fontId="6" fillId="2" borderId="3" xfId="1" applyFont="1" applyFill="1" applyBorder="1" applyAlignment="1">
      <alignment horizontal="center"/>
    </xf>
    <xf numFmtId="0" fontId="6" fillId="2" borderId="3" xfId="1" applyFont="1" applyFill="1" applyBorder="1"/>
    <xf numFmtId="0" fontId="6" fillId="2" borderId="3" xfId="1" applyFont="1" applyFill="1" applyBorder="1" applyAlignment="1"/>
    <xf numFmtId="0" fontId="8" fillId="2" borderId="0" xfId="1" applyFont="1" applyFill="1" applyBorder="1" applyAlignment="1">
      <alignment horizontal="left"/>
    </xf>
    <xf numFmtId="0" fontId="6" fillId="2" borderId="6" xfId="1" applyFont="1" applyFill="1" applyBorder="1"/>
    <xf numFmtId="0" fontId="6" fillId="2" borderId="0" xfId="1" applyFont="1" applyFill="1" applyBorder="1"/>
    <xf numFmtId="0" fontId="6" fillId="2" borderId="2" xfId="1" applyFont="1" applyFill="1" applyBorder="1" applyAlignment="1"/>
    <xf numFmtId="0" fontId="8" fillId="0" borderId="1" xfId="1" applyFont="1" applyBorder="1" applyAlignment="1">
      <alignment horizontal="right"/>
    </xf>
    <xf numFmtId="0" fontId="8" fillId="0" borderId="1" xfId="1" applyFont="1" applyBorder="1"/>
    <xf numFmtId="0" fontId="6" fillId="0" borderId="5" xfId="1" applyFont="1" applyFill="1" applyBorder="1" applyAlignment="1"/>
    <xf numFmtId="0" fontId="6" fillId="0" borderId="0" xfId="1" applyFont="1" applyAlignment="1">
      <alignment horizontal="center"/>
    </xf>
    <xf numFmtId="0" fontId="8" fillId="0" borderId="0" xfId="1" applyFont="1" applyBorder="1" applyAlignment="1">
      <alignment horizontal="left" vertical="center"/>
    </xf>
    <xf numFmtId="0" fontId="6" fillId="0" borderId="0" xfId="1" applyFont="1" applyBorder="1" applyAlignment="1">
      <alignment vertical="center"/>
    </xf>
    <xf numFmtId="0" fontId="6" fillId="0" borderId="0" xfId="1" applyFont="1" applyAlignment="1">
      <alignment wrapText="1"/>
    </xf>
    <xf numFmtId="0" fontId="6" fillId="0" borderId="1" xfId="1" applyFont="1" applyBorder="1" applyAlignment="1">
      <alignment horizontal="center" wrapText="1"/>
    </xf>
    <xf numFmtId="0" fontId="6" fillId="0" borderId="0" xfId="1" applyFont="1" applyBorder="1"/>
    <xf numFmtId="0" fontId="6" fillId="0" borderId="0" xfId="1" applyFont="1" applyFill="1" applyAlignment="1">
      <alignment horizontal="center"/>
    </xf>
    <xf numFmtId="0" fontId="6" fillId="0" borderId="0" xfId="1" applyFont="1" applyFill="1"/>
    <xf numFmtId="0" fontId="6" fillId="0" borderId="0" xfId="1" applyFont="1" applyBorder="1" applyAlignment="1">
      <alignment horizontal="right"/>
    </xf>
    <xf numFmtId="37" fontId="6" fillId="0" borderId="0" xfId="1" applyNumberFormat="1" applyFont="1" applyBorder="1" applyAlignment="1">
      <alignment horizontal="center"/>
    </xf>
    <xf numFmtId="0" fontId="6" fillId="0" borderId="0" xfId="1" applyFont="1" applyBorder="1" applyAlignment="1"/>
    <xf numFmtId="0" fontId="6" fillId="0" borderId="1" xfId="1" applyFont="1" applyFill="1" applyBorder="1" applyAlignment="1"/>
    <xf numFmtId="0" fontId="8" fillId="0" borderId="5" xfId="1" applyFont="1" applyBorder="1"/>
    <xf numFmtId="0" fontId="6" fillId="0" borderId="5" xfId="1" applyFont="1" applyFill="1" applyBorder="1"/>
    <xf numFmtId="0" fontId="8" fillId="0" borderId="0" xfId="1" applyFont="1" applyBorder="1"/>
    <xf numFmtId="177" fontId="6" fillId="0" borderId="0" xfId="1" applyNumberFormat="1" applyFont="1" applyBorder="1" applyAlignment="1">
      <alignment horizontal="center"/>
    </xf>
    <xf numFmtId="0" fontId="6" fillId="5" borderId="3" xfId="1" applyFont="1" applyFill="1" applyBorder="1"/>
    <xf numFmtId="0" fontId="8" fillId="0" borderId="0" xfId="1" applyFont="1" applyBorder="1" applyAlignment="1">
      <alignment horizontal="right"/>
    </xf>
    <xf numFmtId="0" fontId="6" fillId="0" borderId="0" xfId="1" applyFont="1" applyBorder="1" applyAlignment="1">
      <alignment horizontal="left"/>
    </xf>
    <xf numFmtId="0" fontId="8" fillId="0" borderId="0" xfId="1" applyFont="1" applyBorder="1" applyAlignment="1"/>
    <xf numFmtId="0" fontId="8" fillId="7" borderId="5" xfId="1" applyFont="1" applyFill="1" applyBorder="1" applyAlignment="1">
      <alignment horizontal="center"/>
    </xf>
    <xf numFmtId="0" fontId="8" fillId="7" borderId="0" xfId="1" applyFont="1" applyFill="1" applyBorder="1" applyAlignment="1">
      <alignment horizontal="center"/>
    </xf>
    <xf numFmtId="0" fontId="6" fillId="7" borderId="0" xfId="1" applyFont="1" applyFill="1" applyBorder="1"/>
    <xf numFmtId="177" fontId="6" fillId="7" borderId="0" xfId="1" applyNumberFormat="1" applyFont="1" applyFill="1" applyBorder="1" applyAlignment="1">
      <alignment horizontal="center"/>
    </xf>
    <xf numFmtId="37" fontId="6" fillId="7" borderId="0" xfId="1" applyNumberFormat="1" applyFont="1" applyFill="1" applyBorder="1" applyAlignment="1">
      <alignment horizontal="center"/>
    </xf>
    <xf numFmtId="0" fontId="8" fillId="8" borderId="5" xfId="1" applyFont="1" applyFill="1" applyBorder="1" applyAlignment="1">
      <alignment horizontal="center"/>
    </xf>
    <xf numFmtId="0" fontId="8" fillId="8" borderId="0" xfId="1" applyFont="1" applyFill="1" applyBorder="1" applyAlignment="1">
      <alignment horizontal="center"/>
    </xf>
    <xf numFmtId="0" fontId="6" fillId="8" borderId="0" xfId="1" applyFont="1" applyFill="1" applyBorder="1"/>
    <xf numFmtId="177" fontId="6" fillId="8" borderId="0" xfId="1" applyNumberFormat="1" applyFont="1" applyFill="1" applyBorder="1" applyAlignment="1">
      <alignment horizontal="center"/>
    </xf>
    <xf numFmtId="37" fontId="6" fillId="8" borderId="0" xfId="1" applyNumberFormat="1" applyFont="1" applyFill="1" applyBorder="1" applyAlignment="1">
      <alignment horizontal="center"/>
    </xf>
    <xf numFmtId="0" fontId="8" fillId="9" borderId="5" xfId="1" applyFont="1" applyFill="1" applyBorder="1" applyAlignment="1">
      <alignment horizontal="center"/>
    </xf>
    <xf numFmtId="0" fontId="8" fillId="9" borderId="0" xfId="1" applyFont="1" applyFill="1" applyBorder="1" applyAlignment="1">
      <alignment horizontal="center"/>
    </xf>
    <xf numFmtId="177" fontId="6" fillId="9" borderId="0" xfId="1" applyNumberFormat="1" applyFont="1" applyFill="1" applyBorder="1" applyAlignment="1">
      <alignment horizontal="center"/>
    </xf>
    <xf numFmtId="37" fontId="6" fillId="9" borderId="0" xfId="1" applyNumberFormat="1" applyFont="1" applyFill="1" applyBorder="1" applyAlignment="1">
      <alignment horizontal="center"/>
    </xf>
    <xf numFmtId="0" fontId="8" fillId="10" borderId="5" xfId="1" applyFont="1" applyFill="1" applyBorder="1" applyAlignment="1">
      <alignment horizontal="center"/>
    </xf>
    <xf numFmtId="0" fontId="8" fillId="10" borderId="0" xfId="1" applyFont="1" applyFill="1" applyBorder="1" applyAlignment="1">
      <alignment horizontal="center"/>
    </xf>
    <xf numFmtId="0" fontId="6" fillId="10" borderId="0" xfId="1" applyFont="1" applyFill="1" applyBorder="1"/>
    <xf numFmtId="177" fontId="6" fillId="10" borderId="0" xfId="1" applyNumberFormat="1" applyFont="1" applyFill="1" applyBorder="1" applyAlignment="1">
      <alignment horizontal="center"/>
    </xf>
    <xf numFmtId="37" fontId="6" fillId="10" borderId="0" xfId="1" applyNumberFormat="1" applyFont="1" applyFill="1" applyBorder="1" applyAlignment="1">
      <alignment horizontal="center"/>
    </xf>
    <xf numFmtId="177" fontId="8" fillId="3" borderId="3" xfId="1" applyNumberFormat="1" applyFont="1" applyFill="1" applyBorder="1" applyAlignment="1">
      <alignment horizontal="center"/>
    </xf>
    <xf numFmtId="0" fontId="6" fillId="0" borderId="0" xfId="1" applyFont="1" applyBorder="1" applyAlignment="1">
      <alignment horizontal="left" vertical="center" indent="1"/>
    </xf>
    <xf numFmtId="0" fontId="6" fillId="0" borderId="0" xfId="1" applyFont="1" applyBorder="1" applyAlignment="1">
      <alignment horizontal="left" indent="1"/>
    </xf>
    <xf numFmtId="0" fontId="6" fillId="0" borderId="0" xfId="1" applyFont="1" applyAlignment="1">
      <alignment horizontal="left" indent="1"/>
    </xf>
    <xf numFmtId="0" fontId="8" fillId="5" borderId="3" xfId="1" applyFont="1" applyFill="1" applyBorder="1" applyAlignment="1">
      <alignment horizontal="left"/>
    </xf>
    <xf numFmtId="37" fontId="8" fillId="5" borderId="3" xfId="1" applyNumberFormat="1" applyFont="1" applyFill="1" applyBorder="1" applyAlignment="1">
      <alignment horizontal="center"/>
    </xf>
    <xf numFmtId="0" fontId="6" fillId="0" borderId="0" xfId="1" applyFont="1" applyBorder="1" applyAlignment="1">
      <alignment horizontal="left" vertical="center" indent="2"/>
    </xf>
    <xf numFmtId="0" fontId="6" fillId="0" borderId="0" xfId="1" applyFont="1" applyBorder="1" applyAlignment="1">
      <alignment horizontal="left" indent="2"/>
    </xf>
    <xf numFmtId="0" fontId="6" fillId="0" borderId="0" xfId="1" applyFont="1" applyAlignment="1">
      <alignment horizontal="left" indent="2"/>
    </xf>
    <xf numFmtId="0" fontId="8" fillId="3" borderId="0" xfId="1" applyFont="1" applyFill="1" applyBorder="1" applyAlignment="1">
      <alignment horizontal="left"/>
    </xf>
    <xf numFmtId="0" fontId="6" fillId="3" borderId="0" xfId="1" applyFont="1" applyFill="1" applyBorder="1" applyAlignment="1">
      <alignment horizontal="left"/>
    </xf>
    <xf numFmtId="37" fontId="6" fillId="9" borderId="5" xfId="1" applyNumberFormat="1" applyFont="1" applyFill="1" applyBorder="1" applyAlignment="1">
      <alignment horizontal="center"/>
    </xf>
    <xf numFmtId="37" fontId="6" fillId="8" borderId="5" xfId="1" applyNumberFormat="1" applyFont="1" applyFill="1" applyBorder="1" applyAlignment="1">
      <alignment horizontal="center"/>
    </xf>
    <xf numFmtId="37" fontId="6" fillId="7" borderId="5" xfId="1" applyNumberFormat="1" applyFont="1" applyFill="1" applyBorder="1" applyAlignment="1">
      <alignment horizontal="center"/>
    </xf>
    <xf numFmtId="37" fontId="6" fillId="10" borderId="5" xfId="1" applyNumberFormat="1" applyFont="1" applyFill="1" applyBorder="1" applyAlignment="1">
      <alignment horizontal="center"/>
    </xf>
    <xf numFmtId="37" fontId="6" fillId="3" borderId="5" xfId="1" applyNumberFormat="1" applyFont="1" applyFill="1" applyBorder="1" applyAlignment="1">
      <alignment horizontal="center"/>
    </xf>
    <xf numFmtId="37" fontId="6" fillId="3" borderId="0" xfId="1" applyNumberFormat="1" applyFont="1" applyFill="1" applyBorder="1" applyAlignment="1">
      <alignment horizontal="center"/>
    </xf>
    <xf numFmtId="0" fontId="8" fillId="0" borderId="0" xfId="1" applyFont="1" applyFill="1" applyBorder="1"/>
    <xf numFmtId="0" fontId="8" fillId="0" borderId="1" xfId="1" applyFont="1" applyFill="1" applyBorder="1"/>
    <xf numFmtId="0" fontId="8" fillId="3" borderId="3" xfId="1" applyFont="1" applyFill="1" applyBorder="1" applyAlignment="1">
      <alignment horizontal="left"/>
    </xf>
    <xf numFmtId="0" fontId="6" fillId="3" borderId="3" xfId="1" applyFont="1" applyFill="1" applyBorder="1"/>
    <xf numFmtId="37" fontId="8" fillId="3" borderId="3" xfId="1" applyNumberFormat="1" applyFont="1" applyFill="1" applyBorder="1" applyAlignment="1">
      <alignment horizontal="center"/>
    </xf>
    <xf numFmtId="9" fontId="12" fillId="0" borderId="0" xfId="1" applyNumberFormat="1" applyFont="1" applyBorder="1"/>
    <xf numFmtId="37" fontId="8" fillId="0" borderId="0" xfId="1" applyNumberFormat="1" applyFont="1" applyBorder="1" applyAlignment="1">
      <alignment horizontal="center"/>
    </xf>
    <xf numFmtId="185" fontId="8" fillId="0" borderId="0" xfId="1" applyNumberFormat="1" applyFont="1" applyBorder="1" applyAlignment="1">
      <alignment horizontal="center"/>
    </xf>
    <xf numFmtId="185" fontId="8" fillId="0" borderId="1" xfId="1" applyNumberFormat="1" applyFont="1" applyBorder="1" applyAlignment="1">
      <alignment horizontal="center"/>
    </xf>
    <xf numFmtId="0" fontId="8" fillId="0" borderId="0" xfId="1" applyFont="1"/>
    <xf numFmtId="177" fontId="6" fillId="0" borderId="1" xfId="1" applyNumberFormat="1" applyFont="1" applyFill="1" applyBorder="1"/>
    <xf numFmtId="179" fontId="6" fillId="0" borderId="1" xfId="1" applyNumberFormat="1" applyFont="1" applyFill="1" applyBorder="1"/>
    <xf numFmtId="0" fontId="6" fillId="0" borderId="5" xfId="1" applyFont="1" applyBorder="1" applyAlignment="1">
      <alignment horizontal="center"/>
    </xf>
    <xf numFmtId="0" fontId="6" fillId="0" borderId="5" xfId="1" applyFont="1" applyBorder="1" applyAlignment="1"/>
    <xf numFmtId="0" fontId="3" fillId="4" borderId="0" xfId="0" applyFont="1" applyFill="1" applyBorder="1" applyAlignment="1">
      <alignment horizontal="center" wrapText="1"/>
    </xf>
    <xf numFmtId="0" fontId="11" fillId="5" borderId="3" xfId="0" applyFont="1" applyFill="1" applyBorder="1"/>
    <xf numFmtId="37" fontId="8" fillId="5" borderId="3" xfId="0" applyNumberFormat="1" applyFont="1" applyFill="1" applyBorder="1"/>
    <xf numFmtId="0" fontId="6" fillId="3" borderId="0" xfId="0" applyFont="1" applyFill="1" applyBorder="1"/>
    <xf numFmtId="0" fontId="3" fillId="3" borderId="0" xfId="0" applyFont="1" applyFill="1" applyBorder="1" applyAlignment="1">
      <alignment wrapText="1"/>
    </xf>
    <xf numFmtId="177" fontId="6" fillId="3" borderId="0" xfId="0" applyNumberFormat="1" applyFont="1" applyFill="1" applyBorder="1"/>
    <xf numFmtId="0" fontId="3" fillId="3" borderId="0" xfId="0" applyFont="1" applyFill="1" applyBorder="1" applyAlignment="1">
      <alignment horizontal="center" wrapText="1"/>
    </xf>
    <xf numFmtId="0" fontId="6" fillId="0" borderId="0" xfId="0" applyFont="1" applyAlignment="1">
      <alignment horizontal="center"/>
    </xf>
    <xf numFmtId="0" fontId="3" fillId="4" borderId="0" xfId="0" applyFont="1" applyFill="1" applyBorder="1" applyAlignment="1">
      <alignment horizontal="center" wrapText="1"/>
    </xf>
    <xf numFmtId="0" fontId="8" fillId="0" borderId="3" xfId="1" applyFont="1" applyBorder="1" applyAlignment="1">
      <alignment horizontal="left"/>
    </xf>
    <xf numFmtId="0" fontId="6" fillId="0" borderId="0" xfId="1" applyFont="1" applyBorder="1" applyAlignment="1"/>
    <xf numFmtId="0" fontId="6" fillId="0" borderId="1" xfId="1" applyFont="1" applyBorder="1" applyAlignment="1"/>
    <xf numFmtId="0" fontId="6" fillId="0" borderId="1" xfId="1" applyFont="1" applyBorder="1" applyAlignment="1">
      <alignment horizontal="right"/>
    </xf>
    <xf numFmtId="0" fontId="8" fillId="0" borderId="1" xfId="1" applyFont="1" applyBorder="1" applyAlignment="1">
      <alignment horizontal="center" wrapText="1"/>
    </xf>
    <xf numFmtId="0" fontId="6" fillId="0" borderId="0" xfId="1" applyFont="1" applyBorder="1" applyAlignment="1">
      <alignment horizontal="right"/>
    </xf>
    <xf numFmtId="0" fontId="6" fillId="0" borderId="0" xfId="1" applyFont="1" applyBorder="1" applyAlignment="1">
      <alignment horizontal="right" vertical="center"/>
    </xf>
    <xf numFmtId="0" fontId="6" fillId="0" borderId="0" xfId="1" applyFont="1" applyBorder="1" applyAlignment="1">
      <alignment horizontal="left" indent="1"/>
    </xf>
    <xf numFmtId="0" fontId="6" fillId="0" borderId="0" xfId="1" applyFont="1" applyBorder="1" applyAlignment="1">
      <alignment horizontal="left" indent="2"/>
    </xf>
    <xf numFmtId="37" fontId="6" fillId="3" borderId="0" xfId="0" applyNumberFormat="1" applyFont="1" applyFill="1" applyBorder="1"/>
    <xf numFmtId="37" fontId="8" fillId="3" borderId="0" xfId="0" applyNumberFormat="1" applyFont="1" applyFill="1" applyBorder="1"/>
    <xf numFmtId="0" fontId="6" fillId="9" borderId="0" xfId="0" applyFont="1" applyFill="1" applyBorder="1" applyAlignment="1">
      <alignment horizontal="left" vertical="center"/>
    </xf>
    <xf numFmtId="0" fontId="6" fillId="9" borderId="0" xfId="0" applyFont="1" applyFill="1" applyAlignment="1">
      <alignment horizontal="right"/>
    </xf>
    <xf numFmtId="37" fontId="10" fillId="9" borderId="0" xfId="0" applyNumberFormat="1" applyFont="1" applyFill="1"/>
    <xf numFmtId="37" fontId="6" fillId="9" borderId="0" xfId="0" applyNumberFormat="1" applyFont="1" applyFill="1"/>
    <xf numFmtId="0" fontId="6" fillId="8" borderId="0" xfId="0" applyFont="1" applyFill="1" applyBorder="1" applyAlignment="1">
      <alignment horizontal="left" vertical="center"/>
    </xf>
    <xf numFmtId="0" fontId="6" fillId="8" borderId="0" xfId="0" applyFont="1" applyFill="1" applyAlignment="1">
      <alignment horizontal="right"/>
    </xf>
    <xf numFmtId="37" fontId="10" fillId="8" borderId="0" xfId="0" applyNumberFormat="1" applyFont="1" applyFill="1"/>
    <xf numFmtId="37" fontId="6" fillId="8" borderId="0" xfId="0" applyNumberFormat="1" applyFont="1" applyFill="1"/>
    <xf numFmtId="0" fontId="6" fillId="11" borderId="0" xfId="0" applyFont="1" applyFill="1" applyBorder="1" applyAlignment="1">
      <alignment horizontal="left" vertical="center"/>
    </xf>
    <xf numFmtId="0" fontId="6" fillId="11" borderId="0" xfId="0" applyFont="1" applyFill="1" applyAlignment="1">
      <alignment horizontal="right"/>
    </xf>
    <xf numFmtId="37" fontId="10" fillId="11" borderId="0" xfId="0" applyNumberFormat="1" applyFont="1" applyFill="1"/>
    <xf numFmtId="37" fontId="6" fillId="11" borderId="0" xfId="0" applyNumberFormat="1" applyFont="1" applyFill="1"/>
    <xf numFmtId="0" fontId="6" fillId="8" borderId="0" xfId="1" applyFont="1" applyFill="1" applyBorder="1" applyAlignment="1">
      <alignment horizontal="center"/>
    </xf>
    <xf numFmtId="0" fontId="6" fillId="7" borderId="0" xfId="1" applyFont="1" applyFill="1" applyBorder="1" applyAlignment="1">
      <alignment horizontal="center"/>
    </xf>
    <xf numFmtId="0" fontId="6" fillId="9" borderId="0" xfId="1" applyFont="1" applyFill="1" applyBorder="1" applyAlignment="1">
      <alignment horizontal="center"/>
    </xf>
    <xf numFmtId="185" fontId="28" fillId="3" borderId="0" xfId="0" applyNumberFormat="1" applyFont="1" applyFill="1"/>
    <xf numFmtId="37" fontId="8" fillId="11" borderId="0" xfId="0" applyNumberFormat="1" applyFont="1" applyFill="1"/>
    <xf numFmtId="37" fontId="8" fillId="9" borderId="0" xfId="0" applyNumberFormat="1" applyFont="1" applyFill="1"/>
    <xf numFmtId="185" fontId="36" fillId="3" borderId="0" xfId="0" applyNumberFormat="1" applyFont="1" applyFill="1"/>
    <xf numFmtId="9" fontId="12" fillId="3" borderId="0" xfId="0" applyNumberFormat="1" applyFont="1" applyFill="1" applyBorder="1" applyAlignment="1">
      <alignment horizontal="center" wrapText="1"/>
    </xf>
    <xf numFmtId="185" fontId="9" fillId="3" borderId="0" xfId="0" applyNumberFormat="1" applyFont="1" applyFill="1"/>
    <xf numFmtId="37" fontId="8" fillId="8" borderId="0" xfId="0" applyNumberFormat="1" applyFont="1" applyFill="1"/>
    <xf numFmtId="0" fontId="26" fillId="4" borderId="0" xfId="0" applyFont="1" applyFill="1" applyBorder="1" applyAlignment="1">
      <alignment horizontal="center" wrapText="1"/>
    </xf>
    <xf numFmtId="182" fontId="28" fillId="11" borderId="0" xfId="0" applyNumberFormat="1" applyFont="1" applyFill="1"/>
    <xf numFmtId="182" fontId="10" fillId="11" borderId="0" xfId="0" applyNumberFormat="1" applyFont="1" applyFill="1"/>
    <xf numFmtId="182" fontId="10" fillId="9" borderId="0" xfId="0" applyNumberFormat="1" applyFont="1" applyFill="1"/>
    <xf numFmtId="182" fontId="10" fillId="8" borderId="0" xfId="0" applyNumberFormat="1" applyFont="1" applyFill="1"/>
    <xf numFmtId="182" fontId="9" fillId="5" borderId="3" xfId="0" applyNumberFormat="1" applyFont="1" applyFill="1" applyBorder="1"/>
    <xf numFmtId="37" fontId="13" fillId="0" borderId="0" xfId="0" applyNumberFormat="1" applyFont="1" applyBorder="1" applyAlignment="1">
      <alignment horizontal="center" vertical="center"/>
    </xf>
    <xf numFmtId="37" fontId="9" fillId="0" borderId="0" xfId="0" applyNumberFormat="1" applyFont="1" applyBorder="1" applyAlignment="1">
      <alignment horizontal="center" vertical="center"/>
    </xf>
    <xf numFmtId="182" fontId="9" fillId="0" borderId="0" xfId="0" applyNumberFormat="1" applyFont="1" applyAlignment="1">
      <alignment vertical="center"/>
    </xf>
    <xf numFmtId="0" fontId="6" fillId="0" borderId="1" xfId="0" applyFont="1" applyBorder="1" applyAlignment="1">
      <alignment horizontal="center"/>
    </xf>
    <xf numFmtId="0" fontId="9" fillId="3" borderId="0" xfId="0" applyFont="1" applyFill="1" applyBorder="1"/>
    <xf numFmtId="10" fontId="9" fillId="3" borderId="0" xfId="0" applyNumberFormat="1" applyFont="1" applyFill="1" applyBorder="1"/>
    <xf numFmtId="0" fontId="13" fillId="0" borderId="0" xfId="0" applyFont="1"/>
    <xf numFmtId="37" fontId="6" fillId="0" borderId="3" xfId="0" applyNumberFormat="1" applyFont="1" applyBorder="1"/>
    <xf numFmtId="0" fontId="8" fillId="5" borderId="3" xfId="0" applyFont="1" applyFill="1" applyBorder="1" applyAlignment="1">
      <alignment horizontal="right"/>
    </xf>
    <xf numFmtId="0" fontId="6" fillId="0" borderId="1" xfId="1" applyFont="1" applyBorder="1" applyAlignment="1">
      <alignment horizontal="left" indent="1"/>
    </xf>
    <xf numFmtId="0" fontId="6" fillId="0" borderId="0" xfId="1" applyFont="1" applyFill="1" applyBorder="1" applyAlignment="1">
      <alignment horizontal="center"/>
    </xf>
    <xf numFmtId="0" fontId="31" fillId="0" borderId="0" xfId="1" applyFont="1" applyBorder="1" applyAlignment="1">
      <alignment horizontal="left" indent="2"/>
    </xf>
    <xf numFmtId="0" fontId="8" fillId="0" borderId="1" xfId="1" applyFont="1" applyBorder="1" applyAlignment="1">
      <alignment wrapText="1"/>
    </xf>
    <xf numFmtId="190" fontId="6" fillId="0" borderId="0" xfId="1" applyNumberFormat="1" applyFont="1" applyFill="1" applyBorder="1" applyAlignment="1">
      <alignment horizontal="center"/>
    </xf>
    <xf numFmtId="177" fontId="6" fillId="0" borderId="5" xfId="1" applyNumberFormat="1" applyFont="1" applyBorder="1" applyAlignment="1"/>
    <xf numFmtId="177" fontId="6" fillId="0" borderId="0" xfId="1" applyNumberFormat="1" applyFont="1" applyBorder="1" applyAlignment="1"/>
    <xf numFmtId="177" fontId="6" fillId="0" borderId="0" xfId="1" applyNumberFormat="1" applyFont="1" applyBorder="1" applyAlignment="1">
      <alignment horizontal="right"/>
    </xf>
    <xf numFmtId="177" fontId="6" fillId="0" borderId="1" xfId="1" applyNumberFormat="1" applyFont="1" applyBorder="1" applyAlignment="1"/>
    <xf numFmtId="183" fontId="6" fillId="5" borderId="0" xfId="0" applyNumberFormat="1" applyFont="1" applyFill="1" applyBorder="1"/>
    <xf numFmtId="0" fontId="8" fillId="0" borderId="3" xfId="1" applyFont="1" applyBorder="1"/>
    <xf numFmtId="0" fontId="6" fillId="3" borderId="0" xfId="1" applyFont="1" applyFill="1" applyBorder="1"/>
    <xf numFmtId="37" fontId="8" fillId="3" borderId="0" xfId="1" applyNumberFormat="1" applyFont="1" applyFill="1" applyBorder="1" applyAlignment="1">
      <alignment horizontal="center"/>
    </xf>
    <xf numFmtId="0" fontId="8" fillId="0" borderId="1" xfId="1" applyFont="1" applyBorder="1" applyAlignment="1">
      <alignment horizontal="left"/>
    </xf>
    <xf numFmtId="0" fontId="9" fillId="3" borderId="0" xfId="1" applyFont="1" applyFill="1" applyBorder="1" applyAlignment="1">
      <alignment horizontal="left"/>
    </xf>
    <xf numFmtId="181" fontId="9" fillId="3" borderId="0" xfId="1" applyNumberFormat="1" applyFont="1" applyFill="1" applyBorder="1" applyAlignment="1">
      <alignment horizontal="center"/>
    </xf>
    <xf numFmtId="0" fontId="6" fillId="0" borderId="1" xfId="1" applyFont="1" applyBorder="1" applyAlignment="1">
      <alignment vertical="center"/>
    </xf>
    <xf numFmtId="3" fontId="6" fillId="0" borderId="0" xfId="1" applyNumberFormat="1" applyFont="1" applyBorder="1" applyAlignment="1">
      <alignment horizontal="right"/>
    </xf>
    <xf numFmtId="0" fontId="8" fillId="0" borderId="10" xfId="1" applyFont="1" applyBorder="1" applyAlignment="1">
      <alignment vertical="center"/>
    </xf>
    <xf numFmtId="0" fontId="6" fillId="0" borderId="10" xfId="1" applyFont="1" applyBorder="1" applyAlignment="1">
      <alignment vertical="center"/>
    </xf>
    <xf numFmtId="0" fontId="8" fillId="5" borderId="3" xfId="1" applyFont="1" applyFill="1" applyBorder="1" applyAlignment="1"/>
    <xf numFmtId="0" fontId="6" fillId="5" borderId="3" xfId="1" applyFont="1" applyFill="1" applyBorder="1" applyAlignment="1"/>
    <xf numFmtId="0" fontId="8" fillId="5" borderId="1" xfId="1" applyFont="1" applyFill="1" applyBorder="1" applyAlignment="1">
      <alignment horizontal="left"/>
    </xf>
    <xf numFmtId="0" fontId="3" fillId="4" borderId="0" xfId="0" applyFont="1" applyFill="1" applyBorder="1" applyAlignment="1">
      <alignment horizontal="center" wrapText="1"/>
    </xf>
    <xf numFmtId="4" fontId="9" fillId="0" borderId="0" xfId="0" applyNumberFormat="1" applyFont="1"/>
    <xf numFmtId="177" fontId="37" fillId="0" borderId="0" xfId="0" applyNumberFormat="1" applyFont="1"/>
    <xf numFmtId="0" fontId="8" fillId="0" borderId="1" xfId="1" applyFont="1" applyBorder="1" applyAlignment="1">
      <alignment horizontal="center"/>
    </xf>
    <xf numFmtId="0" fontId="6" fillId="0" borderId="0" xfId="1" applyFont="1" applyBorder="1" applyAlignment="1">
      <alignment horizontal="left" indent="1"/>
    </xf>
    <xf numFmtId="0" fontId="6" fillId="0" borderId="0" xfId="1" applyFont="1" applyBorder="1" applyAlignment="1">
      <alignment horizontal="center"/>
    </xf>
    <xf numFmtId="0" fontId="41" fillId="3" borderId="0" xfId="0" applyFont="1" applyFill="1" applyBorder="1" applyAlignment="1">
      <alignment horizontal="center"/>
    </xf>
    <xf numFmtId="0" fontId="43" fillId="3" borderId="0" xfId="0" applyFont="1" applyFill="1" applyBorder="1" applyAlignment="1">
      <alignment horizontal="center"/>
    </xf>
    <xf numFmtId="0" fontId="42" fillId="3" borderId="14" xfId="0" applyFont="1" applyFill="1" applyBorder="1" applyAlignment="1">
      <alignment horizontal="left"/>
    </xf>
    <xf numFmtId="0" fontId="39" fillId="3" borderId="5" xfId="0" applyFont="1" applyFill="1" applyBorder="1" applyAlignment="1">
      <alignment horizontal="center"/>
    </xf>
    <xf numFmtId="0" fontId="39" fillId="3" borderId="1" xfId="0" applyFont="1" applyFill="1" applyBorder="1" applyAlignment="1">
      <alignment horizontal="center"/>
    </xf>
    <xf numFmtId="0" fontId="43" fillId="3" borderId="7" xfId="0" applyFont="1" applyFill="1" applyBorder="1" applyAlignment="1">
      <alignment horizontal="center"/>
    </xf>
    <xf numFmtId="0" fontId="44" fillId="3" borderId="14" xfId="0" applyFont="1" applyFill="1" applyBorder="1" applyAlignment="1">
      <alignment horizontal="left" indent="1"/>
    </xf>
    <xf numFmtId="0" fontId="44" fillId="3" borderId="14" xfId="0" applyFont="1" applyFill="1" applyBorder="1" applyAlignment="1">
      <alignment horizontal="left"/>
    </xf>
    <xf numFmtId="0" fontId="44" fillId="3" borderId="14" xfId="0" applyFont="1" applyFill="1" applyBorder="1" applyAlignment="1">
      <alignment horizontal="left" indent="2"/>
    </xf>
    <xf numFmtId="0" fontId="5" fillId="0" borderId="14" xfId="0" applyFont="1" applyFill="1" applyBorder="1" applyAlignment="1">
      <alignment horizontal="left" indent="1"/>
    </xf>
    <xf numFmtId="0" fontId="5" fillId="3" borderId="14" xfId="0" applyFont="1" applyFill="1" applyBorder="1" applyAlignment="1">
      <alignment horizontal="left" vertical="top"/>
    </xf>
    <xf numFmtId="0" fontId="5" fillId="3" borderId="16" xfId="0" applyFont="1" applyFill="1" applyBorder="1" applyAlignment="1">
      <alignment horizontal="left" vertical="top"/>
    </xf>
    <xf numFmtId="0" fontId="5" fillId="3" borderId="18" xfId="0" applyFont="1" applyFill="1" applyBorder="1" applyAlignment="1">
      <alignment horizontal="left" vertical="top"/>
    </xf>
    <xf numFmtId="0" fontId="11" fillId="3" borderId="20" xfId="0" applyFont="1" applyFill="1" applyBorder="1" applyAlignment="1">
      <alignment horizontal="left" vertical="top"/>
    </xf>
    <xf numFmtId="0" fontId="23" fillId="3" borderId="0" xfId="0" applyFont="1" applyFill="1" applyBorder="1" applyAlignment="1">
      <alignment horizontal="center"/>
    </xf>
    <xf numFmtId="0" fontId="23" fillId="3" borderId="15" xfId="0" applyFont="1" applyFill="1" applyBorder="1" applyAlignment="1">
      <alignment horizontal="center"/>
    </xf>
    <xf numFmtId="3" fontId="6" fillId="3" borderId="0" xfId="0" applyNumberFormat="1" applyFont="1" applyFill="1"/>
    <xf numFmtId="0" fontId="38" fillId="3" borderId="0" xfId="0" applyFont="1" applyFill="1" applyBorder="1" applyAlignment="1">
      <alignment horizontal="left" vertical="top"/>
    </xf>
    <xf numFmtId="3" fontId="38" fillId="3" borderId="0" xfId="0" applyNumberFormat="1" applyFont="1" applyFill="1" applyBorder="1" applyAlignment="1">
      <alignment horizontal="center"/>
    </xf>
    <xf numFmtId="0" fontId="43" fillId="3" borderId="0" xfId="0" applyFont="1" applyFill="1" applyAlignment="1">
      <alignment horizontal="center"/>
    </xf>
    <xf numFmtId="191" fontId="43" fillId="3" borderId="0" xfId="0" applyNumberFormat="1" applyFont="1" applyFill="1" applyAlignment="1">
      <alignment horizontal="center"/>
    </xf>
    <xf numFmtId="3" fontId="1" fillId="3" borderId="0" xfId="0" applyNumberFormat="1" applyFont="1" applyFill="1" applyBorder="1" applyAlignment="1">
      <alignment horizontal="center"/>
    </xf>
    <xf numFmtId="0" fontId="1" fillId="3" borderId="0" xfId="0" applyFont="1" applyFill="1" applyBorder="1" applyAlignment="1">
      <alignment horizontal="center"/>
    </xf>
    <xf numFmtId="0" fontId="40" fillId="3" borderId="0" xfId="2" applyFont="1" applyFill="1"/>
    <xf numFmtId="0" fontId="6" fillId="3" borderId="15" xfId="0" applyFont="1" applyFill="1" applyBorder="1"/>
    <xf numFmtId="0" fontId="3" fillId="4" borderId="11" xfId="0" applyFont="1" applyFill="1" applyBorder="1" applyAlignment="1">
      <alignment wrapText="1"/>
    </xf>
    <xf numFmtId="0" fontId="3" fillId="4" borderId="12" xfId="0" applyFont="1" applyFill="1" applyBorder="1" applyAlignment="1">
      <alignment wrapText="1"/>
    </xf>
    <xf numFmtId="0" fontId="3" fillId="4" borderId="13" xfId="0" applyFont="1" applyFill="1" applyBorder="1" applyAlignment="1">
      <alignment wrapText="1"/>
    </xf>
    <xf numFmtId="0" fontId="6" fillId="0" borderId="14" xfId="0" applyFont="1" applyBorder="1" applyAlignment="1">
      <alignment horizontal="left" vertical="center"/>
    </xf>
    <xf numFmtId="177" fontId="6" fillId="3" borderId="15" xfId="0" applyNumberFormat="1" applyFont="1" applyFill="1" applyBorder="1"/>
    <xf numFmtId="177" fontId="6" fillId="3" borderId="7" xfId="0" applyNumberFormat="1" applyFont="1" applyFill="1" applyBorder="1"/>
    <xf numFmtId="177" fontId="6" fillId="3" borderId="21" xfId="0" applyNumberFormat="1" applyFont="1" applyFill="1" applyBorder="1"/>
    <xf numFmtId="177" fontId="6" fillId="3" borderId="5" xfId="0" applyNumberFormat="1" applyFont="1" applyFill="1" applyBorder="1"/>
    <xf numFmtId="177" fontId="6" fillId="3" borderId="17" xfId="0" applyNumberFormat="1" applyFont="1" applyFill="1" applyBorder="1"/>
    <xf numFmtId="177" fontId="6" fillId="3" borderId="1" xfId="0" applyNumberFormat="1" applyFont="1" applyFill="1" applyBorder="1"/>
    <xf numFmtId="177" fontId="6" fillId="3" borderId="19" xfId="0" applyNumberFormat="1" applyFont="1" applyFill="1" applyBorder="1"/>
    <xf numFmtId="0" fontId="45" fillId="3" borderId="0" xfId="0" applyFont="1" applyFill="1" applyBorder="1" applyAlignment="1">
      <alignment horizontal="center"/>
    </xf>
    <xf numFmtId="0" fontId="5" fillId="0" borderId="20" xfId="0" applyFont="1" applyFill="1" applyBorder="1" applyAlignment="1">
      <alignment horizontal="left" indent="1"/>
    </xf>
    <xf numFmtId="0" fontId="46" fillId="3" borderId="14" xfId="0" applyFont="1" applyFill="1" applyBorder="1" applyAlignment="1">
      <alignment horizontal="left"/>
    </xf>
    <xf numFmtId="0" fontId="46" fillId="3" borderId="0" xfId="0" applyFont="1" applyFill="1" applyBorder="1" applyAlignment="1">
      <alignment horizontal="center"/>
    </xf>
    <xf numFmtId="0" fontId="46" fillId="3" borderId="15" xfId="0" applyFont="1" applyFill="1" applyBorder="1" applyAlignment="1">
      <alignment horizontal="center"/>
    </xf>
    <xf numFmtId="192" fontId="5" fillId="3" borderId="0" xfId="0" applyNumberFormat="1" applyFont="1" applyFill="1" applyBorder="1" applyAlignment="1">
      <alignment horizontal="center"/>
    </xf>
    <xf numFmtId="192" fontId="5" fillId="3" borderId="15" xfId="0" applyNumberFormat="1" applyFont="1" applyFill="1" applyBorder="1" applyAlignment="1">
      <alignment horizontal="center"/>
    </xf>
    <xf numFmtId="192" fontId="45" fillId="3" borderId="0" xfId="0" applyNumberFormat="1" applyFont="1" applyFill="1" applyBorder="1" applyAlignment="1">
      <alignment horizontal="center"/>
    </xf>
    <xf numFmtId="0" fontId="44" fillId="3" borderId="25" xfId="0" applyFont="1" applyFill="1" applyBorder="1" applyAlignment="1">
      <alignment horizontal="left"/>
    </xf>
    <xf numFmtId="192" fontId="45" fillId="3" borderId="3" xfId="0" applyNumberFormat="1" applyFont="1" applyFill="1" applyBorder="1" applyAlignment="1">
      <alignment horizontal="center"/>
    </xf>
    <xf numFmtId="192" fontId="5" fillId="3" borderId="3" xfId="0" applyNumberFormat="1" applyFont="1" applyFill="1" applyBorder="1" applyAlignment="1">
      <alignment horizontal="center"/>
    </xf>
    <xf numFmtId="192" fontId="5" fillId="3" borderId="26" xfId="0" applyNumberFormat="1" applyFont="1" applyFill="1" applyBorder="1" applyAlignment="1">
      <alignment horizontal="center"/>
    </xf>
    <xf numFmtId="192" fontId="45" fillId="3" borderId="15" xfId="0" applyNumberFormat="1" applyFont="1" applyFill="1" applyBorder="1" applyAlignment="1">
      <alignment horizontal="center"/>
    </xf>
    <xf numFmtId="0" fontId="44" fillId="3" borderId="20" xfId="0" applyFont="1" applyFill="1" applyBorder="1" applyAlignment="1">
      <alignment horizontal="left"/>
    </xf>
    <xf numFmtId="192" fontId="45" fillId="3" borderId="10" xfId="0" applyNumberFormat="1" applyFont="1" applyFill="1" applyBorder="1" applyAlignment="1">
      <alignment horizontal="center"/>
    </xf>
    <xf numFmtId="192" fontId="5" fillId="3" borderId="10" xfId="0" applyNumberFormat="1" applyFont="1" applyFill="1" applyBorder="1" applyAlignment="1">
      <alignment horizontal="center"/>
    </xf>
    <xf numFmtId="192" fontId="5" fillId="3" borderId="27" xfId="0" applyNumberFormat="1" applyFont="1" applyFill="1" applyBorder="1" applyAlignment="1">
      <alignment horizontal="center"/>
    </xf>
    <xf numFmtId="192" fontId="45" fillId="3" borderId="0" xfId="0" applyNumberFormat="1" applyFont="1" applyFill="1" applyBorder="1" applyAlignment="1">
      <alignment horizontal="center" vertical="center"/>
    </xf>
    <xf numFmtId="193" fontId="46" fillId="3" borderId="0" xfId="0" applyNumberFormat="1" applyFont="1" applyFill="1" applyBorder="1" applyAlignment="1">
      <alignment horizontal="center"/>
    </xf>
    <xf numFmtId="192" fontId="10" fillId="3" borderId="0" xfId="0" applyNumberFormat="1" applyFont="1" applyFill="1" applyBorder="1" applyAlignment="1">
      <alignment horizontal="center"/>
    </xf>
    <xf numFmtId="0" fontId="10" fillId="3" borderId="0" xfId="0" applyFont="1" applyFill="1" applyBorder="1" applyAlignment="1">
      <alignment horizontal="center"/>
    </xf>
    <xf numFmtId="3" fontId="10" fillId="3" borderId="0" xfId="0" applyNumberFormat="1" applyFont="1" applyFill="1" applyBorder="1" applyAlignment="1">
      <alignment horizontal="center"/>
    </xf>
    <xf numFmtId="0" fontId="10" fillId="3" borderId="7" xfId="0" applyFont="1" applyFill="1" applyBorder="1" applyAlignment="1">
      <alignment horizontal="center"/>
    </xf>
    <xf numFmtId="192" fontId="10" fillId="3" borderId="3" xfId="0" applyNumberFormat="1" applyFont="1" applyFill="1" applyBorder="1" applyAlignment="1">
      <alignment horizontal="center" vertical="center"/>
    </xf>
    <xf numFmtId="192" fontId="10" fillId="3" borderId="0" xfId="0" applyNumberFormat="1" applyFont="1" applyFill="1" applyBorder="1" applyAlignment="1">
      <alignment horizontal="center" vertical="center"/>
    </xf>
    <xf numFmtId="4" fontId="10" fillId="3" borderId="0" xfId="0" applyNumberFormat="1" applyFont="1" applyFill="1" applyBorder="1" applyAlignment="1">
      <alignment horizontal="center" vertical="center"/>
    </xf>
    <xf numFmtId="0" fontId="6" fillId="3" borderId="14" xfId="0" applyFont="1" applyFill="1" applyBorder="1"/>
    <xf numFmtId="0" fontId="6" fillId="3" borderId="0" xfId="0" applyFont="1" applyFill="1" applyBorder="1" applyAlignment="1">
      <alignment horizontal="center"/>
    </xf>
    <xf numFmtId="0" fontId="6" fillId="3" borderId="15" xfId="0" applyFont="1" applyFill="1" applyBorder="1" applyAlignment="1">
      <alignment horizontal="center"/>
    </xf>
    <xf numFmtId="0" fontId="6" fillId="3" borderId="14" xfId="0" applyFont="1" applyFill="1" applyBorder="1" applyAlignment="1">
      <alignment horizontal="left" indent="2"/>
    </xf>
    <xf numFmtId="0" fontId="6" fillId="3" borderId="14" xfId="0" applyFont="1" applyFill="1" applyBorder="1" applyAlignment="1">
      <alignment horizontal="left"/>
    </xf>
    <xf numFmtId="194" fontId="6" fillId="3" borderId="14" xfId="0" applyNumberFormat="1" applyFont="1" applyFill="1" applyBorder="1" applyAlignment="1">
      <alignment horizontal="left" indent="1"/>
    </xf>
    <xf numFmtId="0" fontId="6" fillId="3" borderId="20" xfId="0" applyFont="1" applyFill="1" applyBorder="1"/>
    <xf numFmtId="0" fontId="40" fillId="3" borderId="0" xfId="2" applyFont="1" applyFill="1" applyBorder="1"/>
    <xf numFmtId="9" fontId="6" fillId="3" borderId="0" xfId="0" applyNumberFormat="1" applyFont="1" applyFill="1" applyBorder="1" applyAlignment="1">
      <alignment horizontal="center"/>
    </xf>
    <xf numFmtId="9" fontId="6" fillId="3" borderId="15" xfId="0" applyNumberFormat="1" applyFont="1" applyFill="1" applyBorder="1" applyAlignment="1">
      <alignment horizontal="center"/>
    </xf>
    <xf numFmtId="3" fontId="6" fillId="3" borderId="0" xfId="0" applyNumberFormat="1" applyFont="1" applyFill="1" applyBorder="1" applyAlignment="1">
      <alignment horizontal="center"/>
    </xf>
    <xf numFmtId="3" fontId="6" fillId="3" borderId="15" xfId="0" applyNumberFormat="1" applyFont="1" applyFill="1" applyBorder="1" applyAlignment="1">
      <alignment horizontal="center"/>
    </xf>
    <xf numFmtId="0" fontId="38" fillId="3" borderId="28" xfId="0" applyFont="1" applyFill="1" applyBorder="1"/>
    <xf numFmtId="0" fontId="38" fillId="3" borderId="10" xfId="0" applyFont="1" applyFill="1" applyBorder="1"/>
    <xf numFmtId="0" fontId="38" fillId="3" borderId="27" xfId="0" applyFont="1" applyFill="1" applyBorder="1"/>
    <xf numFmtId="0" fontId="11" fillId="3" borderId="14" xfId="0" applyFont="1" applyFill="1" applyBorder="1"/>
    <xf numFmtId="0" fontId="11" fillId="3" borderId="25" xfId="0" applyFont="1" applyFill="1" applyBorder="1"/>
    <xf numFmtId="0" fontId="6" fillId="3" borderId="30" xfId="0" applyFont="1" applyFill="1" applyBorder="1" applyAlignment="1">
      <alignment horizontal="center"/>
    </xf>
    <xf numFmtId="0" fontId="6" fillId="3" borderId="33" xfId="0" applyFont="1" applyFill="1" applyBorder="1" applyAlignment="1">
      <alignment horizontal="center"/>
    </xf>
    <xf numFmtId="3" fontId="6" fillId="3" borderId="30" xfId="0" applyNumberFormat="1" applyFont="1" applyFill="1" applyBorder="1" applyAlignment="1">
      <alignment horizontal="center"/>
    </xf>
    <xf numFmtId="3" fontId="6" fillId="3" borderId="33" xfId="0" applyNumberFormat="1" applyFont="1" applyFill="1" applyBorder="1" applyAlignment="1">
      <alignment horizontal="center"/>
    </xf>
    <xf numFmtId="3" fontId="11" fillId="3" borderId="4" xfId="0" applyNumberFormat="1" applyFont="1" applyFill="1" applyBorder="1" applyAlignment="1">
      <alignment horizontal="center"/>
    </xf>
    <xf numFmtId="3" fontId="6" fillId="3" borderId="21" xfId="0" applyNumberFormat="1" applyFont="1" applyFill="1" applyBorder="1" applyAlignment="1">
      <alignment horizontal="center"/>
    </xf>
    <xf numFmtId="0" fontId="10" fillId="3" borderId="15" xfId="0" applyFont="1" applyFill="1" applyBorder="1" applyAlignment="1">
      <alignment horizontal="center"/>
    </xf>
    <xf numFmtId="3" fontId="11" fillId="3" borderId="10" xfId="0" applyNumberFormat="1" applyFont="1" applyFill="1" applyBorder="1" applyAlignment="1">
      <alignment horizontal="center"/>
    </xf>
    <xf numFmtId="3" fontId="11" fillId="3" borderId="27" xfId="0" applyNumberFormat="1" applyFont="1" applyFill="1" applyBorder="1" applyAlignment="1">
      <alignment horizontal="center"/>
    </xf>
    <xf numFmtId="185" fontId="5" fillId="3" borderId="0" xfId="0" applyNumberFormat="1" applyFont="1" applyFill="1" applyBorder="1" applyAlignment="1">
      <alignment horizontal="center"/>
    </xf>
    <xf numFmtId="185" fontId="5" fillId="3" borderId="15" xfId="0" applyNumberFormat="1" applyFont="1" applyFill="1" applyBorder="1" applyAlignment="1">
      <alignment horizontal="center"/>
    </xf>
    <xf numFmtId="0" fontId="6" fillId="3" borderId="0" xfId="0" applyFont="1" applyFill="1" applyBorder="1" applyAlignment="1">
      <alignment horizontal="left" indent="2"/>
    </xf>
    <xf numFmtId="0" fontId="6" fillId="3" borderId="0" xfId="0" applyFont="1" applyFill="1" applyBorder="1" applyAlignment="1">
      <alignment horizontal="left"/>
    </xf>
    <xf numFmtId="0" fontId="11" fillId="3" borderId="3" xfId="0" applyFont="1" applyFill="1" applyBorder="1"/>
    <xf numFmtId="194" fontId="6" fillId="3" borderId="0" xfId="0" applyNumberFormat="1" applyFont="1" applyFill="1" applyBorder="1" applyAlignment="1">
      <alignment horizontal="left" indent="1"/>
    </xf>
    <xf numFmtId="0" fontId="6" fillId="3" borderId="7" xfId="0" applyFont="1" applyFill="1" applyBorder="1"/>
    <xf numFmtId="0" fontId="11" fillId="3" borderId="0" xfId="0" applyFont="1" applyFill="1" applyBorder="1"/>
    <xf numFmtId="0" fontId="10" fillId="3" borderId="30" xfId="0" applyFont="1" applyFill="1" applyBorder="1" applyAlignment="1">
      <alignment horizontal="center"/>
    </xf>
    <xf numFmtId="9" fontId="10" fillId="3" borderId="30" xfId="0" applyNumberFormat="1" applyFont="1" applyFill="1" applyBorder="1" applyAlignment="1">
      <alignment horizontal="center"/>
    </xf>
    <xf numFmtId="3" fontId="11" fillId="3" borderId="29" xfId="0" applyNumberFormat="1" applyFont="1" applyFill="1" applyBorder="1" applyAlignment="1">
      <alignment horizontal="center"/>
    </xf>
    <xf numFmtId="0" fontId="10" fillId="3" borderId="33" xfId="0" applyFont="1" applyFill="1" applyBorder="1" applyAlignment="1">
      <alignment horizontal="center"/>
    </xf>
    <xf numFmtId="9" fontId="6" fillId="3" borderId="33" xfId="0" applyNumberFormat="1" applyFont="1" applyFill="1" applyBorder="1" applyAlignment="1">
      <alignment horizontal="center"/>
    </xf>
    <xf numFmtId="185" fontId="5" fillId="3" borderId="33" xfId="0" applyNumberFormat="1" applyFont="1" applyFill="1" applyBorder="1" applyAlignment="1">
      <alignment horizontal="center"/>
    </xf>
    <xf numFmtId="3" fontId="11" fillId="3" borderId="37" xfId="0" applyNumberFormat="1" applyFont="1" applyFill="1" applyBorder="1" applyAlignment="1">
      <alignment horizontal="center"/>
    </xf>
    <xf numFmtId="0" fontId="11" fillId="3" borderId="0" xfId="0" applyFont="1" applyFill="1" applyBorder="1" applyAlignment="1">
      <alignment horizontal="center"/>
    </xf>
    <xf numFmtId="0" fontId="11" fillId="3" borderId="15" xfId="0" applyFont="1" applyFill="1" applyBorder="1"/>
    <xf numFmtId="0" fontId="11" fillId="3" borderId="28" xfId="0" applyFont="1" applyFill="1" applyBorder="1"/>
    <xf numFmtId="0" fontId="11" fillId="3" borderId="10" xfId="0" applyFont="1" applyFill="1" applyBorder="1"/>
    <xf numFmtId="3" fontId="6" fillId="3" borderId="15" xfId="0" applyNumberFormat="1" applyFont="1" applyFill="1" applyBorder="1" applyAlignment="1">
      <alignment horizontal="right"/>
    </xf>
    <xf numFmtId="3" fontId="11" fillId="3" borderId="27" xfId="0" applyNumberFormat="1" applyFont="1" applyFill="1" applyBorder="1"/>
    <xf numFmtId="0" fontId="4" fillId="3" borderId="0" xfId="0" applyFont="1" applyFill="1"/>
    <xf numFmtId="3" fontId="5" fillId="3" borderId="15" xfId="0" applyNumberFormat="1" applyFont="1" applyFill="1" applyBorder="1" applyAlignment="1">
      <alignment horizontal="right"/>
    </xf>
    <xf numFmtId="0" fontId="5" fillId="3" borderId="15" xfId="0" applyFont="1" applyFill="1" applyBorder="1" applyAlignment="1">
      <alignment horizontal="right"/>
    </xf>
    <xf numFmtId="0" fontId="5" fillId="3" borderId="21" xfId="0" applyFont="1" applyFill="1" applyBorder="1" applyAlignment="1">
      <alignment horizontal="right"/>
    </xf>
    <xf numFmtId="0" fontId="30" fillId="0" borderId="0" xfId="0" applyFont="1" applyFill="1" applyBorder="1" applyAlignment="1">
      <alignment horizontal="left" indent="1"/>
    </xf>
    <xf numFmtId="177" fontId="10" fillId="3" borderId="0" xfId="0" applyNumberFormat="1" applyFont="1" applyFill="1" applyBorder="1" applyAlignment="1">
      <alignment horizontal="center"/>
    </xf>
    <xf numFmtId="177" fontId="10" fillId="3" borderId="30" xfId="0" applyNumberFormat="1" applyFont="1" applyFill="1" applyBorder="1" applyAlignment="1">
      <alignment horizontal="center"/>
    </xf>
    <xf numFmtId="177" fontId="10" fillId="3" borderId="33" xfId="0" applyNumberFormat="1" applyFont="1" applyFill="1" applyBorder="1" applyAlignment="1">
      <alignment horizontal="center"/>
    </xf>
    <xf numFmtId="177" fontId="10" fillId="3" borderId="15" xfId="0" applyNumberFormat="1" applyFont="1" applyFill="1" applyBorder="1" applyAlignment="1">
      <alignment horizontal="center"/>
    </xf>
    <xf numFmtId="177" fontId="10" fillId="3" borderId="7" xfId="0" applyNumberFormat="1" applyFont="1" applyFill="1" applyBorder="1" applyAlignment="1">
      <alignment horizontal="center"/>
    </xf>
    <xf numFmtId="185" fontId="10" fillId="3" borderId="30" xfId="0" applyNumberFormat="1" applyFont="1" applyFill="1" applyBorder="1" applyAlignment="1">
      <alignment horizontal="center"/>
    </xf>
    <xf numFmtId="185" fontId="6" fillId="3" borderId="0" xfId="0" applyNumberFormat="1" applyFont="1" applyFill="1"/>
    <xf numFmtId="185" fontId="6" fillId="0" borderId="0" xfId="0" applyNumberFormat="1" applyFont="1" applyAlignment="1">
      <alignment vertical="center"/>
    </xf>
    <xf numFmtId="177" fontId="10" fillId="3" borderId="0" xfId="0" applyNumberFormat="1" applyFont="1" applyFill="1" applyBorder="1" applyAlignment="1">
      <alignment horizontal="center" vertical="center"/>
    </xf>
    <xf numFmtId="177" fontId="11" fillId="3" borderId="0" xfId="0" applyNumberFormat="1" applyFont="1" applyFill="1"/>
    <xf numFmtId="195" fontId="12" fillId="0" borderId="0" xfId="0" applyNumberFormat="1" applyFont="1" applyBorder="1" applyAlignment="1">
      <alignment horizontal="center" vertical="center"/>
    </xf>
    <xf numFmtId="195" fontId="6" fillId="0" borderId="0" xfId="0" applyNumberFormat="1" applyFont="1" applyBorder="1" applyAlignment="1">
      <alignment horizontal="center" vertical="center"/>
    </xf>
    <xf numFmtId="0" fontId="3" fillId="4" borderId="0" xfId="0" applyFont="1" applyFill="1" applyBorder="1" applyAlignment="1">
      <alignment horizontal="center" wrapText="1"/>
    </xf>
    <xf numFmtId="196" fontId="49" fillId="0" borderId="0" xfId="0" applyNumberFormat="1" applyFont="1"/>
    <xf numFmtId="177" fontId="6" fillId="11" borderId="0" xfId="0" applyNumberFormat="1" applyFont="1" applyFill="1"/>
    <xf numFmtId="177" fontId="6" fillId="9" borderId="0" xfId="0" applyNumberFormat="1" applyFont="1" applyFill="1"/>
    <xf numFmtId="177" fontId="6" fillId="8" borderId="0" xfId="0" applyNumberFormat="1" applyFont="1" applyFill="1"/>
    <xf numFmtId="177" fontId="8" fillId="5" borderId="3" xfId="0" applyNumberFormat="1" applyFont="1" applyFill="1" applyBorder="1"/>
    <xf numFmtId="180" fontId="40" fillId="3" borderId="0" xfId="2" applyNumberFormat="1" applyFont="1" applyFill="1"/>
    <xf numFmtId="178" fontId="8" fillId="0" borderId="0" xfId="0" applyNumberFormat="1" applyFont="1"/>
    <xf numFmtId="9" fontId="12" fillId="0" borderId="0" xfId="0" applyNumberFormat="1" applyFont="1"/>
    <xf numFmtId="177" fontId="6" fillId="3" borderId="0" xfId="1" applyNumberFormat="1" applyFont="1" applyFill="1" applyBorder="1"/>
    <xf numFmtId="179" fontId="6" fillId="0" borderId="0" xfId="0" applyNumberFormat="1" applyFont="1"/>
    <xf numFmtId="0" fontId="21" fillId="0" borderId="0" xfId="0" applyFont="1" applyAlignment="1">
      <alignment horizontal="center"/>
    </xf>
    <xf numFmtId="0" fontId="5" fillId="3" borderId="0" xfId="0" applyFont="1" applyFill="1"/>
    <xf numFmtId="37" fontId="10" fillId="3" borderId="0" xfId="0" applyNumberFormat="1" applyFont="1" applyFill="1" applyBorder="1"/>
    <xf numFmtId="0" fontId="6" fillId="0" borderId="1" xfId="0" applyFont="1" applyBorder="1"/>
    <xf numFmtId="37" fontId="6" fillId="3" borderId="1" xfId="0" applyNumberFormat="1" applyFont="1" applyFill="1" applyBorder="1"/>
    <xf numFmtId="0" fontId="6" fillId="0" borderId="5" xfId="0" applyFont="1" applyBorder="1"/>
    <xf numFmtId="177" fontId="6" fillId="0" borderId="5" xfId="0" applyNumberFormat="1" applyFont="1" applyBorder="1"/>
    <xf numFmtId="14" fontId="9" fillId="3" borderId="0" xfId="0" applyNumberFormat="1" applyFont="1" applyFill="1" applyBorder="1"/>
    <xf numFmtId="37" fontId="8" fillId="3" borderId="1" xfId="0" applyNumberFormat="1" applyFont="1" applyFill="1" applyBorder="1"/>
    <xf numFmtId="0" fontId="8" fillId="0" borderId="0" xfId="0" applyFont="1" applyBorder="1"/>
    <xf numFmtId="0" fontId="3" fillId="4" borderId="38" xfId="1" applyFont="1" applyFill="1" applyBorder="1"/>
    <xf numFmtId="0" fontId="3" fillId="4" borderId="5" xfId="1" applyFont="1" applyFill="1" applyBorder="1"/>
    <xf numFmtId="0" fontId="8" fillId="3" borderId="0" xfId="1" applyFont="1" applyFill="1" applyBorder="1" applyAlignment="1">
      <alignment horizontal="center" vertical="center"/>
    </xf>
    <xf numFmtId="0" fontId="50" fillId="3" borderId="0" xfId="1" applyFont="1" applyFill="1"/>
    <xf numFmtId="0" fontId="3" fillId="4" borderId="39" xfId="1" applyFont="1" applyFill="1" applyBorder="1" applyAlignment="1">
      <alignment horizontal="center"/>
    </xf>
    <xf numFmtId="0" fontId="3" fillId="4" borderId="30" xfId="1" applyFont="1" applyFill="1" applyBorder="1"/>
    <xf numFmtId="0" fontId="3" fillId="4" borderId="0" xfId="1" applyFont="1" applyFill="1" applyBorder="1"/>
    <xf numFmtId="0" fontId="3" fillId="4" borderId="0" xfId="1" applyFont="1" applyFill="1" applyBorder="1" applyAlignment="1">
      <alignment horizontal="center"/>
    </xf>
    <xf numFmtId="0" fontId="3" fillId="4" borderId="33" xfId="1" applyFont="1" applyFill="1" applyBorder="1" applyAlignment="1">
      <alignment horizontal="center"/>
    </xf>
    <xf numFmtId="0" fontId="12" fillId="3" borderId="0" xfId="1" applyFont="1" applyFill="1" applyBorder="1" applyAlignment="1">
      <alignment horizontal="center" vertical="center"/>
    </xf>
    <xf numFmtId="0" fontId="6" fillId="3" borderId="30" xfId="1" applyFont="1" applyFill="1" applyBorder="1" applyAlignment="1">
      <alignment horizontal="left" vertical="center"/>
    </xf>
    <xf numFmtId="14" fontId="6" fillId="3" borderId="0" xfId="1" applyNumberFormat="1" applyFont="1" applyFill="1" applyBorder="1" applyAlignment="1">
      <alignment horizontal="center" vertical="center"/>
    </xf>
    <xf numFmtId="14" fontId="6" fillId="3" borderId="33" xfId="1" applyNumberFormat="1" applyFont="1" applyFill="1" applyBorder="1" applyAlignment="1">
      <alignment horizontal="center" vertical="center"/>
    </xf>
    <xf numFmtId="14" fontId="10" fillId="3" borderId="0" xfId="1" applyNumberFormat="1" applyFont="1" applyFill="1" applyBorder="1" applyAlignment="1">
      <alignment horizontal="center" vertical="center"/>
    </xf>
    <xf numFmtId="0" fontId="8" fillId="3" borderId="30" xfId="1" applyFont="1" applyFill="1" applyBorder="1" applyAlignment="1">
      <alignment vertical="center"/>
    </xf>
    <xf numFmtId="0" fontId="8" fillId="3" borderId="0" xfId="1" applyFont="1" applyFill="1" applyBorder="1" applyAlignment="1">
      <alignment vertical="center"/>
    </xf>
    <xf numFmtId="0" fontId="50" fillId="3" borderId="0" xfId="1" applyFont="1" applyFill="1" applyBorder="1"/>
    <xf numFmtId="0" fontId="50" fillId="3" borderId="33" xfId="1" applyFont="1" applyFill="1" applyBorder="1"/>
    <xf numFmtId="0" fontId="6" fillId="3" borderId="0" xfId="1" applyFont="1" applyFill="1" applyBorder="1" applyAlignment="1">
      <alignment vertical="center"/>
    </xf>
    <xf numFmtId="0" fontId="6" fillId="3" borderId="38" xfId="1" applyFont="1" applyFill="1" applyBorder="1" applyAlignment="1">
      <alignment vertical="center"/>
    </xf>
    <xf numFmtId="0" fontId="6" fillId="3" borderId="5" xfId="1" applyFont="1" applyFill="1" applyBorder="1" applyAlignment="1">
      <alignment vertical="center"/>
    </xf>
    <xf numFmtId="177" fontId="6" fillId="3" borderId="5" xfId="1" applyNumberFormat="1" applyFont="1" applyFill="1" applyBorder="1" applyAlignment="1">
      <alignment vertical="center"/>
    </xf>
    <xf numFmtId="177" fontId="6" fillId="3" borderId="39" xfId="1" applyNumberFormat="1" applyFont="1" applyFill="1" applyBorder="1" applyAlignment="1">
      <alignment vertical="center"/>
    </xf>
    <xf numFmtId="0" fontId="6" fillId="3" borderId="30" xfId="1" applyFont="1" applyFill="1" applyBorder="1" applyAlignment="1">
      <alignment vertical="center"/>
    </xf>
    <xf numFmtId="177" fontId="6" fillId="3" borderId="0" xfId="1" applyNumberFormat="1" applyFont="1" applyFill="1" applyBorder="1" applyAlignment="1">
      <alignment vertical="center"/>
    </xf>
    <xf numFmtId="177" fontId="6" fillId="3" borderId="33" xfId="1" applyNumberFormat="1" applyFont="1" applyFill="1" applyBorder="1" applyAlignment="1">
      <alignment vertical="center"/>
    </xf>
    <xf numFmtId="185" fontId="6" fillId="3" borderId="5" xfId="1" applyNumberFormat="1" applyFont="1" applyFill="1" applyBorder="1" applyAlignment="1">
      <alignment vertical="center"/>
    </xf>
    <xf numFmtId="185" fontId="6" fillId="3" borderId="39" xfId="1" applyNumberFormat="1" applyFont="1" applyFill="1" applyBorder="1" applyAlignment="1">
      <alignment vertical="center"/>
    </xf>
    <xf numFmtId="0" fontId="6" fillId="3" borderId="31" xfId="1" applyFont="1" applyFill="1" applyBorder="1" applyAlignment="1">
      <alignment vertical="center"/>
    </xf>
    <xf numFmtId="0" fontId="6" fillId="3" borderId="1" xfId="1" applyFont="1" applyFill="1" applyBorder="1" applyAlignment="1">
      <alignment vertical="center"/>
    </xf>
    <xf numFmtId="14" fontId="6" fillId="3" borderId="1" xfId="1" applyNumberFormat="1" applyFont="1" applyFill="1" applyBorder="1" applyAlignment="1">
      <alignment horizontal="center" vertical="center"/>
    </xf>
    <xf numFmtId="14" fontId="6" fillId="3" borderId="34" xfId="1" applyNumberFormat="1" applyFont="1" applyFill="1" applyBorder="1" applyAlignment="1">
      <alignment horizontal="center" vertical="center"/>
    </xf>
    <xf numFmtId="185" fontId="6" fillId="3" borderId="1" xfId="1" applyNumberFormat="1" applyFont="1" applyFill="1" applyBorder="1" applyAlignment="1">
      <alignment vertical="center"/>
    </xf>
    <xf numFmtId="185" fontId="6" fillId="3" borderId="34" xfId="1" applyNumberFormat="1" applyFont="1" applyFill="1" applyBorder="1" applyAlignment="1">
      <alignment vertical="center"/>
    </xf>
    <xf numFmtId="37" fontId="8" fillId="3" borderId="0" xfId="1" applyNumberFormat="1" applyFont="1" applyFill="1" applyBorder="1" applyAlignment="1">
      <alignment horizontal="center" vertical="center"/>
    </xf>
    <xf numFmtId="37" fontId="6" fillId="3" borderId="0" xfId="1" applyNumberFormat="1" applyFont="1" applyFill="1" applyBorder="1" applyAlignment="1">
      <alignment horizontal="center" vertical="center"/>
    </xf>
    <xf numFmtId="0" fontId="6" fillId="3" borderId="33" xfId="1" applyFont="1" applyFill="1" applyBorder="1" applyAlignment="1">
      <alignment vertical="center"/>
    </xf>
    <xf numFmtId="0" fontId="3" fillId="4" borderId="0" xfId="1" applyFont="1" applyFill="1" applyBorder="1" applyAlignment="1">
      <alignment horizontal="center" vertical="center"/>
    </xf>
    <xf numFmtId="0" fontId="3" fillId="4" borderId="33" xfId="1" applyFont="1" applyFill="1" applyBorder="1" applyAlignment="1">
      <alignment horizontal="center" vertical="center"/>
    </xf>
    <xf numFmtId="185" fontId="6" fillId="3" borderId="0" xfId="1" applyNumberFormat="1" applyFont="1" applyFill="1" applyBorder="1" applyAlignment="1">
      <alignment vertical="center"/>
    </xf>
    <xf numFmtId="185" fontId="6" fillId="3" borderId="33" xfId="1" applyNumberFormat="1" applyFont="1" applyFill="1" applyBorder="1" applyAlignment="1">
      <alignment vertical="center"/>
    </xf>
    <xf numFmtId="0" fontId="8" fillId="3" borderId="30" xfId="1" applyFont="1" applyFill="1" applyBorder="1" applyAlignment="1">
      <alignment horizontal="left" vertical="center"/>
    </xf>
    <xf numFmtId="37" fontId="6" fillId="3" borderId="33" xfId="1" applyNumberFormat="1" applyFont="1" applyFill="1" applyBorder="1" applyAlignment="1">
      <alignment horizontal="center" vertical="center"/>
    </xf>
    <xf numFmtId="0" fontId="6" fillId="3" borderId="30" xfId="1" applyFont="1" applyFill="1" applyBorder="1" applyAlignment="1">
      <alignment horizontal="left" vertical="center" indent="1"/>
    </xf>
    <xf numFmtId="37" fontId="9" fillId="3" borderId="0" xfId="1" applyNumberFormat="1" applyFont="1" applyFill="1" applyBorder="1" applyAlignment="1">
      <alignment horizontal="center" vertical="center"/>
    </xf>
    <xf numFmtId="188" fontId="6" fillId="3" borderId="1" xfId="1" applyNumberFormat="1" applyFont="1" applyFill="1" applyBorder="1" applyAlignment="1">
      <alignment vertical="center"/>
    </xf>
    <xf numFmtId="188" fontId="6" fillId="3" borderId="34" xfId="1" applyNumberFormat="1" applyFont="1" applyFill="1" applyBorder="1" applyAlignment="1">
      <alignment vertical="center"/>
    </xf>
    <xf numFmtId="0" fontId="11" fillId="3" borderId="30" xfId="1" applyFont="1" applyFill="1" applyBorder="1"/>
    <xf numFmtId="0" fontId="5" fillId="3" borderId="0" xfId="1" applyFont="1" applyFill="1" applyBorder="1"/>
    <xf numFmtId="0" fontId="5" fillId="3" borderId="33" xfId="1" applyFont="1" applyFill="1" applyBorder="1"/>
    <xf numFmtId="0" fontId="6" fillId="3" borderId="4" xfId="1" applyFont="1" applyFill="1" applyBorder="1" applyAlignment="1">
      <alignment horizontal="left" vertical="center"/>
    </xf>
    <xf numFmtId="0" fontId="50" fillId="3" borderId="3" xfId="1" applyFont="1" applyFill="1" applyBorder="1"/>
    <xf numFmtId="37" fontId="8" fillId="3" borderId="3" xfId="1" applyNumberFormat="1" applyFont="1" applyFill="1" applyBorder="1" applyAlignment="1">
      <alignment horizontal="center" vertical="center"/>
    </xf>
    <xf numFmtId="37" fontId="6" fillId="3" borderId="3" xfId="1" applyNumberFormat="1" applyFont="1" applyFill="1" applyBorder="1" applyAlignment="1">
      <alignment horizontal="center" vertical="center"/>
    </xf>
    <xf numFmtId="37" fontId="6" fillId="3" borderId="35" xfId="1" applyNumberFormat="1" applyFont="1" applyFill="1" applyBorder="1" applyAlignment="1">
      <alignment horizontal="center" vertical="center"/>
    </xf>
    <xf numFmtId="0" fontId="5" fillId="3" borderId="30" xfId="1" applyFont="1" applyFill="1" applyBorder="1" applyAlignment="1">
      <alignment horizontal="left" indent="1"/>
    </xf>
    <xf numFmtId="10" fontId="5" fillId="3" borderId="0" xfId="1" applyNumberFormat="1" applyFont="1" applyFill="1" applyBorder="1"/>
    <xf numFmtId="10" fontId="5" fillId="3" borderId="33" xfId="1" applyNumberFormat="1" applyFont="1" applyFill="1" applyBorder="1"/>
    <xf numFmtId="177" fontId="5" fillId="3" borderId="0" xfId="1" applyNumberFormat="1" applyFont="1" applyFill="1" applyBorder="1"/>
    <xf numFmtId="177" fontId="5" fillId="3" borderId="33" xfId="1" applyNumberFormat="1" applyFont="1" applyFill="1" applyBorder="1"/>
    <xf numFmtId="9" fontId="5" fillId="3" borderId="0" xfId="1" applyNumberFormat="1" applyFont="1" applyFill="1" applyBorder="1"/>
    <xf numFmtId="9" fontId="5" fillId="3" borderId="33" xfId="1" applyNumberFormat="1" applyFont="1" applyFill="1" applyBorder="1"/>
    <xf numFmtId="0" fontId="6" fillId="3" borderId="0" xfId="1" applyFont="1" applyFill="1" applyAlignment="1">
      <alignment vertical="center"/>
    </xf>
    <xf numFmtId="177" fontId="6" fillId="3" borderId="0" xfId="1" applyNumberFormat="1" applyFont="1" applyFill="1" applyBorder="1" applyAlignment="1">
      <alignment horizontal="left" vertical="center" indent="1"/>
    </xf>
    <xf numFmtId="0" fontId="3" fillId="4" borderId="0" xfId="1" applyFont="1" applyFill="1" applyBorder="1" applyAlignment="1">
      <alignment horizontal="center" vertical="center" wrapText="1"/>
    </xf>
    <xf numFmtId="0" fontId="22" fillId="3" borderId="0" xfId="1" applyFont="1" applyFill="1" applyBorder="1" applyAlignment="1">
      <alignment horizontal="left" vertical="center" indent="1"/>
    </xf>
    <xf numFmtId="0" fontId="6" fillId="13" borderId="4" xfId="1" applyFont="1" applyFill="1" applyBorder="1" applyAlignment="1">
      <alignment horizontal="left" vertical="center"/>
    </xf>
    <xf numFmtId="0" fontId="51" fillId="13" borderId="3" xfId="1" applyFont="1" applyFill="1" applyBorder="1"/>
    <xf numFmtId="37" fontId="8" fillId="13" borderId="3" xfId="1" applyNumberFormat="1" applyFont="1" applyFill="1" applyBorder="1" applyAlignment="1">
      <alignment horizontal="center" vertical="center"/>
    </xf>
    <xf numFmtId="37" fontId="6" fillId="13" borderId="3" xfId="1" applyNumberFormat="1" applyFont="1" applyFill="1" applyBorder="1" applyAlignment="1">
      <alignment horizontal="center" vertical="center"/>
    </xf>
    <xf numFmtId="37" fontId="6" fillId="13" borderId="35" xfId="1" applyNumberFormat="1" applyFont="1" applyFill="1" applyBorder="1" applyAlignment="1">
      <alignment horizontal="center" vertical="center"/>
    </xf>
    <xf numFmtId="0" fontId="52" fillId="3" borderId="0" xfId="1" applyFont="1" applyFill="1"/>
    <xf numFmtId="177" fontId="11" fillId="3" borderId="0" xfId="1" applyNumberFormat="1" applyFont="1" applyFill="1" applyBorder="1"/>
    <xf numFmtId="177" fontId="11" fillId="3" borderId="33" xfId="1" applyNumberFormat="1" applyFont="1" applyFill="1" applyBorder="1"/>
    <xf numFmtId="0" fontId="11" fillId="3" borderId="31" xfId="1" applyFont="1" applyFill="1" applyBorder="1"/>
    <xf numFmtId="0" fontId="50" fillId="3" borderId="1" xfId="1" applyFont="1" applyFill="1" applyBorder="1"/>
    <xf numFmtId="177" fontId="11" fillId="3" borderId="1" xfId="1" applyNumberFormat="1" applyFont="1" applyFill="1" applyBorder="1"/>
    <xf numFmtId="177" fontId="11" fillId="3" borderId="34" xfId="1" applyNumberFormat="1" applyFont="1" applyFill="1" applyBorder="1"/>
    <xf numFmtId="0" fontId="3" fillId="4" borderId="31" xfId="1" applyFont="1" applyFill="1" applyBorder="1"/>
    <xf numFmtId="0" fontId="3" fillId="4" borderId="1" xfId="1" applyFont="1" applyFill="1" applyBorder="1"/>
    <xf numFmtId="0" fontId="3" fillId="4" borderId="1" xfId="1" applyFont="1" applyFill="1" applyBorder="1" applyAlignment="1">
      <alignment horizontal="center"/>
    </xf>
    <xf numFmtId="0" fontId="3" fillId="4" borderId="34" xfId="1" applyFont="1" applyFill="1" applyBorder="1" applyAlignment="1">
      <alignment horizontal="center"/>
    </xf>
    <xf numFmtId="0" fontId="22" fillId="3" borderId="30" xfId="1" applyFont="1" applyFill="1" applyBorder="1" applyAlignment="1">
      <alignment horizontal="left" vertical="center" indent="1"/>
    </xf>
    <xf numFmtId="177" fontId="6" fillId="3" borderId="0" xfId="1" applyNumberFormat="1" applyFont="1" applyFill="1" applyBorder="1" applyAlignment="1">
      <alignment horizontal="center" vertical="center"/>
    </xf>
    <xf numFmtId="9" fontId="9" fillId="3" borderId="0" xfId="1" applyNumberFormat="1" applyFont="1" applyFill="1" applyBorder="1" applyAlignment="1">
      <alignment horizontal="center" vertical="center"/>
    </xf>
    <xf numFmtId="9" fontId="9" fillId="3" borderId="33" xfId="1" applyNumberFormat="1" applyFont="1" applyFill="1" applyBorder="1" applyAlignment="1">
      <alignment horizontal="center" vertical="center"/>
    </xf>
    <xf numFmtId="177" fontId="9" fillId="3" borderId="0" xfId="1" applyNumberFormat="1" applyFont="1" applyFill="1" applyBorder="1" applyAlignment="1">
      <alignment horizontal="center" vertical="center"/>
    </xf>
    <xf numFmtId="177" fontId="9" fillId="3" borderId="33" xfId="1" applyNumberFormat="1" applyFont="1" applyFill="1" applyBorder="1" applyAlignment="1">
      <alignment horizontal="center" vertical="center"/>
    </xf>
    <xf numFmtId="0" fontId="22" fillId="3" borderId="0" xfId="1" applyFont="1" applyFill="1" applyBorder="1" applyAlignment="1">
      <alignment horizontal="center" vertical="center"/>
    </xf>
    <xf numFmtId="0" fontId="53" fillId="3" borderId="0" xfId="1" applyFont="1" applyFill="1" applyBorder="1" applyAlignment="1">
      <alignment horizontal="center" vertical="center"/>
    </xf>
    <xf numFmtId="0" fontId="53" fillId="3" borderId="33" xfId="1" applyFont="1" applyFill="1" applyBorder="1" applyAlignment="1">
      <alignment horizontal="center" vertical="center"/>
    </xf>
    <xf numFmtId="0" fontId="3" fillId="4" borderId="5" xfId="1" applyFont="1" applyFill="1" applyBorder="1" applyAlignment="1"/>
    <xf numFmtId="0" fontId="3" fillId="4" borderId="1" xfId="1" applyFont="1" applyFill="1" applyBorder="1" applyAlignment="1">
      <alignment horizontal="center" vertical="center" wrapText="1"/>
    </xf>
    <xf numFmtId="0" fontId="3" fillId="4" borderId="1" xfId="1" applyFont="1" applyFill="1" applyBorder="1" applyAlignment="1">
      <alignment horizontal="center" vertical="center"/>
    </xf>
    <xf numFmtId="0" fontId="3" fillId="4" borderId="34" xfId="1" applyFont="1" applyFill="1" applyBorder="1" applyAlignment="1">
      <alignment horizontal="center" vertical="center"/>
    </xf>
    <xf numFmtId="0" fontId="8" fillId="13" borderId="38" xfId="1" applyFont="1" applyFill="1" applyBorder="1" applyAlignment="1">
      <alignment horizontal="left" vertical="center"/>
    </xf>
    <xf numFmtId="0" fontId="50" fillId="3" borderId="5" xfId="1" applyFont="1" applyFill="1" applyBorder="1"/>
    <xf numFmtId="0" fontId="50" fillId="3" borderId="39" xfId="1" applyFont="1" applyFill="1" applyBorder="1"/>
    <xf numFmtId="0" fontId="6" fillId="13" borderId="30" xfId="1" applyFont="1" applyFill="1" applyBorder="1" applyAlignment="1">
      <alignment horizontal="left" vertical="center" indent="1"/>
    </xf>
    <xf numFmtId="177" fontId="5" fillId="3" borderId="0" xfId="1" applyNumberFormat="1" applyFont="1" applyFill="1" applyBorder="1" applyAlignment="1">
      <alignment horizontal="center"/>
    </xf>
    <xf numFmtId="9" fontId="5" fillId="3" borderId="0" xfId="1" applyNumberFormat="1" applyFont="1" applyFill="1" applyBorder="1" applyAlignment="1">
      <alignment horizontal="center"/>
    </xf>
    <xf numFmtId="9" fontId="5" fillId="3" borderId="33" xfId="1" applyNumberFormat="1" applyFont="1" applyFill="1" applyBorder="1" applyAlignment="1">
      <alignment horizontal="center"/>
    </xf>
    <xf numFmtId="0" fontId="52" fillId="3" borderId="0" xfId="1" applyFont="1" applyFill="1" applyBorder="1" applyAlignment="1">
      <alignment horizontal="center"/>
    </xf>
    <xf numFmtId="0" fontId="54" fillId="3" borderId="0" xfId="1" applyFont="1" applyFill="1" applyBorder="1" applyAlignment="1">
      <alignment horizontal="center"/>
    </xf>
    <xf numFmtId="0" fontId="54" fillId="3" borderId="33" xfId="1" applyFont="1" applyFill="1" applyBorder="1" applyAlignment="1">
      <alignment horizontal="center"/>
    </xf>
    <xf numFmtId="177" fontId="5" fillId="3" borderId="3" xfId="1" applyNumberFormat="1" applyFont="1" applyFill="1" applyBorder="1" applyAlignment="1">
      <alignment horizontal="center"/>
    </xf>
    <xf numFmtId="177" fontId="5" fillId="3" borderId="35" xfId="1" applyNumberFormat="1" applyFont="1" applyFill="1" applyBorder="1" applyAlignment="1">
      <alignment horizontal="center"/>
    </xf>
    <xf numFmtId="0" fontId="5" fillId="3" borderId="5" xfId="1" applyFont="1" applyFill="1" applyBorder="1"/>
    <xf numFmtId="0" fontId="5" fillId="3" borderId="39" xfId="1" applyFont="1" applyFill="1" applyBorder="1"/>
    <xf numFmtId="0" fontId="3" fillId="4" borderId="5" xfId="1" applyFont="1" applyFill="1" applyBorder="1" applyAlignment="1">
      <alignment horizontal="center"/>
    </xf>
    <xf numFmtId="9" fontId="6" fillId="3" borderId="0" xfId="1" applyNumberFormat="1" applyFont="1" applyFill="1" applyBorder="1" applyAlignment="1">
      <alignment horizontal="center" vertical="center"/>
    </xf>
    <xf numFmtId="9" fontId="6" fillId="3" borderId="33" xfId="1" applyNumberFormat="1" applyFont="1" applyFill="1" applyBorder="1" applyAlignment="1">
      <alignment horizontal="center" vertical="center"/>
    </xf>
    <xf numFmtId="9" fontId="5" fillId="3" borderId="3" xfId="1" applyNumberFormat="1" applyFont="1" applyFill="1" applyBorder="1" applyAlignment="1">
      <alignment horizontal="center"/>
    </xf>
    <xf numFmtId="9" fontId="6" fillId="3" borderId="35" xfId="1" applyNumberFormat="1" applyFont="1" applyFill="1" applyBorder="1" applyAlignment="1">
      <alignment horizontal="center" vertical="center"/>
    </xf>
    <xf numFmtId="9" fontId="5" fillId="3" borderId="35" xfId="1" applyNumberFormat="1" applyFont="1" applyFill="1" applyBorder="1" applyAlignment="1">
      <alignment horizontal="center"/>
    </xf>
    <xf numFmtId="0" fontId="55" fillId="14" borderId="38" xfId="1" applyFont="1" applyFill="1" applyBorder="1"/>
    <xf numFmtId="0" fontId="55" fillId="14" borderId="5" xfId="1" applyFont="1" applyFill="1" applyBorder="1"/>
    <xf numFmtId="0" fontId="55" fillId="14" borderId="30" xfId="1" applyFont="1" applyFill="1" applyBorder="1"/>
    <xf numFmtId="0" fontId="55" fillId="14" borderId="33" xfId="1" applyFont="1" applyFill="1" applyBorder="1" applyAlignment="1">
      <alignment horizontal="center" vertical="center"/>
    </xf>
    <xf numFmtId="0" fontId="55" fillId="14" borderId="5" xfId="1" applyFont="1" applyFill="1" applyBorder="1" applyAlignment="1"/>
    <xf numFmtId="0" fontId="55" fillId="14" borderId="40" xfId="1" applyFont="1" applyFill="1" applyBorder="1" applyAlignment="1"/>
    <xf numFmtId="0" fontId="55" fillId="14" borderId="0" xfId="1" applyFont="1" applyFill="1"/>
    <xf numFmtId="0" fontId="55" fillId="14" borderId="0" xfId="1" applyFont="1" applyFill="1" applyAlignment="1">
      <alignment horizontal="center" vertical="center" wrapText="1"/>
    </xf>
    <xf numFmtId="0" fontId="55" fillId="14" borderId="0" xfId="1" applyFont="1" applyFill="1" applyAlignment="1">
      <alignment horizontal="center" vertical="center"/>
    </xf>
    <xf numFmtId="0" fontId="8" fillId="13" borderId="30" xfId="1" applyFont="1" applyFill="1" applyBorder="1" applyAlignment="1">
      <alignment horizontal="left" vertical="center"/>
    </xf>
    <xf numFmtId="0" fontId="51" fillId="13" borderId="0" xfId="1" applyFont="1" applyFill="1"/>
    <xf numFmtId="37" fontId="8" fillId="13" borderId="0" xfId="1" applyNumberFormat="1" applyFont="1" applyFill="1" applyAlignment="1">
      <alignment horizontal="center" vertical="center"/>
    </xf>
    <xf numFmtId="0" fontId="51" fillId="13" borderId="33" xfId="1" applyFont="1" applyFill="1" applyBorder="1"/>
    <xf numFmtId="37" fontId="9" fillId="13" borderId="0" xfId="1" applyNumberFormat="1" applyFont="1" applyFill="1" applyAlignment="1">
      <alignment horizontal="center" vertical="center"/>
    </xf>
    <xf numFmtId="37" fontId="6" fillId="13" borderId="0" xfId="1" applyNumberFormat="1" applyFont="1" applyFill="1" applyAlignment="1">
      <alignment horizontal="center" vertical="center"/>
    </xf>
    <xf numFmtId="9" fontId="6" fillId="13" borderId="0" xfId="1" applyNumberFormat="1" applyFont="1" applyFill="1" applyAlignment="1">
      <alignment horizontal="center" vertical="center"/>
    </xf>
    <xf numFmtId="9" fontId="6" fillId="13" borderId="33" xfId="1" applyNumberFormat="1" applyFont="1" applyFill="1" applyBorder="1" applyAlignment="1">
      <alignment horizontal="center" vertical="center"/>
    </xf>
    <xf numFmtId="9" fontId="6" fillId="13" borderId="3" xfId="1" applyNumberFormat="1" applyFont="1" applyFill="1" applyBorder="1" applyAlignment="1">
      <alignment horizontal="center" vertical="center"/>
    </xf>
    <xf numFmtId="9" fontId="6" fillId="13" borderId="35" xfId="1" applyNumberFormat="1" applyFont="1" applyFill="1" applyBorder="1" applyAlignment="1">
      <alignment horizontal="center" vertical="center"/>
    </xf>
    <xf numFmtId="0" fontId="6" fillId="0" borderId="0" xfId="1" applyFont="1" applyAlignment="1">
      <alignment horizontal="center"/>
    </xf>
    <xf numFmtId="0" fontId="3" fillId="4" borderId="5" xfId="1" applyFont="1" applyFill="1" applyBorder="1" applyAlignment="1">
      <alignment horizontal="center"/>
    </xf>
    <xf numFmtId="0" fontId="3" fillId="4" borderId="0" xfId="0" applyFont="1" applyFill="1" applyBorder="1" applyAlignment="1">
      <alignment horizontal="center" wrapText="1"/>
    </xf>
    <xf numFmtId="37" fontId="6" fillId="15" borderId="3" xfId="1" applyNumberFormat="1" applyFont="1" applyFill="1" applyBorder="1" applyAlignment="1">
      <alignment horizontal="center" vertical="center"/>
    </xf>
    <xf numFmtId="37" fontId="10" fillId="3" borderId="0" xfId="0" applyNumberFormat="1" applyFont="1" applyFill="1" applyBorder="1" applyAlignment="1">
      <alignment horizontal="center"/>
    </xf>
    <xf numFmtId="0" fontId="6" fillId="0" borderId="0" xfId="0" applyNumberFormat="1" applyFont="1"/>
    <xf numFmtId="0" fontId="57" fillId="0" borderId="0" xfId="0" applyFont="1"/>
    <xf numFmtId="0" fontId="57" fillId="3" borderId="0" xfId="0" applyFont="1" applyFill="1"/>
    <xf numFmtId="0" fontId="58" fillId="3" borderId="0" xfId="0" applyFont="1" applyFill="1" applyAlignment="1">
      <alignment horizontal="center"/>
    </xf>
    <xf numFmtId="0" fontId="60" fillId="12" borderId="0" xfId="0" applyFont="1" applyFill="1"/>
    <xf numFmtId="183" fontId="61" fillId="12" borderId="0" xfId="0" applyNumberFormat="1" applyFont="1" applyFill="1"/>
    <xf numFmtId="183" fontId="57" fillId="12" borderId="0" xfId="0" applyNumberFormat="1" applyFont="1" applyFill="1"/>
    <xf numFmtId="177" fontId="57" fillId="3" borderId="0" xfId="0" applyNumberFormat="1" applyFont="1" applyFill="1"/>
    <xf numFmtId="0" fontId="60" fillId="0" borderId="0" xfId="0" applyFont="1"/>
    <xf numFmtId="183" fontId="61" fillId="0" borderId="0" xfId="0" applyNumberFormat="1" applyFont="1"/>
    <xf numFmtId="183" fontId="57" fillId="3" borderId="0" xfId="0" applyNumberFormat="1" applyFont="1" applyFill="1"/>
    <xf numFmtId="183" fontId="57" fillId="0" borderId="0" xfId="0" applyNumberFormat="1" applyFont="1"/>
    <xf numFmtId="0" fontId="58" fillId="16" borderId="0" xfId="0" applyFont="1" applyFill="1" applyBorder="1"/>
    <xf numFmtId="0" fontId="59" fillId="16" borderId="0" xfId="0" applyFont="1" applyFill="1"/>
    <xf numFmtId="0" fontId="58" fillId="16" borderId="0" xfId="0" applyFont="1" applyFill="1" applyBorder="1" applyAlignment="1">
      <alignment horizontal="center"/>
    </xf>
    <xf numFmtId="0" fontId="58" fillId="16" borderId="0" xfId="0" applyFont="1" applyFill="1" applyAlignment="1">
      <alignment horizontal="center"/>
    </xf>
    <xf numFmtId="0" fontId="58" fillId="16" borderId="0" xfId="0" applyFont="1" applyFill="1"/>
    <xf numFmtId="0" fontId="58" fillId="16" borderId="8" xfId="0" applyFont="1" applyFill="1" applyBorder="1"/>
    <xf numFmtId="183" fontId="58" fillId="16" borderId="8" xfId="0" applyNumberFormat="1" applyFont="1" applyFill="1" applyBorder="1"/>
    <xf numFmtId="183" fontId="59" fillId="16" borderId="8" xfId="0" applyNumberFormat="1" applyFont="1" applyFill="1" applyBorder="1"/>
    <xf numFmtId="187" fontId="5" fillId="3" borderId="0" xfId="1" applyNumberFormat="1" applyFont="1" applyFill="1" applyBorder="1"/>
    <xf numFmtId="0" fontId="30" fillId="3" borderId="0" xfId="1" applyFont="1" applyFill="1"/>
    <xf numFmtId="179" fontId="50" fillId="3" borderId="0" xfId="1" applyNumberFormat="1" applyFont="1" applyFill="1"/>
    <xf numFmtId="0" fontId="6" fillId="0" borderId="1" xfId="1" applyFont="1" applyBorder="1"/>
    <xf numFmtId="0" fontId="6" fillId="3" borderId="4" xfId="1" applyFont="1" applyFill="1" applyBorder="1" applyAlignment="1">
      <alignment horizontal="left" vertical="center" indent="1"/>
    </xf>
    <xf numFmtId="0" fontId="8" fillId="3" borderId="3" xfId="1" applyFont="1" applyFill="1" applyBorder="1" applyAlignment="1">
      <alignment horizontal="center" vertical="center"/>
    </xf>
    <xf numFmtId="177" fontId="6" fillId="3" borderId="3" xfId="1" applyNumberFormat="1" applyFont="1" applyFill="1" applyBorder="1" applyAlignment="1">
      <alignment horizontal="center" vertical="center"/>
    </xf>
    <xf numFmtId="177" fontId="9" fillId="3" borderId="3" xfId="1" applyNumberFormat="1" applyFont="1" applyFill="1" applyBorder="1" applyAlignment="1">
      <alignment horizontal="center" vertical="center"/>
    </xf>
    <xf numFmtId="177" fontId="9" fillId="3" borderId="35" xfId="1" applyNumberFormat="1" applyFont="1" applyFill="1" applyBorder="1" applyAlignment="1">
      <alignment horizontal="center" vertical="center"/>
    </xf>
    <xf numFmtId="183" fontId="5" fillId="3" borderId="0" xfId="1" applyNumberFormat="1" applyFont="1" applyFill="1" applyBorder="1" applyAlignment="1">
      <alignment horizontal="center"/>
    </xf>
    <xf numFmtId="183" fontId="5" fillId="3" borderId="3" xfId="1" applyNumberFormat="1" applyFont="1" applyFill="1" applyBorder="1" applyAlignment="1">
      <alignment horizontal="center"/>
    </xf>
    <xf numFmtId="183" fontId="5" fillId="3" borderId="5" xfId="1" applyNumberFormat="1" applyFont="1" applyFill="1" applyBorder="1"/>
    <xf numFmtId="183" fontId="6" fillId="15" borderId="0" xfId="1" applyNumberFormat="1" applyFont="1" applyFill="1" applyAlignment="1">
      <alignment horizontal="center" vertical="center"/>
    </xf>
    <xf numFmtId="183" fontId="6" fillId="15" borderId="3" xfId="1" applyNumberFormat="1" applyFont="1" applyFill="1" applyBorder="1" applyAlignment="1">
      <alignment horizontal="center" vertical="center"/>
    </xf>
    <xf numFmtId="183" fontId="51" fillId="15" borderId="0" xfId="1" applyNumberFormat="1" applyFont="1" applyFill="1"/>
    <xf numFmtId="0" fontId="5" fillId="3" borderId="0" xfId="0" applyFont="1" applyFill="1" applyBorder="1" applyAlignment="1">
      <alignment horizontal="center"/>
    </xf>
    <xf numFmtId="0" fontId="5" fillId="3" borderId="15" xfId="0" applyFont="1" applyFill="1" applyBorder="1"/>
    <xf numFmtId="0" fontId="30" fillId="3" borderId="0" xfId="0" applyFont="1" applyFill="1" applyBorder="1" applyAlignment="1">
      <alignment horizontal="left" indent="1"/>
    </xf>
    <xf numFmtId="180" fontId="6" fillId="3" borderId="0" xfId="1" applyNumberFormat="1" applyFont="1" applyFill="1" applyBorder="1"/>
    <xf numFmtId="0" fontId="6" fillId="3" borderId="0" xfId="1" applyFont="1" applyFill="1" applyBorder="1" applyAlignment="1">
      <alignment horizontal="center"/>
    </xf>
    <xf numFmtId="0" fontId="6" fillId="3" borderId="0" xfId="1" applyFont="1" applyFill="1" applyBorder="1" applyAlignment="1">
      <alignment wrapText="1"/>
    </xf>
    <xf numFmtId="177" fontId="6" fillId="0" borderId="0" xfId="1" applyNumberFormat="1" applyFont="1" applyBorder="1" applyAlignment="1">
      <alignment horizontal="center"/>
    </xf>
    <xf numFmtId="0" fontId="6" fillId="3" borderId="30" xfId="0" applyFont="1" applyFill="1" applyBorder="1" applyAlignment="1">
      <alignment horizontal="center"/>
    </xf>
    <xf numFmtId="0" fontId="6" fillId="3" borderId="33" xfId="0" applyFont="1" applyFill="1" applyBorder="1" applyAlignment="1">
      <alignment horizontal="center"/>
    </xf>
    <xf numFmtId="0" fontId="64" fillId="0" borderId="0" xfId="1" applyFont="1" applyAlignment="1">
      <alignment vertical="center"/>
    </xf>
    <xf numFmtId="0" fontId="51" fillId="0" borderId="0" xfId="7" applyFont="1" applyAlignment="1"/>
    <xf numFmtId="0" fontId="50" fillId="0" borderId="0" xfId="7" applyFont="1" applyAlignment="1"/>
    <xf numFmtId="0" fontId="67" fillId="19" borderId="0" xfId="7" applyFont="1" applyFill="1" applyAlignment="1"/>
    <xf numFmtId="0" fontId="50" fillId="20" borderId="0" xfId="7" applyFont="1" applyFill="1" applyAlignment="1"/>
    <xf numFmtId="0" fontId="50" fillId="18" borderId="0" xfId="7" applyFont="1" applyFill="1" applyAlignment="1"/>
    <xf numFmtId="0" fontId="50" fillId="21" borderId="0" xfId="7" applyFont="1" applyFill="1" applyAlignment="1"/>
    <xf numFmtId="0" fontId="50" fillId="21" borderId="0" xfId="7" applyFont="1" applyFill="1"/>
    <xf numFmtId="3" fontId="50" fillId="0" borderId="0" xfId="7" applyNumberFormat="1" applyFont="1"/>
    <xf numFmtId="0" fontId="50" fillId="22" borderId="0" xfId="7" applyFont="1" applyFill="1" applyAlignment="1"/>
    <xf numFmtId="0" fontId="2" fillId="22" borderId="0" xfId="7" applyFont="1" applyFill="1" applyAlignment="1"/>
    <xf numFmtId="0" fontId="50" fillId="22" borderId="0" xfId="7" applyFont="1" applyFill="1"/>
    <xf numFmtId="3" fontId="2" fillId="0" borderId="0" xfId="7" applyNumberFormat="1" applyFont="1"/>
    <xf numFmtId="0" fontId="50" fillId="23" borderId="0" xfId="7" applyFont="1" applyFill="1" applyAlignment="1"/>
    <xf numFmtId="0" fontId="50" fillId="23" borderId="0" xfId="7" applyFont="1" applyFill="1"/>
    <xf numFmtId="4" fontId="2" fillId="0" borderId="0" xfId="7" applyNumberFormat="1" applyFont="1"/>
    <xf numFmtId="0" fontId="50" fillId="24" borderId="0" xfId="7" applyFont="1" applyFill="1" applyAlignment="1"/>
    <xf numFmtId="0" fontId="50" fillId="24" borderId="0" xfId="7" applyFont="1" applyFill="1"/>
    <xf numFmtId="3" fontId="68" fillId="0" borderId="0" xfId="7" applyNumberFormat="1" applyFont="1"/>
    <xf numFmtId="0" fontId="50" fillId="25" borderId="0" xfId="7" applyFont="1" applyFill="1" applyAlignment="1"/>
    <xf numFmtId="0" fontId="50" fillId="25" borderId="0" xfId="7" applyFont="1" applyFill="1"/>
    <xf numFmtId="0" fontId="50" fillId="26" borderId="0" xfId="7" applyFont="1" applyFill="1" applyAlignment="1"/>
    <xf numFmtId="0" fontId="50" fillId="26" borderId="0" xfId="7" applyFont="1" applyFill="1"/>
    <xf numFmtId="0" fontId="50" fillId="27" borderId="0" xfId="7" applyFont="1" applyFill="1" applyAlignment="1"/>
    <xf numFmtId="0" fontId="50" fillId="27" borderId="0" xfId="7" applyFont="1" applyFill="1"/>
    <xf numFmtId="0" fontId="2" fillId="0" borderId="0" xfId="7" applyFont="1" applyAlignment="1"/>
    <xf numFmtId="1" fontId="50" fillId="0" borderId="0" xfId="7" applyNumberFormat="1" applyFont="1" applyAlignment="1"/>
    <xf numFmtId="0" fontId="50" fillId="0" borderId="0" xfId="7" applyFont="1"/>
    <xf numFmtId="0" fontId="50" fillId="28" borderId="0" xfId="7" applyFont="1" applyFill="1" applyAlignment="1"/>
    <xf numFmtId="0" fontId="50" fillId="28" borderId="0" xfId="7" applyFont="1" applyFill="1"/>
    <xf numFmtId="0" fontId="69" fillId="28" borderId="0" xfId="7" applyFont="1" applyFill="1"/>
    <xf numFmtId="0" fontId="50" fillId="20" borderId="0" xfId="7" applyFont="1" applyFill="1"/>
    <xf numFmtId="0" fontId="50" fillId="18" borderId="0" xfId="7" applyFont="1" applyFill="1"/>
    <xf numFmtId="1" fontId="50" fillId="0" borderId="0" xfId="7" applyNumberFormat="1" applyFont="1"/>
    <xf numFmtId="0" fontId="70" fillId="18" borderId="4" xfId="7" applyFont="1" applyFill="1" applyBorder="1" applyAlignment="1"/>
    <xf numFmtId="0" fontId="72" fillId="0" borderId="42" xfId="8" applyFont="1" applyBorder="1" applyAlignment="1">
      <alignment horizontal="left"/>
    </xf>
    <xf numFmtId="192" fontId="72" fillId="29" borderId="42" xfId="8" applyNumberFormat="1" applyFont="1" applyFill="1" applyBorder="1" applyAlignment="1">
      <alignment horizontal="left"/>
    </xf>
    <xf numFmtId="0" fontId="71" fillId="0" borderId="0" xfId="8"/>
    <xf numFmtId="0" fontId="73" fillId="0" borderId="42" xfId="8" applyFont="1" applyBorder="1" applyAlignment="1">
      <alignment horizontal="left"/>
    </xf>
    <xf numFmtId="0" fontId="73" fillId="29" borderId="42" xfId="8" applyFont="1" applyFill="1" applyBorder="1" applyAlignment="1">
      <alignment horizontal="left"/>
    </xf>
    <xf numFmtId="0" fontId="73" fillId="0" borderId="42" xfId="8" applyFont="1" applyBorder="1" applyAlignment="1">
      <alignment horizontal="left" vertical="center"/>
    </xf>
    <xf numFmtId="0" fontId="73" fillId="29" borderId="42" xfId="8" applyFont="1" applyFill="1" applyBorder="1" applyAlignment="1">
      <alignment horizontal="left" vertical="center"/>
    </xf>
    <xf numFmtId="192" fontId="73" fillId="29" borderId="42" xfId="8" applyNumberFormat="1" applyFont="1" applyFill="1" applyBorder="1" applyAlignment="1">
      <alignment horizontal="left" vertical="top"/>
    </xf>
    <xf numFmtId="0" fontId="73" fillId="29" borderId="42" xfId="8" applyFont="1" applyFill="1" applyBorder="1" applyAlignment="1">
      <alignment horizontal="left" vertical="top"/>
    </xf>
    <xf numFmtId="178" fontId="73" fillId="30" borderId="42" xfId="8" applyNumberFormat="1" applyFont="1" applyFill="1" applyBorder="1" applyAlignment="1">
      <alignment horizontal="left"/>
    </xf>
    <xf numFmtId="185" fontId="73" fillId="30" borderId="42" xfId="9" applyNumberFormat="1" applyFont="1" applyFill="1" applyBorder="1" applyAlignment="1">
      <alignment horizontal="left"/>
    </xf>
    <xf numFmtId="178" fontId="73" fillId="30" borderId="42" xfId="8" applyNumberFormat="1" applyFont="1" applyFill="1" applyBorder="1" applyAlignment="1">
      <alignment horizontal="left" vertical="top"/>
    </xf>
    <xf numFmtId="0" fontId="73" fillId="30" borderId="42" xfId="8" applyFont="1" applyFill="1" applyBorder="1" applyAlignment="1">
      <alignment horizontal="left"/>
    </xf>
    <xf numFmtId="192" fontId="73" fillId="29" borderId="42" xfId="8" applyNumberFormat="1" applyFont="1" applyFill="1" applyBorder="1" applyAlignment="1">
      <alignment horizontal="left"/>
    </xf>
    <xf numFmtId="185" fontId="73" fillId="30" borderId="42" xfId="9" applyNumberFormat="1" applyFont="1" applyFill="1" applyBorder="1" applyAlignment="1">
      <alignment horizontal="left" vertical="top"/>
    </xf>
    <xf numFmtId="0" fontId="74" fillId="0" borderId="42" xfId="8" applyFont="1" applyBorder="1" applyAlignment="1">
      <alignment horizontal="left"/>
    </xf>
    <xf numFmtId="1" fontId="73" fillId="0" borderId="42" xfId="8" applyNumberFormat="1" applyFont="1" applyBorder="1" applyAlignment="1">
      <alignment horizontal="left"/>
    </xf>
    <xf numFmtId="1" fontId="73" fillId="29" borderId="42" xfId="8" applyNumberFormat="1" applyFont="1" applyFill="1" applyBorder="1" applyAlignment="1">
      <alignment horizontal="left"/>
    </xf>
    <xf numFmtId="178" fontId="73" fillId="30" borderId="42" xfId="8" applyNumberFormat="1" applyFont="1" applyFill="1" applyBorder="1" applyAlignment="1">
      <alignment horizontal="left" vertical="center"/>
    </xf>
    <xf numFmtId="185" fontId="73" fillId="30" borderId="42" xfId="9" applyNumberFormat="1" applyFont="1" applyFill="1" applyBorder="1" applyAlignment="1">
      <alignment horizontal="left" vertical="center"/>
    </xf>
    <xf numFmtId="0" fontId="73" fillId="30" borderId="42" xfId="8" applyFont="1" applyFill="1" applyBorder="1" applyAlignment="1">
      <alignment horizontal="left" vertical="center"/>
    </xf>
    <xf numFmtId="178" fontId="72" fillId="30" borderId="42" xfId="8" applyNumberFormat="1" applyFont="1" applyFill="1" applyBorder="1" applyAlignment="1">
      <alignment horizontal="left"/>
    </xf>
    <xf numFmtId="196" fontId="72" fillId="30" borderId="42" xfId="8" applyNumberFormat="1" applyFont="1" applyFill="1" applyBorder="1" applyAlignment="1">
      <alignment horizontal="left"/>
    </xf>
    <xf numFmtId="17" fontId="44" fillId="3" borderId="14" xfId="0" applyNumberFormat="1" applyFont="1" applyFill="1" applyBorder="1" applyAlignment="1">
      <alignment horizontal="left"/>
    </xf>
    <xf numFmtId="0" fontId="72" fillId="0" borderId="42" xfId="8" applyFont="1" applyBorder="1" applyAlignment="1">
      <alignment horizontal="left" wrapText="1"/>
    </xf>
    <xf numFmtId="0" fontId="72" fillId="29" borderId="42" xfId="8" applyFont="1" applyFill="1" applyBorder="1" applyAlignment="1">
      <alignment horizontal="left" wrapText="1"/>
    </xf>
    <xf numFmtId="192" fontId="72" fillId="29" borderId="42" xfId="8" applyNumberFormat="1" applyFont="1" applyFill="1" applyBorder="1" applyAlignment="1">
      <alignment horizontal="left" wrapText="1"/>
    </xf>
    <xf numFmtId="197" fontId="72" fillId="29" borderId="42" xfId="8" applyNumberFormat="1" applyFont="1" applyFill="1" applyBorder="1" applyAlignment="1">
      <alignment horizontal="left" wrapText="1"/>
    </xf>
    <xf numFmtId="198" fontId="72" fillId="30" borderId="42" xfId="8" applyNumberFormat="1" applyFont="1" applyFill="1" applyBorder="1" applyAlignment="1">
      <alignment horizontal="left" wrapText="1"/>
    </xf>
    <xf numFmtId="0" fontId="72" fillId="30" borderId="42" xfId="8" applyFont="1" applyFill="1" applyBorder="1" applyAlignment="1">
      <alignment horizontal="left" wrapText="1"/>
    </xf>
    <xf numFmtId="0" fontId="71" fillId="0" borderId="0" xfId="8" applyAlignment="1">
      <alignment wrapText="1"/>
    </xf>
    <xf numFmtId="176" fontId="6" fillId="0" borderId="0" xfId="5" applyFont="1" applyAlignment="1">
      <alignment vertical="center"/>
    </xf>
    <xf numFmtId="9" fontId="10" fillId="3" borderId="0" xfId="0" applyNumberFormat="1" applyFont="1" applyFill="1" applyBorder="1" applyAlignment="1">
      <alignment horizontal="center"/>
    </xf>
    <xf numFmtId="0" fontId="11" fillId="3" borderId="44" xfId="0" applyFont="1" applyFill="1" applyBorder="1" applyAlignment="1">
      <alignment horizontal="center"/>
    </xf>
    <xf numFmtId="0" fontId="6" fillId="3" borderId="45" xfId="0" applyFont="1" applyFill="1" applyBorder="1" applyAlignment="1">
      <alignment horizontal="center"/>
    </xf>
    <xf numFmtId="9" fontId="10" fillId="3" borderId="45" xfId="0" applyNumberFormat="1" applyFont="1" applyFill="1" applyBorder="1" applyAlignment="1">
      <alignment horizontal="center"/>
    </xf>
    <xf numFmtId="3" fontId="11" fillId="3" borderId="43" xfId="0" applyNumberFormat="1" applyFont="1" applyFill="1" applyBorder="1" applyAlignment="1">
      <alignment horizontal="center"/>
    </xf>
    <xf numFmtId="200" fontId="10" fillId="3" borderId="46" xfId="5" applyNumberFormat="1" applyFont="1" applyFill="1" applyBorder="1" applyAlignment="1">
      <alignment horizontal="center"/>
    </xf>
    <xf numFmtId="177" fontId="8" fillId="17" borderId="0" xfId="0" applyNumberFormat="1" applyFont="1" applyFill="1"/>
    <xf numFmtId="37" fontId="6" fillId="17" borderId="0" xfId="0" applyNumberFormat="1" applyFont="1" applyFill="1"/>
    <xf numFmtId="177" fontId="6" fillId="17" borderId="0" xfId="0" applyNumberFormat="1" applyFont="1" applyFill="1"/>
    <xf numFmtId="0" fontId="75" fillId="3" borderId="0" xfId="1" applyFont="1" applyFill="1" applyAlignment="1">
      <alignment horizontal="left"/>
    </xf>
    <xf numFmtId="0" fontId="5" fillId="17" borderId="0" xfId="0" applyFont="1" applyFill="1"/>
    <xf numFmtId="0" fontId="0" fillId="17" borderId="0" xfId="0" applyFill="1"/>
    <xf numFmtId="0" fontId="6" fillId="17" borderId="0" xfId="0" applyFont="1" applyFill="1"/>
    <xf numFmtId="177" fontId="6" fillId="17" borderId="8" xfId="0" applyNumberFormat="1" applyFont="1" applyFill="1" applyBorder="1"/>
    <xf numFmtId="185" fontId="6" fillId="17" borderId="0" xfId="0" applyNumberFormat="1" applyFont="1" applyFill="1"/>
    <xf numFmtId="199" fontId="10" fillId="3" borderId="0" xfId="5" applyNumberFormat="1" applyFont="1" applyFill="1" applyBorder="1" applyAlignment="1">
      <alignment horizontal="center"/>
    </xf>
    <xf numFmtId="0" fontId="6" fillId="3" borderId="30" xfId="0" applyFont="1" applyFill="1" applyBorder="1"/>
    <xf numFmtId="0" fontId="6" fillId="3" borderId="4" xfId="0" applyFont="1" applyFill="1" applyBorder="1"/>
    <xf numFmtId="200" fontId="6" fillId="3" borderId="30" xfId="0" applyNumberFormat="1" applyFont="1" applyFill="1" applyBorder="1" applyAlignment="1">
      <alignment horizontal="center"/>
    </xf>
    <xf numFmtId="14" fontId="10" fillId="3" borderId="0" xfId="0" applyNumberFormat="1" applyFont="1" applyFill="1" applyBorder="1" applyAlignment="1">
      <alignment horizontal="right"/>
    </xf>
    <xf numFmtId="0" fontId="6" fillId="3" borderId="38" xfId="0" applyFont="1" applyFill="1" applyBorder="1" applyAlignment="1">
      <alignment horizontal="center"/>
    </xf>
    <xf numFmtId="0" fontId="6" fillId="3" borderId="39" xfId="0" applyFont="1" applyFill="1" applyBorder="1" applyAlignment="1">
      <alignment horizontal="center"/>
    </xf>
    <xf numFmtId="0" fontId="6" fillId="3" borderId="4" xfId="0" applyFont="1" applyFill="1" applyBorder="1" applyAlignment="1">
      <alignment horizontal="center"/>
    </xf>
    <xf numFmtId="0" fontId="6" fillId="3" borderId="35" xfId="0" applyFont="1" applyFill="1" applyBorder="1" applyAlignment="1">
      <alignment horizontal="center"/>
    </xf>
    <xf numFmtId="0" fontId="6" fillId="31" borderId="0" xfId="0" applyFont="1" applyFill="1"/>
    <xf numFmtId="9" fontId="10" fillId="3" borderId="0" xfId="6" applyFont="1" applyFill="1" applyBorder="1" applyAlignment="1">
      <alignment horizontal="right"/>
    </xf>
    <xf numFmtId="200" fontId="6" fillId="3" borderId="0" xfId="5" applyNumberFormat="1" applyFont="1" applyFill="1" applyBorder="1" applyAlignment="1">
      <alignment horizontal="center"/>
    </xf>
    <xf numFmtId="2" fontId="6" fillId="3" borderId="0" xfId="0" applyNumberFormat="1" applyFont="1" applyFill="1" applyBorder="1" applyAlignment="1">
      <alignment horizontal="center"/>
    </xf>
    <xf numFmtId="1" fontId="6" fillId="3" borderId="0" xfId="5" applyNumberFormat="1" applyFont="1" applyFill="1" applyBorder="1" applyAlignment="1">
      <alignment horizontal="center"/>
    </xf>
    <xf numFmtId="176" fontId="6" fillId="3" borderId="0" xfId="0" applyNumberFormat="1" applyFont="1" applyFill="1" applyBorder="1" applyAlignment="1">
      <alignment horizontal="center"/>
    </xf>
    <xf numFmtId="200" fontId="6" fillId="3" borderId="0" xfId="0" applyNumberFormat="1" applyFont="1" applyFill="1" applyBorder="1" applyAlignment="1">
      <alignment horizontal="center"/>
    </xf>
    <xf numFmtId="0" fontId="6" fillId="3" borderId="3" xfId="0" applyFont="1" applyFill="1" applyBorder="1" applyAlignment="1">
      <alignment horizontal="center"/>
    </xf>
    <xf numFmtId="0" fontId="0" fillId="3" borderId="0" xfId="0" applyFill="1"/>
    <xf numFmtId="0" fontId="11" fillId="3" borderId="0" xfId="0" applyFont="1" applyFill="1"/>
    <xf numFmtId="0" fontId="8" fillId="3" borderId="0" xfId="0" applyFont="1" applyFill="1"/>
    <xf numFmtId="0" fontId="5" fillId="0" borderId="0" xfId="0" applyFont="1" applyBorder="1"/>
    <xf numFmtId="0" fontId="5" fillId="0" borderId="47" xfId="0" applyFont="1" applyBorder="1"/>
    <xf numFmtId="0" fontId="6" fillId="0" borderId="47" xfId="0" applyFont="1" applyBorder="1"/>
    <xf numFmtId="177" fontId="8" fillId="0" borderId="47" xfId="0" applyNumberFormat="1" applyFont="1" applyBorder="1"/>
    <xf numFmtId="37" fontId="6" fillId="3" borderId="47" xfId="0" applyNumberFormat="1" applyFont="1" applyFill="1" applyBorder="1"/>
    <xf numFmtId="0" fontId="6" fillId="3" borderId="0" xfId="0" applyFont="1" applyFill="1" applyAlignment="1">
      <alignment vertical="center"/>
    </xf>
    <xf numFmtId="0" fontId="4" fillId="3" borderId="30" xfId="1" applyFont="1" applyFill="1" applyBorder="1" applyAlignment="1">
      <alignment horizontal="left" vertical="center" indent="1"/>
    </xf>
    <xf numFmtId="0" fontId="78" fillId="3" borderId="0" xfId="1" applyFont="1" applyFill="1" applyBorder="1"/>
    <xf numFmtId="177" fontId="4" fillId="3" borderId="0" xfId="1" applyNumberFormat="1" applyFont="1" applyFill="1" applyBorder="1" applyAlignment="1">
      <alignment horizontal="center" vertical="center"/>
    </xf>
    <xf numFmtId="9" fontId="27" fillId="3" borderId="0" xfId="1" applyNumberFormat="1" applyFont="1" applyFill="1" applyBorder="1" applyAlignment="1">
      <alignment horizontal="center" vertical="center"/>
    </xf>
    <xf numFmtId="9" fontId="27" fillId="3" borderId="33" xfId="1" applyNumberFormat="1" applyFont="1" applyFill="1" applyBorder="1" applyAlignment="1">
      <alignment horizontal="center" vertical="center"/>
    </xf>
    <xf numFmtId="3" fontId="6" fillId="3" borderId="0" xfId="0" applyNumberFormat="1" applyFont="1" applyFill="1" applyBorder="1"/>
    <xf numFmtId="1" fontId="6" fillId="3" borderId="0" xfId="0" applyNumberFormat="1" applyFont="1" applyFill="1" applyBorder="1"/>
    <xf numFmtId="200" fontId="6" fillId="3" borderId="0" xfId="5" applyNumberFormat="1" applyFont="1" applyFill="1" applyBorder="1"/>
    <xf numFmtId="0" fontId="3" fillId="3" borderId="30" xfId="1" applyFont="1" applyFill="1" applyBorder="1" applyAlignment="1">
      <alignment horizontal="left" vertical="center"/>
    </xf>
    <xf numFmtId="0" fontId="78" fillId="3" borderId="33" xfId="1" applyFont="1" applyFill="1" applyBorder="1"/>
    <xf numFmtId="0" fontId="4" fillId="3" borderId="0" xfId="1" applyFont="1" applyFill="1" applyBorder="1" applyAlignment="1">
      <alignment horizontal="center"/>
    </xf>
    <xf numFmtId="0" fontId="4" fillId="3" borderId="33" xfId="1" applyFont="1" applyFill="1" applyBorder="1" applyAlignment="1">
      <alignment horizontal="center"/>
    </xf>
    <xf numFmtId="9" fontId="4" fillId="3" borderId="0" xfId="1" applyNumberFormat="1" applyFont="1" applyFill="1" applyBorder="1" applyAlignment="1">
      <alignment horizontal="center"/>
    </xf>
    <xf numFmtId="177" fontId="4" fillId="3" borderId="0" xfId="1" applyNumberFormat="1" applyFont="1" applyFill="1" applyBorder="1" applyAlignment="1">
      <alignment horizontal="center"/>
    </xf>
    <xf numFmtId="177" fontId="4" fillId="3" borderId="33" xfId="1" applyNumberFormat="1" applyFont="1" applyFill="1" applyBorder="1" applyAlignment="1">
      <alignment horizontal="center"/>
    </xf>
    <xf numFmtId="0" fontId="4" fillId="3" borderId="31" xfId="1" applyFont="1" applyFill="1" applyBorder="1" applyAlignment="1">
      <alignment horizontal="left" vertical="center" indent="1"/>
    </xf>
    <xf numFmtId="0" fontId="78" fillId="3" borderId="1" xfId="1" applyFont="1" applyFill="1" applyBorder="1"/>
    <xf numFmtId="0" fontId="4" fillId="3" borderId="1" xfId="1" applyFont="1" applyFill="1" applyBorder="1" applyAlignment="1">
      <alignment horizontal="center"/>
    </xf>
    <xf numFmtId="177" fontId="4" fillId="3" borderId="1" xfId="1" applyNumberFormat="1" applyFont="1" applyFill="1" applyBorder="1" applyAlignment="1">
      <alignment horizontal="center"/>
    </xf>
    <xf numFmtId="177" fontId="4" fillId="3" borderId="34" xfId="1" applyNumberFormat="1" applyFont="1" applyFill="1" applyBorder="1" applyAlignment="1">
      <alignment horizontal="center"/>
    </xf>
    <xf numFmtId="0" fontId="3" fillId="15" borderId="38" xfId="1" applyFont="1" applyFill="1" applyBorder="1"/>
    <xf numFmtId="0" fontId="3" fillId="15" borderId="5" xfId="1" applyFont="1" applyFill="1" applyBorder="1"/>
    <xf numFmtId="0" fontId="3" fillId="15" borderId="5" xfId="1" applyFont="1" applyFill="1" applyBorder="1" applyAlignment="1">
      <alignment horizontal="center"/>
    </xf>
    <xf numFmtId="0" fontId="3" fillId="15" borderId="30" xfId="1" applyFont="1" applyFill="1" applyBorder="1"/>
    <xf numFmtId="0" fontId="3" fillId="15" borderId="0" xfId="1" applyFont="1" applyFill="1" applyBorder="1"/>
    <xf numFmtId="0" fontId="3" fillId="15" borderId="0" xfId="1" applyFont="1" applyFill="1" applyBorder="1" applyAlignment="1">
      <alignment horizontal="center" vertical="center" wrapText="1"/>
    </xf>
    <xf numFmtId="0" fontId="3" fillId="15" borderId="0" xfId="1" applyFont="1" applyFill="1" applyBorder="1" applyAlignment="1">
      <alignment horizontal="center" vertical="center"/>
    </xf>
    <xf numFmtId="0" fontId="3" fillId="15" borderId="33" xfId="1" applyFont="1" applyFill="1" applyBorder="1" applyAlignment="1">
      <alignment horizontal="center" vertical="center"/>
    </xf>
    <xf numFmtId="0" fontId="4" fillId="0" borderId="0" xfId="1" applyFont="1" applyBorder="1" applyAlignment="1">
      <alignment vertical="center"/>
    </xf>
    <xf numFmtId="0" fontId="4" fillId="0" borderId="0" xfId="1" applyFont="1" applyBorder="1" applyAlignment="1"/>
    <xf numFmtId="0" fontId="3" fillId="3" borderId="30" xfId="1" applyFont="1" applyFill="1" applyBorder="1"/>
    <xf numFmtId="0" fontId="4" fillId="3" borderId="0" xfId="1" applyFont="1" applyFill="1" applyBorder="1"/>
    <xf numFmtId="0" fontId="4" fillId="3" borderId="33" xfId="1" applyFont="1" applyFill="1" applyBorder="1"/>
    <xf numFmtId="0" fontId="4" fillId="3" borderId="30" xfId="1" applyFont="1" applyFill="1" applyBorder="1" applyAlignment="1">
      <alignment horizontal="left" indent="1"/>
    </xf>
    <xf numFmtId="10" fontId="4" fillId="3" borderId="0" xfId="1" applyNumberFormat="1" applyFont="1" applyFill="1" applyBorder="1"/>
    <xf numFmtId="10" fontId="4" fillId="3" borderId="33" xfId="1" applyNumberFormat="1" applyFont="1" applyFill="1" applyBorder="1"/>
    <xf numFmtId="177" fontId="4" fillId="3" borderId="0" xfId="1" applyNumberFormat="1" applyFont="1" applyFill="1" applyBorder="1"/>
    <xf numFmtId="177" fontId="4" fillId="3" borderId="33" xfId="1" applyNumberFormat="1" applyFont="1" applyFill="1" applyBorder="1"/>
    <xf numFmtId="9" fontId="4" fillId="3" borderId="0" xfId="1" applyNumberFormat="1" applyFont="1" applyFill="1" applyBorder="1"/>
    <xf numFmtId="9" fontId="4" fillId="3" borderId="33" xfId="1" applyNumberFormat="1" applyFont="1" applyFill="1" applyBorder="1"/>
    <xf numFmtId="187" fontId="4" fillId="3" borderId="0" xfId="1" applyNumberFormat="1" applyFont="1" applyFill="1" applyBorder="1"/>
    <xf numFmtId="0" fontId="4" fillId="0" borderId="0" xfId="1" applyFont="1" applyBorder="1" applyAlignment="1">
      <alignment horizontal="left" vertical="center" indent="1"/>
    </xf>
    <xf numFmtId="177" fontId="4" fillId="0" borderId="0" xfId="1" applyNumberFormat="1" applyFont="1" applyBorder="1" applyAlignment="1"/>
    <xf numFmtId="177" fontId="4" fillId="0" borderId="0" xfId="1" applyNumberFormat="1" applyFont="1" applyBorder="1" applyAlignment="1">
      <alignment horizontal="right"/>
    </xf>
    <xf numFmtId="3" fontId="50" fillId="0" borderId="38" xfId="7" applyNumberFormat="1" applyFont="1" applyBorder="1"/>
    <xf numFmtId="3" fontId="50" fillId="0" borderId="39" xfId="7" applyNumberFormat="1" applyFont="1" applyBorder="1"/>
    <xf numFmtId="3" fontId="50" fillId="0" borderId="30" xfId="7" applyNumberFormat="1" applyFont="1" applyBorder="1"/>
    <xf numFmtId="3" fontId="50" fillId="0" borderId="33" xfId="7" applyNumberFormat="1" applyFont="1" applyBorder="1"/>
    <xf numFmtId="3" fontId="2" fillId="0" borderId="30" xfId="7" applyNumberFormat="1" applyFont="1" applyBorder="1"/>
    <xf numFmtId="3" fontId="2" fillId="0" borderId="33" xfId="7" applyNumberFormat="1" applyFont="1" applyBorder="1"/>
    <xf numFmtId="3" fontId="2" fillId="0" borderId="30" xfId="7" applyNumberFormat="1" applyFont="1" applyBorder="1" applyAlignment="1"/>
    <xf numFmtId="3" fontId="50" fillId="0" borderId="31" xfId="7" applyNumberFormat="1" applyFont="1" applyBorder="1"/>
    <xf numFmtId="3" fontId="50" fillId="0" borderId="34" xfId="7" applyNumberFormat="1" applyFont="1" applyBorder="1"/>
    <xf numFmtId="3" fontId="2" fillId="0" borderId="38" xfId="7" applyNumberFormat="1" applyFont="1" applyBorder="1"/>
    <xf numFmtId="0" fontId="51" fillId="0" borderId="31" xfId="7" applyFont="1" applyBorder="1" applyAlignment="1"/>
    <xf numFmtId="0" fontId="51" fillId="0" borderId="34" xfId="7" applyFont="1" applyBorder="1" applyAlignment="1"/>
    <xf numFmtId="9" fontId="6" fillId="0" borderId="0" xfId="6" applyFont="1"/>
    <xf numFmtId="177" fontId="6" fillId="0" borderId="0" xfId="1" applyNumberFormat="1" applyFont="1" applyBorder="1" applyAlignment="1">
      <alignment horizontal="center"/>
    </xf>
    <xf numFmtId="0" fontId="6" fillId="0" borderId="0" xfId="1" applyFont="1" applyBorder="1" applyAlignment="1">
      <alignment horizontal="center"/>
    </xf>
    <xf numFmtId="0" fontId="8" fillId="0" borderId="10" xfId="1" applyFont="1" applyBorder="1" applyAlignment="1">
      <alignment horizontal="center" vertical="center"/>
    </xf>
    <xf numFmtId="190" fontId="6" fillId="0" borderId="0" xfId="1" applyNumberFormat="1" applyFont="1" applyFill="1" applyBorder="1" applyAlignment="1">
      <alignment horizontal="center"/>
    </xf>
    <xf numFmtId="177" fontId="4" fillId="0" borderId="0" xfId="1" applyNumberFormat="1" applyFont="1" applyFill="1" applyBorder="1" applyAlignment="1">
      <alignment horizontal="center"/>
    </xf>
    <xf numFmtId="177" fontId="8" fillId="5" borderId="3" xfId="1" applyNumberFormat="1" applyFont="1" applyFill="1" applyBorder="1" applyAlignment="1">
      <alignment horizontal="center"/>
    </xf>
    <xf numFmtId="0" fontId="8" fillId="5" borderId="3" xfId="1" applyFont="1" applyFill="1" applyBorder="1" applyAlignment="1">
      <alignment horizontal="center"/>
    </xf>
    <xf numFmtId="177" fontId="4" fillId="0" borderId="0" xfId="1" applyNumberFormat="1" applyFont="1" applyBorder="1" applyAlignment="1">
      <alignment horizontal="center"/>
    </xf>
    <xf numFmtId="0" fontId="4" fillId="0" borderId="0" xfId="1" applyFont="1" applyBorder="1" applyAlignment="1">
      <alignment horizontal="center"/>
    </xf>
    <xf numFmtId="177" fontId="6" fillId="0" borderId="0" xfId="1" applyNumberFormat="1" applyFont="1" applyFill="1" applyBorder="1" applyAlignment="1">
      <alignment horizontal="center"/>
    </xf>
    <xf numFmtId="177" fontId="6" fillId="0" borderId="5" xfId="1" applyNumberFormat="1" applyFont="1" applyFill="1" applyBorder="1" applyAlignment="1">
      <alignment horizontal="center"/>
    </xf>
    <xf numFmtId="0" fontId="4" fillId="0" borderId="0" xfId="1" applyFont="1" applyFill="1" applyBorder="1" applyAlignment="1">
      <alignment horizontal="center"/>
    </xf>
    <xf numFmtId="0" fontId="6" fillId="0" borderId="0" xfId="1" applyFont="1" applyFill="1" applyBorder="1" applyAlignment="1">
      <alignment horizontal="center"/>
    </xf>
    <xf numFmtId="190" fontId="4" fillId="0" borderId="0" xfId="1" applyNumberFormat="1" applyFont="1" applyFill="1" applyBorder="1" applyAlignment="1">
      <alignment horizontal="center"/>
    </xf>
    <xf numFmtId="0" fontId="16" fillId="0" borderId="5" xfId="1" applyFont="1" applyBorder="1" applyAlignment="1">
      <alignment horizontal="left" vertical="center" wrapText="1"/>
    </xf>
    <xf numFmtId="177" fontId="6" fillId="0" borderId="0" xfId="1" applyNumberFormat="1" applyFont="1" applyAlignment="1">
      <alignment horizontal="right"/>
    </xf>
    <xf numFmtId="177" fontId="6" fillId="0" borderId="0" xfId="1" applyNumberFormat="1" applyFont="1" applyBorder="1" applyAlignment="1"/>
    <xf numFmtId="0" fontId="6" fillId="0" borderId="0" xfId="1" applyFont="1" applyBorder="1" applyAlignment="1"/>
    <xf numFmtId="0" fontId="8" fillId="0" borderId="3" xfId="1" applyFont="1" applyFill="1" applyBorder="1" applyAlignment="1">
      <alignment horizontal="center"/>
    </xf>
    <xf numFmtId="0" fontId="8" fillId="0" borderId="3" xfId="1" applyFont="1" applyBorder="1" applyAlignment="1">
      <alignment horizontal="center"/>
    </xf>
    <xf numFmtId="177" fontId="6" fillId="0" borderId="0" xfId="1" applyNumberFormat="1" applyFont="1" applyFill="1" applyBorder="1" applyAlignment="1"/>
    <xf numFmtId="0" fontId="6" fillId="0" borderId="0" xfId="1" applyFont="1" applyFill="1" applyBorder="1" applyAlignment="1"/>
    <xf numFmtId="177" fontId="6" fillId="0" borderId="0" xfId="1" applyNumberFormat="1" applyFont="1" applyBorder="1" applyAlignment="1">
      <alignment horizontal="right"/>
    </xf>
    <xf numFmtId="0" fontId="6" fillId="0" borderId="0" xfId="1" applyFont="1" applyBorder="1" applyAlignment="1">
      <alignment horizontal="right"/>
    </xf>
    <xf numFmtId="0" fontId="34" fillId="5" borderId="3" xfId="1" applyFont="1" applyFill="1" applyBorder="1" applyAlignment="1">
      <alignment horizontal="center"/>
    </xf>
    <xf numFmtId="177" fontId="8" fillId="5" borderId="3" xfId="1" applyNumberFormat="1" applyFont="1" applyFill="1" applyBorder="1" applyAlignment="1">
      <alignment horizontal="right"/>
    </xf>
    <xf numFmtId="0" fontId="8" fillId="5" borderId="3" xfId="1" applyFont="1" applyFill="1" applyBorder="1" applyAlignment="1">
      <alignment horizontal="right"/>
    </xf>
    <xf numFmtId="177" fontId="8" fillId="0" borderId="3" xfId="1" applyNumberFormat="1" applyFont="1" applyBorder="1" applyAlignment="1">
      <alignment horizontal="right"/>
    </xf>
    <xf numFmtId="0" fontId="6" fillId="0" borderId="3" xfId="1" applyFont="1" applyFill="1" applyBorder="1" applyAlignment="1"/>
    <xf numFmtId="177" fontId="6" fillId="0" borderId="3" xfId="1" applyNumberFormat="1" applyFont="1" applyBorder="1" applyAlignment="1"/>
    <xf numFmtId="0" fontId="6" fillId="0" borderId="3" xfId="1" applyFont="1" applyBorder="1" applyAlignment="1"/>
    <xf numFmtId="0" fontId="3" fillId="4" borderId="0" xfId="0" applyFont="1" applyFill="1" applyAlignment="1">
      <alignment horizontal="center" vertical="center"/>
    </xf>
    <xf numFmtId="0" fontId="9" fillId="3" borderId="5" xfId="1" applyFont="1" applyFill="1" applyBorder="1" applyAlignment="1">
      <alignment horizontal="left" wrapText="1"/>
    </xf>
    <xf numFmtId="0" fontId="6" fillId="0" borderId="0" xfId="1" applyFont="1" applyBorder="1" applyAlignment="1">
      <alignment horizontal="left" indent="1"/>
    </xf>
    <xf numFmtId="0" fontId="6" fillId="3" borderId="5" xfId="1" applyFont="1" applyFill="1" applyBorder="1" applyAlignment="1">
      <alignment horizontal="left"/>
    </xf>
    <xf numFmtId="0" fontId="8" fillId="3" borderId="3" xfId="1" applyFont="1" applyFill="1" applyBorder="1" applyAlignment="1">
      <alignment horizontal="left"/>
    </xf>
    <xf numFmtId="177" fontId="6" fillId="0" borderId="0" xfId="1" applyNumberFormat="1" applyFont="1" applyAlignment="1">
      <alignment horizontal="center"/>
    </xf>
    <xf numFmtId="0" fontId="6" fillId="0" borderId="0" xfId="1" applyFont="1" applyAlignment="1">
      <alignment horizontal="center"/>
    </xf>
    <xf numFmtId="0" fontId="8" fillId="0" borderId="1" xfId="1" applyFont="1" applyBorder="1" applyAlignment="1">
      <alignment horizontal="center"/>
    </xf>
    <xf numFmtId="0" fontId="33" fillId="0" borderId="1" xfId="1" applyFont="1" applyBorder="1" applyAlignment="1">
      <alignment horizontal="center" wrapText="1"/>
    </xf>
    <xf numFmtId="0" fontId="6" fillId="0" borderId="1" xfId="1" applyFont="1" applyBorder="1" applyAlignment="1">
      <alignment wrapText="1"/>
    </xf>
    <xf numFmtId="0" fontId="8" fillId="0" borderId="1" xfId="1" applyFont="1" applyBorder="1" applyAlignment="1">
      <alignment horizontal="center" wrapText="1"/>
    </xf>
    <xf numFmtId="0" fontId="16" fillId="0" borderId="5" xfId="1" applyFont="1" applyBorder="1" applyAlignment="1">
      <alignment horizontal="left"/>
    </xf>
    <xf numFmtId="0" fontId="3" fillId="4" borderId="5" xfId="1" applyFont="1" applyFill="1" applyBorder="1" applyAlignment="1">
      <alignment horizontal="center" vertical="center" wrapText="1"/>
    </xf>
    <xf numFmtId="0" fontId="3" fillId="4" borderId="0" xfId="1" applyFont="1" applyFill="1" applyBorder="1" applyAlignment="1">
      <alignment horizontal="center" vertical="center" wrapText="1"/>
    </xf>
    <xf numFmtId="0" fontId="3" fillId="4" borderId="5" xfId="1" applyFont="1" applyFill="1" applyBorder="1" applyAlignment="1">
      <alignment horizontal="center"/>
    </xf>
    <xf numFmtId="0" fontId="3" fillId="4" borderId="39" xfId="1" applyFont="1" applyFill="1" applyBorder="1" applyAlignment="1">
      <alignment horizontal="center"/>
    </xf>
    <xf numFmtId="0" fontId="3" fillId="15" borderId="5" xfId="1" applyFont="1" applyFill="1" applyBorder="1" applyAlignment="1">
      <alignment horizontal="center"/>
    </xf>
    <xf numFmtId="0" fontId="3" fillId="15" borderId="39" xfId="1" applyFont="1" applyFill="1" applyBorder="1" applyAlignment="1">
      <alignment horizontal="center"/>
    </xf>
    <xf numFmtId="0" fontId="22" fillId="0" borderId="0" xfId="0" applyFont="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67" fillId="19" borderId="1" xfId="7" applyFont="1" applyFill="1" applyBorder="1" applyAlignment="1"/>
    <xf numFmtId="0" fontId="3" fillId="4" borderId="0" xfId="0" applyFont="1" applyFill="1" applyBorder="1" applyAlignment="1">
      <alignment horizontal="center" wrapText="1"/>
    </xf>
    <xf numFmtId="0" fontId="58" fillId="16" borderId="0" xfId="0" applyFont="1" applyFill="1" applyAlignment="1">
      <alignment horizontal="center"/>
    </xf>
    <xf numFmtId="0" fontId="8" fillId="0" borderId="0" xfId="0" applyFont="1" applyAlignment="1">
      <alignment horizontal="center"/>
    </xf>
    <xf numFmtId="0" fontId="3" fillId="4" borderId="11" xfId="0" applyFont="1" applyFill="1" applyBorder="1" applyAlignment="1">
      <alignment horizontal="left" wrapText="1"/>
    </xf>
    <xf numFmtId="0" fontId="3" fillId="4" borderId="12" xfId="0" applyFont="1" applyFill="1" applyBorder="1" applyAlignment="1">
      <alignment horizontal="left" wrapText="1"/>
    </xf>
    <xf numFmtId="0" fontId="3" fillId="4" borderId="13" xfId="0" applyFont="1" applyFill="1" applyBorder="1" applyAlignment="1">
      <alignment horizontal="left" wrapText="1"/>
    </xf>
    <xf numFmtId="0" fontId="3" fillId="4" borderId="38" xfId="0" applyFont="1" applyFill="1" applyBorder="1" applyAlignment="1">
      <alignment horizontal="left" wrapText="1"/>
    </xf>
    <xf numFmtId="0" fontId="3" fillId="4" borderId="5" xfId="0" applyFont="1" applyFill="1" applyBorder="1" applyAlignment="1">
      <alignment horizontal="left" wrapText="1"/>
    </xf>
    <xf numFmtId="0" fontId="3" fillId="4" borderId="39" xfId="0" applyFont="1" applyFill="1" applyBorder="1" applyAlignment="1">
      <alignment horizontal="left" wrapText="1"/>
    </xf>
    <xf numFmtId="0" fontId="3" fillId="4" borderId="22" xfId="0" applyFont="1" applyFill="1" applyBorder="1" applyAlignment="1">
      <alignment horizontal="left" wrapText="1"/>
    </xf>
    <xf numFmtId="0" fontId="3" fillId="4" borderId="23" xfId="0" applyFont="1" applyFill="1" applyBorder="1" applyAlignment="1">
      <alignment horizontal="left" wrapText="1"/>
    </xf>
    <xf numFmtId="0" fontId="3" fillId="4" borderId="24" xfId="0" applyFont="1" applyFill="1" applyBorder="1" applyAlignment="1">
      <alignment horizontal="left" wrapText="1"/>
    </xf>
    <xf numFmtId="4" fontId="6" fillId="3" borderId="30" xfId="0" applyNumberFormat="1" applyFont="1" applyFill="1" applyBorder="1" applyAlignment="1">
      <alignment horizontal="center"/>
    </xf>
    <xf numFmtId="4" fontId="6" fillId="3" borderId="33" xfId="0" applyNumberFormat="1" applyFont="1" applyFill="1" applyBorder="1" applyAlignment="1">
      <alignment horizontal="center"/>
    </xf>
    <xf numFmtId="0" fontId="11" fillId="3" borderId="30" xfId="0" applyFont="1" applyFill="1" applyBorder="1" applyAlignment="1">
      <alignment horizontal="center"/>
    </xf>
    <xf numFmtId="0" fontId="11" fillId="3" borderId="0" xfId="0" applyFont="1" applyFill="1" applyBorder="1" applyAlignment="1">
      <alignment horizontal="center"/>
    </xf>
    <xf numFmtId="0" fontId="6" fillId="3" borderId="30" xfId="0" applyFont="1" applyFill="1" applyBorder="1" applyAlignment="1">
      <alignment horizontal="center"/>
    </xf>
    <xf numFmtId="0" fontId="6" fillId="3" borderId="33" xfId="0" applyFont="1" applyFill="1" applyBorder="1" applyAlignment="1">
      <alignment horizontal="center"/>
    </xf>
    <xf numFmtId="1" fontId="10" fillId="3" borderId="30" xfId="5" applyNumberFormat="1" applyFont="1" applyFill="1" applyBorder="1" applyAlignment="1">
      <alignment horizontal="center"/>
    </xf>
    <xf numFmtId="1" fontId="10" fillId="3" borderId="0" xfId="5" applyNumberFormat="1" applyFont="1" applyFill="1" applyBorder="1" applyAlignment="1">
      <alignment horizontal="center"/>
    </xf>
    <xf numFmtId="4" fontId="6" fillId="3" borderId="32" xfId="0" applyNumberFormat="1" applyFont="1" applyFill="1" applyBorder="1" applyAlignment="1">
      <alignment horizontal="center"/>
    </xf>
    <xf numFmtId="4" fontId="6" fillId="3" borderId="36" xfId="0" applyNumberFormat="1" applyFont="1" applyFill="1" applyBorder="1" applyAlignment="1">
      <alignment horizontal="center"/>
    </xf>
    <xf numFmtId="0" fontId="56" fillId="0" borderId="41" xfId="0" applyFont="1" applyBorder="1" applyAlignment="1">
      <alignment horizontal="center"/>
    </xf>
    <xf numFmtId="0" fontId="16" fillId="0" borderId="9" xfId="0" applyFont="1" applyBorder="1" applyAlignment="1">
      <alignment horizontal="left"/>
    </xf>
  </cellXfs>
  <cellStyles count="10">
    <cellStyle name="Normal 2" xfId="1" xr:uid="{00000000-0005-0000-0000-000005000000}"/>
    <cellStyle name="Normal 3" xfId="7" xr:uid="{EB605B2E-672F-4367-85EA-1F3E17EA4DE6}"/>
    <cellStyle name="Normal 4" xfId="8" xr:uid="{42A5A279-C7BE-4DBE-BCD3-D95589E7E7CB}"/>
    <cellStyle name="Percent 2" xfId="9" xr:uid="{B18273E5-A45F-413E-9EA0-044ADF15487D}"/>
    <cellStyle name="百分比" xfId="6" builtinId="5"/>
    <cellStyle name="常规" xfId="0" builtinId="0"/>
    <cellStyle name="超链接" xfId="2" builtinId="8"/>
    <cellStyle name="千位分隔" xfId="5" builtinId="3"/>
    <cellStyle name="已访问的超链接" xfId="3" builtinId="9" hidden="1"/>
    <cellStyle name="已访问的超链接" xfId="4" builtinId="9" hidden="1"/>
  </cellStyles>
  <dxfs count="0"/>
  <tableStyles count="0" defaultTableStyle="TableStyleMedium9" defaultPivotStyle="PivotStyleLight16"/>
  <colors>
    <mruColors>
      <color rgb="FFE1BE1D"/>
      <color rgb="FFD15A5A"/>
      <color rgb="FFB7B7B7"/>
      <color rgb="FF6ABBDB"/>
      <color rgb="FF871531"/>
      <color rgb="FFA89F55"/>
      <color rgb="FF577483"/>
      <color rgb="FFA17A94"/>
      <color rgb="FFB2325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ontserrat" panose="00000500000000000000" pitchFamily="50" charset="0"/>
                <a:ea typeface="+mn-ea"/>
                <a:cs typeface="Arial" panose="020B0604020202020204" pitchFamily="34" charset="0"/>
              </a:defRPr>
            </a:pPr>
            <a:r>
              <a:rPr lang="en-US" b="1">
                <a:latin typeface="Montserrat" panose="00000500000000000000" pitchFamily="50" charset="0"/>
              </a:rPr>
              <a:t>Public Benefits by SF</a:t>
            </a:r>
          </a:p>
        </c:rich>
      </c:tx>
      <c:layout>
        <c:manualLayout>
          <c:xMode val="edge"/>
          <c:yMode val="edge"/>
          <c:x val="0.56272579765148201"/>
          <c:y val="5.007229984912270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title>
    <c:autoTitleDeleted val="0"/>
    <c:plotArea>
      <c:layout>
        <c:manualLayout>
          <c:layoutTarget val="inner"/>
          <c:xMode val="edge"/>
          <c:yMode val="edge"/>
          <c:x val="8.7489127226109201E-2"/>
          <c:y val="4.5732464649918501E-2"/>
          <c:w val="0.35252087306796898"/>
          <c:h val="0.70476896233951203"/>
        </c:manualLayout>
      </c:layout>
      <c:doughnutChart>
        <c:varyColors val="1"/>
        <c:ser>
          <c:idx val="0"/>
          <c:order val="0"/>
          <c:spPr>
            <a:ln w="12700"/>
          </c:spPr>
          <c:dPt>
            <c:idx val="0"/>
            <c:bubble3D val="0"/>
            <c:spPr>
              <a:solidFill>
                <a:srgbClr val="D15A5A"/>
              </a:solidFill>
              <a:ln w="12700">
                <a:solidFill>
                  <a:schemeClr val="lt1"/>
                </a:solidFill>
              </a:ln>
              <a:effectLst/>
            </c:spPr>
            <c:extLst>
              <c:ext xmlns:c16="http://schemas.microsoft.com/office/drawing/2014/chart" uri="{C3380CC4-5D6E-409C-BE32-E72D297353CC}">
                <c16:uniqueId val="{00000001-0E30-4B18-A587-6B5E5F46E3EF}"/>
              </c:ext>
            </c:extLst>
          </c:dPt>
          <c:dPt>
            <c:idx val="1"/>
            <c:bubble3D val="0"/>
            <c:spPr>
              <a:solidFill>
                <a:srgbClr val="871531"/>
              </a:solidFill>
              <a:ln w="12700">
                <a:solidFill>
                  <a:schemeClr val="lt1"/>
                </a:solidFill>
              </a:ln>
              <a:effectLst/>
            </c:spPr>
            <c:extLst>
              <c:ext xmlns:c16="http://schemas.microsoft.com/office/drawing/2014/chart" uri="{C3380CC4-5D6E-409C-BE32-E72D297353CC}">
                <c16:uniqueId val="{00000003-0E30-4B18-A587-6B5E5F46E3EF}"/>
              </c:ext>
            </c:extLst>
          </c:dPt>
          <c:dPt>
            <c:idx val="2"/>
            <c:bubble3D val="0"/>
            <c:spPr>
              <a:solidFill>
                <a:srgbClr val="6ABBDB"/>
              </a:solidFill>
              <a:ln w="12700">
                <a:solidFill>
                  <a:schemeClr val="lt1"/>
                </a:solidFill>
              </a:ln>
              <a:effectLst/>
            </c:spPr>
            <c:extLst>
              <c:ext xmlns:c16="http://schemas.microsoft.com/office/drawing/2014/chart" uri="{C3380CC4-5D6E-409C-BE32-E72D297353CC}">
                <c16:uniqueId val="{00000005-A5A6-420A-93C2-6C65434906AA}"/>
              </c:ext>
            </c:extLst>
          </c:dPt>
          <c:dPt>
            <c:idx val="3"/>
            <c:bubble3D val="0"/>
            <c:spPr>
              <a:solidFill>
                <a:srgbClr val="B7B7B7"/>
              </a:solidFill>
              <a:ln w="12700">
                <a:solidFill>
                  <a:schemeClr val="lt1"/>
                </a:solidFill>
              </a:ln>
              <a:effectLst/>
            </c:spPr>
            <c:extLst>
              <c:ext xmlns:c16="http://schemas.microsoft.com/office/drawing/2014/chart" uri="{C3380CC4-5D6E-409C-BE32-E72D297353CC}">
                <c16:uniqueId val="{00000007-0E30-4B18-A587-6B5E5F46E3EF}"/>
              </c:ext>
            </c:extLst>
          </c:dPt>
          <c:dPt>
            <c:idx val="4"/>
            <c:bubble3D val="0"/>
            <c:spPr>
              <a:solidFill>
                <a:srgbClr val="A89F55"/>
              </a:solidFill>
              <a:ln w="12700">
                <a:solidFill>
                  <a:schemeClr val="lt1"/>
                </a:solidFill>
              </a:ln>
              <a:effectLst/>
            </c:spPr>
            <c:extLst>
              <c:ext xmlns:c16="http://schemas.microsoft.com/office/drawing/2014/chart" uri="{C3380CC4-5D6E-409C-BE32-E72D297353CC}">
                <c16:uniqueId val="{00000004-A5A6-420A-93C2-6C65434906AA}"/>
              </c:ext>
            </c:extLst>
          </c:dPt>
          <c:dPt>
            <c:idx val="5"/>
            <c:bubble3D val="0"/>
            <c:spPr>
              <a:solidFill>
                <a:srgbClr val="E1BE1D"/>
              </a:solidFill>
              <a:ln w="12700">
                <a:solidFill>
                  <a:schemeClr val="lt1"/>
                </a:solidFill>
              </a:ln>
              <a:effectLst/>
            </c:spPr>
            <c:extLst>
              <c:ext xmlns:c16="http://schemas.microsoft.com/office/drawing/2014/chart" uri="{C3380CC4-5D6E-409C-BE32-E72D297353CC}">
                <c16:uniqueId val="{0000000B-0E30-4B18-A587-6B5E5F46E3EF}"/>
              </c:ext>
            </c:extLst>
          </c:dPt>
          <c:dLbls>
            <c:dLbl>
              <c:idx val="0"/>
              <c:layout>
                <c:manualLayout>
                  <c:x val="0.12999358265162"/>
                  <c:y val="-0.132875398387709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30-4B18-A587-6B5E5F46E3EF}"/>
                </c:ext>
              </c:extLst>
            </c:dLbl>
            <c:dLbl>
              <c:idx val="1"/>
              <c:layout>
                <c:manualLayout>
                  <c:x val="0.13752944251548199"/>
                  <c:y val="-8.5978198956752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30-4B18-A587-6B5E5F46E3EF}"/>
                </c:ext>
              </c:extLst>
            </c:dLbl>
            <c:dLbl>
              <c:idx val="2"/>
              <c:layout>
                <c:manualLayout>
                  <c:x val="0.13941340748144701"/>
                  <c:y val="9.77024988144916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A6-420A-93C2-6C65434906AA}"/>
                </c:ext>
              </c:extLst>
            </c:dLbl>
            <c:dLbl>
              <c:idx val="3"/>
              <c:layout>
                <c:manualLayout>
                  <c:x val="0.13941340748144701"/>
                  <c:y val="0.168048297960925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30-4B18-A587-6B5E5F46E3EF}"/>
                </c:ext>
              </c:extLst>
            </c:dLbl>
            <c:dLbl>
              <c:idx val="4"/>
              <c:layout>
                <c:manualLayout>
                  <c:x val="-9.0430318366344201E-2"/>
                  <c:y val="0.273566996680576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A6-420A-93C2-6C65434906AA}"/>
                </c:ext>
              </c:extLst>
            </c:dLbl>
            <c:dLbl>
              <c:idx val="5"/>
              <c:layout>
                <c:manualLayout>
                  <c:x val="0.13187754761758499"/>
                  <c:y val="-8.98862989093324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30-4B18-A587-6B5E5F46E3E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'Parcel Breakdown'!$B$33:$B$38</c:f>
              <c:strCache>
                <c:ptCount val="6"/>
                <c:pt idx="0">
                  <c:v>Sports Museum / Gallery &amp; Museum Rec Center</c:v>
                </c:pt>
                <c:pt idx="1">
                  <c:v>STEM Charter School</c:v>
                </c:pt>
                <c:pt idx="2">
                  <c:v>Test Kitchen</c:v>
                </c:pt>
                <c:pt idx="3">
                  <c:v>New Transit Station</c:v>
                </c:pt>
                <c:pt idx="4">
                  <c:v>Public Park Space</c:v>
                </c:pt>
                <c:pt idx="5">
                  <c:v>Affordable Housing</c:v>
                </c:pt>
              </c:strCache>
            </c:strRef>
          </c:cat>
          <c:val>
            <c:numRef>
              <c:f>'Parcel Breakdown'!$F$33:$F$38</c:f>
              <c:numCache>
                <c:formatCode>#,##0_);\(#,##0\)</c:formatCode>
                <c:ptCount val="6"/>
                <c:pt idx="0">
                  <c:v>60000</c:v>
                </c:pt>
                <c:pt idx="1">
                  <c:v>78210</c:v>
                </c:pt>
                <c:pt idx="2">
                  <c:v>19125</c:v>
                </c:pt>
                <c:pt idx="3">
                  <c:v>30000</c:v>
                </c:pt>
                <c:pt idx="4">
                  <c:v>1731000</c:v>
                </c:pt>
                <c:pt idx="5">
                  <c:v>323241.01511111116</c:v>
                </c:pt>
              </c:numCache>
            </c:numRef>
          </c:val>
          <c:extLst>
            <c:ext xmlns:c16="http://schemas.microsoft.com/office/drawing/2014/chart" uri="{C3380CC4-5D6E-409C-BE32-E72D297353CC}">
              <c16:uniqueId val="{00000000-A5A6-420A-93C2-6C65434906AA}"/>
            </c:ext>
          </c:extLst>
        </c:ser>
        <c:dLbls>
          <c:showLegendKey val="0"/>
          <c:showVal val="0"/>
          <c:showCatName val="0"/>
          <c:showSerName val="0"/>
          <c:showPercent val="0"/>
          <c:showBubbleSize val="0"/>
          <c:showLeaderLines val="1"/>
        </c:dLbls>
        <c:firstSliceAng val="105"/>
        <c:holeSize val="38"/>
      </c:doughnutChart>
      <c:spPr>
        <a:noFill/>
        <a:ln>
          <a:noFill/>
        </a:ln>
        <a:effectLst/>
      </c:spPr>
    </c:plotArea>
    <c:legend>
      <c:legendPos val="b"/>
      <c:layout>
        <c:manualLayout>
          <c:xMode val="edge"/>
          <c:yMode val="edge"/>
          <c:x val="0.56854145182129601"/>
          <c:y val="0.64044414455426701"/>
          <c:w val="0.43145854817870399"/>
          <c:h val="0.3595558554457329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zh-CN"/>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ontserrat" panose="00000500000000000000" pitchFamily="50" charset="0"/>
                <a:ea typeface="+mn-ea"/>
                <a:cs typeface="Arial" panose="020B0604020202020204" pitchFamily="34" charset="0"/>
              </a:defRPr>
            </a:pPr>
            <a:r>
              <a:rPr lang="en-US" b="1">
                <a:solidFill>
                  <a:sysClr val="windowText" lastClr="000000"/>
                </a:solidFill>
                <a:latin typeface="Montserrat" panose="00000500000000000000" pitchFamily="50" charset="0"/>
                <a:cs typeface="Arial" panose="020B0604020202020204" pitchFamily="34" charset="0"/>
              </a:rPr>
              <a:t>Project Breakdown by Gross SF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ontserrat" panose="00000500000000000000" pitchFamily="50" charset="0"/>
              <a:ea typeface="+mn-ea"/>
              <a:cs typeface="Arial" panose="020B0604020202020204" pitchFamily="34" charset="0"/>
            </a:defRPr>
          </a:pPr>
          <a:endParaRPr lang="zh-CN"/>
        </a:p>
      </c:txPr>
    </c:title>
    <c:autoTitleDeleted val="0"/>
    <c:plotArea>
      <c:layout>
        <c:manualLayout>
          <c:layoutTarget val="inner"/>
          <c:xMode val="edge"/>
          <c:yMode val="edge"/>
          <c:x val="0.27099202192041499"/>
          <c:y val="0.179483128160035"/>
          <c:w val="0.51764808384183303"/>
          <c:h val="0.36843670720621702"/>
        </c:manualLayout>
      </c:layout>
      <c:doughnutChart>
        <c:varyColors val="1"/>
        <c:ser>
          <c:idx val="0"/>
          <c:order val="0"/>
          <c:dPt>
            <c:idx val="0"/>
            <c:bubble3D val="0"/>
            <c:spPr>
              <a:solidFill>
                <a:srgbClr val="E1BE1D">
                  <a:alpha val="70000"/>
                </a:srgbClr>
              </a:solidFill>
              <a:ln w="19050">
                <a:solidFill>
                  <a:schemeClr val="lt1"/>
                </a:solidFill>
              </a:ln>
              <a:effectLst/>
            </c:spPr>
            <c:extLst>
              <c:ext xmlns:c16="http://schemas.microsoft.com/office/drawing/2014/chart" uri="{C3380CC4-5D6E-409C-BE32-E72D297353CC}">
                <c16:uniqueId val="{00000001-E04F-4498-9B4C-5AB6146207B9}"/>
              </c:ext>
            </c:extLst>
          </c:dPt>
          <c:dPt>
            <c:idx val="1"/>
            <c:bubble3D val="0"/>
            <c:spPr>
              <a:solidFill>
                <a:srgbClr val="E1BE1D"/>
              </a:solidFill>
              <a:ln w="19050">
                <a:solidFill>
                  <a:schemeClr val="lt1"/>
                </a:solidFill>
              </a:ln>
              <a:effectLst/>
            </c:spPr>
            <c:extLst>
              <c:ext xmlns:c16="http://schemas.microsoft.com/office/drawing/2014/chart" uri="{C3380CC4-5D6E-409C-BE32-E72D297353CC}">
                <c16:uniqueId val="{00000003-E04F-4498-9B4C-5AB6146207B9}"/>
              </c:ext>
            </c:extLst>
          </c:dPt>
          <c:dPt>
            <c:idx val="2"/>
            <c:bubble3D val="0"/>
            <c:spPr>
              <a:solidFill>
                <a:srgbClr val="871531"/>
              </a:solidFill>
              <a:ln w="19050">
                <a:solidFill>
                  <a:schemeClr val="lt1"/>
                </a:solidFill>
              </a:ln>
              <a:effectLst/>
            </c:spPr>
            <c:extLst>
              <c:ext xmlns:c16="http://schemas.microsoft.com/office/drawing/2014/chart" uri="{C3380CC4-5D6E-409C-BE32-E72D297353CC}">
                <c16:uniqueId val="{00000005-E04F-4498-9B4C-5AB6146207B9}"/>
              </c:ext>
            </c:extLst>
          </c:dPt>
          <c:dPt>
            <c:idx val="3"/>
            <c:bubble3D val="0"/>
            <c:spPr>
              <a:solidFill>
                <a:srgbClr val="A17A94"/>
              </a:solidFill>
              <a:ln w="19050">
                <a:solidFill>
                  <a:schemeClr val="lt1"/>
                </a:solidFill>
              </a:ln>
              <a:effectLst/>
            </c:spPr>
            <c:extLst>
              <c:ext xmlns:c16="http://schemas.microsoft.com/office/drawing/2014/chart" uri="{C3380CC4-5D6E-409C-BE32-E72D297353CC}">
                <c16:uniqueId val="{00000007-E04F-4498-9B4C-5AB6146207B9}"/>
              </c:ext>
            </c:extLst>
          </c:dPt>
          <c:dPt>
            <c:idx val="4"/>
            <c:bubble3D val="0"/>
            <c:spPr>
              <a:solidFill>
                <a:srgbClr val="D15A5A"/>
              </a:solidFill>
              <a:ln w="19050">
                <a:solidFill>
                  <a:schemeClr val="lt1"/>
                </a:solidFill>
              </a:ln>
              <a:effectLst/>
            </c:spPr>
            <c:extLst>
              <c:ext xmlns:c16="http://schemas.microsoft.com/office/drawing/2014/chart" uri="{C3380CC4-5D6E-409C-BE32-E72D297353CC}">
                <c16:uniqueId val="{00000009-E04F-4498-9B4C-5AB6146207B9}"/>
              </c:ext>
            </c:extLst>
          </c:dPt>
          <c:dPt>
            <c:idx val="5"/>
            <c:bubble3D val="0"/>
            <c:spPr>
              <a:solidFill>
                <a:srgbClr val="6ABBDB"/>
              </a:solidFill>
              <a:ln w="19050">
                <a:solidFill>
                  <a:schemeClr val="lt1"/>
                </a:solidFill>
              </a:ln>
              <a:effectLst/>
            </c:spPr>
            <c:extLst>
              <c:ext xmlns:c16="http://schemas.microsoft.com/office/drawing/2014/chart" uri="{C3380CC4-5D6E-409C-BE32-E72D297353CC}">
                <c16:uniqueId val="{0000000B-E04F-4498-9B4C-5AB6146207B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04F-4498-9B4C-5AB6146207B9}"/>
              </c:ext>
            </c:extLst>
          </c:dPt>
          <c:dPt>
            <c:idx val="7"/>
            <c:bubble3D val="0"/>
            <c:spPr>
              <a:solidFill>
                <a:srgbClr val="B7B7B7"/>
              </a:solidFill>
              <a:ln w="19050">
                <a:solidFill>
                  <a:schemeClr val="lt1"/>
                </a:solidFill>
              </a:ln>
              <a:effectLst/>
            </c:spPr>
            <c:extLst>
              <c:ext xmlns:c16="http://schemas.microsoft.com/office/drawing/2014/chart" uri="{C3380CC4-5D6E-409C-BE32-E72D297353CC}">
                <c16:uniqueId val="{0000000F-E04F-4498-9B4C-5AB6146207B9}"/>
              </c:ext>
            </c:extLst>
          </c:dPt>
          <c:dLbls>
            <c:dLbl>
              <c:idx val="0"/>
              <c:layout>
                <c:manualLayout>
                  <c:x val="0.12589004733006701"/>
                  <c:y val="-0.1249717787693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4F-4498-9B4C-5AB6146207B9}"/>
                </c:ext>
              </c:extLst>
            </c:dLbl>
            <c:dLbl>
              <c:idx val="1"/>
              <c:layout>
                <c:manualLayout>
                  <c:x val="0.15901900715376799"/>
                  <c:y val="0.1178979044993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4F-4498-9B4C-5AB6146207B9}"/>
                </c:ext>
              </c:extLst>
            </c:dLbl>
            <c:dLbl>
              <c:idx val="2"/>
              <c:layout>
                <c:manualLayout>
                  <c:x val="-0.12589004733006701"/>
                  <c:y val="9.6676281689471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4F-4498-9B4C-5AB6146207B9}"/>
                </c:ext>
              </c:extLst>
            </c:dLbl>
            <c:dLbl>
              <c:idx val="3"/>
              <c:layout>
                <c:manualLayout>
                  <c:x val="-0.202086654924581"/>
                  <c:y val="7.5454658879587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4F-4498-9B4C-5AB6146207B9}"/>
                </c:ext>
              </c:extLst>
            </c:dLbl>
            <c:dLbl>
              <c:idx val="4"/>
              <c:delete val="1"/>
              <c:extLst>
                <c:ext xmlns:c15="http://schemas.microsoft.com/office/drawing/2012/chart" uri="{CE6537A1-D6FC-4f65-9D91-7224C49458BB}"/>
                <c:ext xmlns:c16="http://schemas.microsoft.com/office/drawing/2014/chart" uri="{C3380CC4-5D6E-409C-BE32-E72D297353CC}">
                  <c16:uniqueId val="{00000009-E04F-4498-9B4C-5AB6146207B9}"/>
                </c:ext>
              </c:extLst>
            </c:dLbl>
            <c:dLbl>
              <c:idx val="5"/>
              <c:layout>
                <c:manualLayout>
                  <c:x val="-0.205399550906951"/>
                  <c:y val="-8.72444493295229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04F-4498-9B4C-5AB6146207B9}"/>
                </c:ext>
              </c:extLst>
            </c:dLbl>
            <c:dLbl>
              <c:idx val="6"/>
              <c:delete val="1"/>
              <c:extLst>
                <c:ext xmlns:c15="http://schemas.microsoft.com/office/drawing/2012/chart" uri="{CE6537A1-D6FC-4f65-9D91-7224C49458BB}"/>
                <c:ext xmlns:c16="http://schemas.microsoft.com/office/drawing/2014/chart" uri="{C3380CC4-5D6E-409C-BE32-E72D297353CC}">
                  <c16:uniqueId val="{0000000D-E04F-4498-9B4C-5AB6146207B9}"/>
                </c:ext>
              </c:extLst>
            </c:dLbl>
            <c:dLbl>
              <c:idx val="7"/>
              <c:layout>
                <c:manualLayout>
                  <c:x val="-0.12920294331243701"/>
                  <c:y val="-0.110824030229393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04F-4498-9B4C-5AB6146207B9}"/>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'Loan Sizing'!$B$126:$B$133</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Sizing'!$H$126:$H$133</c:f>
              <c:numCache>
                <c:formatCode>#,##0_);\(#,##0\)</c:formatCode>
                <c:ptCount val="8"/>
                <c:pt idx="0">
                  <c:v>6.9599999999999992E-3</c:v>
                </c:pt>
                <c:pt idx="1">
                  <c:v>8.94E-3</c:v>
                </c:pt>
                <c:pt idx="2">
                  <c:v>1.1999999999999999E-6</c:v>
                </c:pt>
                <c:pt idx="3">
                  <c:v>5.4000000000000001E-4</c:v>
                </c:pt>
                <c:pt idx="4">
                  <c:v>383346</c:v>
                </c:pt>
                <c:pt idx="5">
                  <c:v>1.1999999999999999E-6</c:v>
                </c:pt>
                <c:pt idx="6">
                  <c:v>168628.8</c:v>
                </c:pt>
                <c:pt idx="7">
                  <c:v>3.5999999999999997E-4</c:v>
                </c:pt>
              </c:numCache>
            </c:numRef>
          </c:val>
          <c:extLst>
            <c:ext xmlns:c16="http://schemas.microsoft.com/office/drawing/2014/chart" uri="{C3380CC4-5D6E-409C-BE32-E72D297353CC}">
              <c16:uniqueId val="{00000010-E04F-4498-9B4C-5AB6146207B9}"/>
            </c:ext>
          </c:extLst>
        </c:ser>
        <c:dLbls>
          <c:showLegendKey val="0"/>
          <c:showVal val="0"/>
          <c:showCatName val="0"/>
          <c:showSerName val="0"/>
          <c:showPercent val="0"/>
          <c:showBubbleSize val="0"/>
          <c:showLeaderLines val="1"/>
        </c:dLbls>
        <c:firstSliceAng val="0"/>
        <c:holeSize val="38"/>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ontserrat" panose="00000500000000000000" pitchFamily="50" charset="0"/>
              <a:ea typeface="+mn-ea"/>
              <a:cs typeface="Arial" panose="020B0604020202020204" pitchFamily="34" charset="0"/>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zh-CN"/>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'Loan Sizing'!$B$149</c:f>
              <c:strCache>
                <c:ptCount val="1"/>
                <c:pt idx="0">
                  <c:v>Levered IRR with Opportunity Zone</c:v>
                </c:pt>
              </c:strCache>
            </c:strRef>
          </c:tx>
          <c:spPr>
            <a:solidFill>
              <a:srgbClr val="871531">
                <a:alpha val="5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'Loan Sizing'!$E$149</c:f>
              <c:numCache>
                <c:formatCode>0.0%</c:formatCode>
                <c:ptCount val="1"/>
                <c:pt idx="0">
                  <c:v>0.54026291475144572</c:v>
                </c:pt>
              </c:numCache>
            </c:numRef>
          </c:val>
          <c:extLst>
            <c:ext xmlns:c16="http://schemas.microsoft.com/office/drawing/2014/chart" uri="{C3380CC4-5D6E-409C-BE32-E72D297353CC}">
              <c16:uniqueId val="{00000000-6728-4758-A854-0EA1567219E2}"/>
            </c:ext>
          </c:extLst>
        </c:ser>
        <c:ser>
          <c:idx val="1"/>
          <c:order val="1"/>
          <c:tx>
            <c:strRef>
              <c:f>'Loan Sizing'!$B$148</c:f>
              <c:strCache>
                <c:ptCount val="1"/>
                <c:pt idx="0">
                  <c:v>Levered IRR without Opportunity Zone</c:v>
                </c:pt>
              </c:strCache>
            </c:strRef>
          </c:tx>
          <c:spPr>
            <a:solidFill>
              <a:srgbClr val="871531">
                <a:alpha val="7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'Loan Sizing'!$E$148</c:f>
              <c:numCache>
                <c:formatCode>0.0%</c:formatCode>
                <c:ptCount val="1"/>
                <c:pt idx="0">
                  <c:v>0.32546783189453388</c:v>
                </c:pt>
              </c:numCache>
            </c:numRef>
          </c:val>
          <c:extLst>
            <c:ext xmlns:c16="http://schemas.microsoft.com/office/drawing/2014/chart" uri="{C3380CC4-5D6E-409C-BE32-E72D297353CC}">
              <c16:uniqueId val="{00000001-6728-4758-A854-0EA1567219E2}"/>
            </c:ext>
          </c:extLst>
        </c:ser>
        <c:ser>
          <c:idx val="2"/>
          <c:order val="2"/>
          <c:tx>
            <c:strRef>
              <c:f>'Loan Sizing'!$B$147</c:f>
              <c:strCache>
                <c:ptCount val="1"/>
                <c:pt idx="0">
                  <c:v>Unlevered IRR</c:v>
                </c:pt>
              </c:strCache>
            </c:strRef>
          </c:tx>
          <c:spPr>
            <a:solidFill>
              <a:srgbClr val="87153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'Loan Sizing'!$E$147</c:f>
              <c:numCache>
                <c:formatCode>0.0%</c:formatCode>
                <c:ptCount val="1"/>
                <c:pt idx="0">
                  <c:v>0.15590292187162347</c:v>
                </c:pt>
              </c:numCache>
            </c:numRef>
          </c:val>
          <c:extLst>
            <c:ext xmlns:c16="http://schemas.microsoft.com/office/drawing/2014/chart" uri="{C3380CC4-5D6E-409C-BE32-E72D297353CC}">
              <c16:uniqueId val="{00000002-6728-4758-A854-0EA1567219E2}"/>
            </c:ext>
          </c:extLst>
        </c:ser>
        <c:dLbls>
          <c:showLegendKey val="0"/>
          <c:showVal val="0"/>
          <c:showCatName val="0"/>
          <c:showSerName val="0"/>
          <c:showPercent val="0"/>
          <c:showBubbleSize val="0"/>
        </c:dLbls>
        <c:gapWidth val="182"/>
        <c:axId val="-1546512000"/>
        <c:axId val="-1546509168"/>
      </c:barChart>
      <c:catAx>
        <c:axId val="-1546512000"/>
        <c:scaling>
          <c:orientation val="minMax"/>
        </c:scaling>
        <c:delete val="1"/>
        <c:axPos val="l"/>
        <c:majorTickMark val="none"/>
        <c:minorTickMark val="none"/>
        <c:tickLblPos val="nextTo"/>
        <c:crossAx val="-1546509168"/>
        <c:crosses val="autoZero"/>
        <c:auto val="1"/>
        <c:lblAlgn val="ctr"/>
        <c:lblOffset val="100"/>
        <c:noMultiLvlLbl val="0"/>
      </c:catAx>
      <c:valAx>
        <c:axId val="-1546509168"/>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crossAx val="-1546512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0"/>
        <a:lstStyle/>
        <a:p>
          <a:pPr>
            <a:defRPr sz="100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zh-CN"/>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'Loan Sizing'!$E$78</c:f>
              <c:strCache>
                <c:ptCount val="1"/>
                <c:pt idx="0">
                  <c:v>Yield-to-Cost</c:v>
                </c:pt>
              </c:strCache>
            </c:strRef>
          </c:tx>
          <c:spPr>
            <a:solidFill>
              <a:srgbClr val="871531">
                <a:alpha val="50000"/>
              </a:srgbClr>
            </a:solidFill>
            <a:ln>
              <a:noFill/>
            </a:ln>
            <a:effectLst/>
          </c:spPr>
          <c:invertIfNegative val="0"/>
          <c:cat>
            <c:strRef>
              <c:f>'Loan Sizing'!$B$166:$B$173</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Sizing'!$E$166:$E$173</c:f>
              <c:numCache>
                <c:formatCode>0.0%</c:formatCode>
                <c:ptCount val="8"/>
                <c:pt idx="0">
                  <c:v>3.721606290526993E-2</c:v>
                </c:pt>
                <c:pt idx="1">
                  <c:v>7.304335801149886E-2</c:v>
                </c:pt>
                <c:pt idx="2">
                  <c:v>0.13129358119433937</c:v>
                </c:pt>
                <c:pt idx="3">
                  <c:v>4.588491351483983E-2</c:v>
                </c:pt>
                <c:pt idx="4">
                  <c:v>0.1236668467067535</c:v>
                </c:pt>
                <c:pt idx="5">
                  <c:v>0.10854485899863774</c:v>
                </c:pt>
                <c:pt idx="6">
                  <c:v>0</c:v>
                </c:pt>
                <c:pt idx="7">
                  <c:v>1.1829754133216542E-2</c:v>
                </c:pt>
              </c:numCache>
            </c:numRef>
          </c:val>
          <c:extLst>
            <c:ext xmlns:c16="http://schemas.microsoft.com/office/drawing/2014/chart" uri="{C3380CC4-5D6E-409C-BE32-E72D297353CC}">
              <c16:uniqueId val="{00000000-CA23-4070-B4DC-1EE2A73370B9}"/>
            </c:ext>
          </c:extLst>
        </c:ser>
        <c:ser>
          <c:idx val="3"/>
          <c:order val="1"/>
          <c:tx>
            <c:strRef>
              <c:f>'Loan Sizing'!$F$78</c:f>
              <c:strCache>
                <c:ptCount val="1"/>
                <c:pt idx="0">
                  <c:v>Yield-to-Cost after Subsidies</c:v>
                </c:pt>
              </c:strCache>
            </c:strRef>
          </c:tx>
          <c:spPr>
            <a:solidFill>
              <a:srgbClr val="871531">
                <a:alpha val="75000"/>
              </a:srgbClr>
            </a:solidFill>
            <a:ln>
              <a:noFill/>
            </a:ln>
            <a:effectLst/>
          </c:spPr>
          <c:invertIfNegative val="0"/>
          <c:cat>
            <c:strRef>
              <c:f>'Loan Sizing'!$B$166:$B$173</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Sizing'!$F$166:$F$173</c:f>
              <c:numCache>
                <c:formatCode>0.0%</c:formatCode>
                <c:ptCount val="8"/>
                <c:pt idx="0">
                  <c:v>-2.0918892632683671E-9</c:v>
                </c:pt>
                <c:pt idx="1">
                  <c:v>9.0787212800517242E-2</c:v>
                </c:pt>
                <c:pt idx="2">
                  <c:v>0.16318770959785289</c:v>
                </c:pt>
                <c:pt idx="3">
                  <c:v>5.7031378636087579E-2</c:v>
                </c:pt>
                <c:pt idx="4">
                  <c:v>-1.3889174176373442E-9</c:v>
                </c:pt>
                <c:pt idx="5">
                  <c:v>0.13491281727162815</c:v>
                </c:pt>
                <c:pt idx="6">
                  <c:v>0</c:v>
                </c:pt>
                <c:pt idx="7">
                  <c:v>1.4703464286253864E-2</c:v>
                </c:pt>
              </c:numCache>
            </c:numRef>
          </c:val>
          <c:extLst>
            <c:ext xmlns:c16="http://schemas.microsoft.com/office/drawing/2014/chart" uri="{C3380CC4-5D6E-409C-BE32-E72D297353CC}">
              <c16:uniqueId val="{00000001-CA23-4070-B4DC-1EE2A73370B9}"/>
            </c:ext>
          </c:extLst>
        </c:ser>
        <c:ser>
          <c:idx val="4"/>
          <c:order val="2"/>
          <c:tx>
            <c:strRef>
              <c:f>'Loan Sizing'!$G$78</c:f>
              <c:strCache>
                <c:ptCount val="1"/>
                <c:pt idx="0">
                  <c:v>Exit Cap Rate</c:v>
                </c:pt>
              </c:strCache>
            </c:strRef>
          </c:tx>
          <c:spPr>
            <a:solidFill>
              <a:srgbClr val="871531"/>
            </a:solidFill>
            <a:ln>
              <a:noFill/>
            </a:ln>
            <a:effectLst/>
          </c:spPr>
          <c:invertIfNegative val="0"/>
          <c:cat>
            <c:strRef>
              <c:f>'Loan Sizing'!$B$166:$B$173</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Sizing'!$G$166:$G$173</c:f>
              <c:numCache>
                <c:formatCode>0.0%</c:formatCode>
                <c:ptCount val="8"/>
                <c:pt idx="0">
                  <c:v>7.4999999999999997E-2</c:v>
                </c:pt>
                <c:pt idx="1">
                  <c:v>6.5000000000000002E-2</c:v>
                </c:pt>
                <c:pt idx="2">
                  <c:v>0.06</c:v>
                </c:pt>
                <c:pt idx="3">
                  <c:v>0.08</c:v>
                </c:pt>
                <c:pt idx="4">
                  <c:v>0.09</c:v>
                </c:pt>
                <c:pt idx="5">
                  <c:v>6.5000000000000002E-2</c:v>
                </c:pt>
                <c:pt idx="6">
                  <c:v>0.08</c:v>
                </c:pt>
                <c:pt idx="7">
                  <c:v>7.0000000000000007E-2</c:v>
                </c:pt>
              </c:numCache>
            </c:numRef>
          </c:val>
          <c:extLst>
            <c:ext xmlns:c16="http://schemas.microsoft.com/office/drawing/2014/chart" uri="{C3380CC4-5D6E-409C-BE32-E72D297353CC}">
              <c16:uniqueId val="{00000002-CA23-4070-B4DC-1EE2A73370B9}"/>
            </c:ext>
          </c:extLst>
        </c:ser>
        <c:dLbls>
          <c:showLegendKey val="0"/>
          <c:showVal val="0"/>
          <c:showCatName val="0"/>
          <c:showSerName val="0"/>
          <c:showPercent val="0"/>
          <c:showBubbleSize val="0"/>
        </c:dLbls>
        <c:gapWidth val="219"/>
        <c:overlap val="-27"/>
        <c:axId val="-1582914656"/>
        <c:axId val="-1582912880"/>
      </c:barChart>
      <c:catAx>
        <c:axId val="-15829146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crossAx val="-1582912880"/>
        <c:crosses val="autoZero"/>
        <c:auto val="1"/>
        <c:lblAlgn val="ctr"/>
        <c:lblOffset val="100"/>
        <c:noMultiLvlLbl val="0"/>
      </c:catAx>
      <c:valAx>
        <c:axId val="-158291288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crossAx val="-158291465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zh-CN"/>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ontserrat" panose="00000500000000000000" pitchFamily="50" charset="0"/>
                <a:ea typeface="+mn-ea"/>
                <a:cs typeface="Arial" panose="020B0604020202020204" pitchFamily="34" charset="0"/>
              </a:defRPr>
            </a:pPr>
            <a:r>
              <a:rPr lang="en-US" b="1">
                <a:solidFill>
                  <a:sysClr val="windowText" lastClr="000000"/>
                </a:solidFill>
                <a:latin typeface="Montserrat" panose="00000500000000000000" pitchFamily="50" charset="0"/>
                <a:cs typeface="Arial" panose="020B0604020202020204" pitchFamily="34" charset="0"/>
              </a:rPr>
              <a:t>Project Breakdown by Gross SF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ontserrat" panose="00000500000000000000" pitchFamily="50" charset="0"/>
              <a:ea typeface="+mn-ea"/>
              <a:cs typeface="Arial" panose="020B0604020202020204" pitchFamily="34" charset="0"/>
            </a:defRPr>
          </a:pPr>
          <a:endParaRPr lang="zh-CN"/>
        </a:p>
      </c:txPr>
    </c:title>
    <c:autoTitleDeleted val="0"/>
    <c:plotArea>
      <c:layout>
        <c:manualLayout>
          <c:layoutTarget val="inner"/>
          <c:xMode val="edge"/>
          <c:yMode val="edge"/>
          <c:x val="0.25111464602619399"/>
          <c:y val="0.16533537962011299"/>
          <c:w val="0.53089966777131303"/>
          <c:h val="0.37786853956616501"/>
        </c:manualLayout>
      </c:layout>
      <c:doughnutChart>
        <c:varyColors val="1"/>
        <c:ser>
          <c:idx val="0"/>
          <c:order val="0"/>
          <c:dPt>
            <c:idx val="0"/>
            <c:bubble3D val="0"/>
            <c:spPr>
              <a:solidFill>
                <a:srgbClr val="E1BE1D">
                  <a:alpha val="70000"/>
                </a:srgbClr>
              </a:solidFill>
              <a:ln w="19050">
                <a:solidFill>
                  <a:schemeClr val="lt1"/>
                </a:solidFill>
              </a:ln>
              <a:effectLst/>
            </c:spPr>
            <c:extLst>
              <c:ext xmlns:c16="http://schemas.microsoft.com/office/drawing/2014/chart" uri="{C3380CC4-5D6E-409C-BE32-E72D297353CC}">
                <c16:uniqueId val="{00000001-0C85-466C-A97D-F034941B1117}"/>
              </c:ext>
            </c:extLst>
          </c:dPt>
          <c:dPt>
            <c:idx val="1"/>
            <c:bubble3D val="0"/>
            <c:spPr>
              <a:solidFill>
                <a:srgbClr val="E1BE1D"/>
              </a:solidFill>
              <a:ln w="19050">
                <a:solidFill>
                  <a:schemeClr val="lt1"/>
                </a:solidFill>
              </a:ln>
              <a:effectLst/>
            </c:spPr>
            <c:extLst>
              <c:ext xmlns:c16="http://schemas.microsoft.com/office/drawing/2014/chart" uri="{C3380CC4-5D6E-409C-BE32-E72D297353CC}">
                <c16:uniqueId val="{00000003-0C85-466C-A97D-F034941B1117}"/>
              </c:ext>
            </c:extLst>
          </c:dPt>
          <c:dPt>
            <c:idx val="2"/>
            <c:bubble3D val="0"/>
            <c:spPr>
              <a:solidFill>
                <a:srgbClr val="871531"/>
              </a:solidFill>
              <a:ln w="19050">
                <a:solidFill>
                  <a:schemeClr val="lt1"/>
                </a:solidFill>
              </a:ln>
              <a:effectLst/>
            </c:spPr>
            <c:extLst>
              <c:ext xmlns:c16="http://schemas.microsoft.com/office/drawing/2014/chart" uri="{C3380CC4-5D6E-409C-BE32-E72D297353CC}">
                <c16:uniqueId val="{00000005-0C85-466C-A97D-F034941B1117}"/>
              </c:ext>
            </c:extLst>
          </c:dPt>
          <c:dPt>
            <c:idx val="3"/>
            <c:bubble3D val="0"/>
            <c:spPr>
              <a:solidFill>
                <a:srgbClr val="A17A94"/>
              </a:solidFill>
              <a:ln w="19050">
                <a:solidFill>
                  <a:schemeClr val="lt1"/>
                </a:solidFill>
              </a:ln>
              <a:effectLst/>
            </c:spPr>
            <c:extLst>
              <c:ext xmlns:c16="http://schemas.microsoft.com/office/drawing/2014/chart" uri="{C3380CC4-5D6E-409C-BE32-E72D297353CC}">
                <c16:uniqueId val="{00000007-0C85-466C-A97D-F034941B1117}"/>
              </c:ext>
            </c:extLst>
          </c:dPt>
          <c:dPt>
            <c:idx val="4"/>
            <c:bubble3D val="0"/>
            <c:spPr>
              <a:solidFill>
                <a:srgbClr val="D15A5A"/>
              </a:solidFill>
              <a:ln w="19050">
                <a:solidFill>
                  <a:schemeClr val="lt1"/>
                </a:solidFill>
              </a:ln>
              <a:effectLst/>
            </c:spPr>
            <c:extLst>
              <c:ext xmlns:c16="http://schemas.microsoft.com/office/drawing/2014/chart" uri="{C3380CC4-5D6E-409C-BE32-E72D297353CC}">
                <c16:uniqueId val="{00000009-0C85-466C-A97D-F034941B1117}"/>
              </c:ext>
            </c:extLst>
          </c:dPt>
          <c:dPt>
            <c:idx val="5"/>
            <c:bubble3D val="0"/>
            <c:spPr>
              <a:solidFill>
                <a:srgbClr val="6ABBDB"/>
              </a:solidFill>
              <a:ln w="19050">
                <a:solidFill>
                  <a:schemeClr val="lt1"/>
                </a:solidFill>
              </a:ln>
              <a:effectLst/>
            </c:spPr>
            <c:extLst>
              <c:ext xmlns:c16="http://schemas.microsoft.com/office/drawing/2014/chart" uri="{C3380CC4-5D6E-409C-BE32-E72D297353CC}">
                <c16:uniqueId val="{0000000B-0C85-466C-A97D-F034941B1117}"/>
              </c:ext>
            </c:extLst>
          </c:dPt>
          <c:dPt>
            <c:idx val="6"/>
            <c:bubble3D val="0"/>
            <c:spPr>
              <a:solidFill>
                <a:srgbClr val="577483"/>
              </a:solidFill>
              <a:ln w="19050">
                <a:solidFill>
                  <a:schemeClr val="lt1"/>
                </a:solidFill>
              </a:ln>
              <a:effectLst/>
            </c:spPr>
            <c:extLst>
              <c:ext xmlns:c16="http://schemas.microsoft.com/office/drawing/2014/chart" uri="{C3380CC4-5D6E-409C-BE32-E72D297353CC}">
                <c16:uniqueId val="{0000000D-0C85-466C-A97D-F034941B1117}"/>
              </c:ext>
            </c:extLst>
          </c:dPt>
          <c:dPt>
            <c:idx val="7"/>
            <c:bubble3D val="0"/>
            <c:spPr>
              <a:solidFill>
                <a:srgbClr val="B7B7B7"/>
              </a:solidFill>
              <a:ln w="19050">
                <a:solidFill>
                  <a:schemeClr val="lt1"/>
                </a:solidFill>
              </a:ln>
              <a:effectLst/>
            </c:spPr>
            <c:extLst>
              <c:ext xmlns:c16="http://schemas.microsoft.com/office/drawing/2014/chart" uri="{C3380CC4-5D6E-409C-BE32-E72D297353CC}">
                <c16:uniqueId val="{0000000F-0C85-466C-A97D-F034941B1117}"/>
              </c:ext>
            </c:extLst>
          </c:dPt>
          <c:dLbls>
            <c:dLbl>
              <c:idx val="0"/>
              <c:layout>
                <c:manualLayout>
                  <c:x val="0.15239321518902799"/>
                  <c:y val="-0.122613820679329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85-466C-A97D-F034941B1117}"/>
                </c:ext>
              </c:extLst>
            </c:dLbl>
            <c:dLbl>
              <c:idx val="1"/>
              <c:layout>
                <c:manualLayout>
                  <c:x val="0.18220927903035999"/>
                  <c:y val="-0.1084660721394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85-466C-A97D-F034941B1117}"/>
                </c:ext>
              </c:extLst>
            </c:dLbl>
            <c:dLbl>
              <c:idx val="2"/>
              <c:layout>
                <c:manualLayout>
                  <c:x val="0.23852851073065301"/>
                  <c:y val="4.2443245619767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85-466C-A97D-F034941B1117}"/>
                </c:ext>
              </c:extLst>
            </c:dLbl>
            <c:dLbl>
              <c:idx val="3"/>
              <c:layout>
                <c:manualLayout>
                  <c:x val="0.23190271876591201"/>
                  <c:y val="6.36648684296518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85-466C-A97D-F034941B1117}"/>
                </c:ext>
              </c:extLst>
            </c:dLbl>
            <c:dLbl>
              <c:idx val="4"/>
              <c:layout>
                <c:manualLayout>
                  <c:x val="0.16233190313613899"/>
                  <c:y val="9.1960365509497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85-466C-A97D-F034941B1117}"/>
                </c:ext>
              </c:extLst>
            </c:dLbl>
            <c:dLbl>
              <c:idx val="5"/>
              <c:layout>
                <c:manualLayout>
                  <c:x val="-0.19214796697747"/>
                  <c:y val="8.4886491239535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85-466C-A97D-F034941B1117}"/>
                </c:ext>
              </c:extLst>
            </c:dLbl>
            <c:dLbl>
              <c:idx val="6"/>
              <c:layout>
                <c:manualLayout>
                  <c:x val="-0.215338238854061"/>
                  <c:y val="-6.1306910339664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85-466C-A97D-F034941B1117}"/>
                </c:ext>
              </c:extLst>
            </c:dLbl>
            <c:dLbl>
              <c:idx val="7"/>
              <c:layout>
                <c:manualLayout>
                  <c:x val="-0.15901900715376799"/>
                  <c:y val="-0.1084660721394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85-466C-A97D-F034941B111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'Loan Sizing'!$B$155:$B$162</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Sizing'!$H$155:$H$162</c:f>
              <c:numCache>
                <c:formatCode>#,##0_);\(#,##0\)</c:formatCode>
                <c:ptCount val="8"/>
                <c:pt idx="0">
                  <c:v>6.9599999999999992E-3</c:v>
                </c:pt>
                <c:pt idx="1">
                  <c:v>477840</c:v>
                </c:pt>
                <c:pt idx="2">
                  <c:v>1.1999999999999999E-6</c:v>
                </c:pt>
                <c:pt idx="3">
                  <c:v>5.4000000000000001E-4</c:v>
                </c:pt>
                <c:pt idx="4">
                  <c:v>1.2E-5</c:v>
                </c:pt>
                <c:pt idx="5">
                  <c:v>854462.40000120003</c:v>
                </c:pt>
                <c:pt idx="6">
                  <c:v>1.2E-4</c:v>
                </c:pt>
                <c:pt idx="7">
                  <c:v>507993.59999999998</c:v>
                </c:pt>
              </c:numCache>
            </c:numRef>
          </c:val>
          <c:extLst>
            <c:ext xmlns:c16="http://schemas.microsoft.com/office/drawing/2014/chart" uri="{C3380CC4-5D6E-409C-BE32-E72D297353CC}">
              <c16:uniqueId val="{00000010-0C85-466C-A97D-F034941B1117}"/>
            </c:ext>
          </c:extLst>
        </c:ser>
        <c:dLbls>
          <c:showLegendKey val="0"/>
          <c:showVal val="0"/>
          <c:showCatName val="0"/>
          <c:showSerName val="0"/>
          <c:showPercent val="0"/>
          <c:showBubbleSize val="0"/>
          <c:showLeaderLines val="1"/>
        </c:dLbls>
        <c:firstSliceAng val="0"/>
        <c:holeSize val="38"/>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ontserrat" panose="00000500000000000000" pitchFamily="50" charset="0"/>
              <a:ea typeface="+mn-ea"/>
              <a:cs typeface="Arial" panose="020B0604020202020204" pitchFamily="34" charset="0"/>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zh-CN"/>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'Loan Sizing'!$B$178</c:f>
              <c:strCache>
                <c:ptCount val="1"/>
                <c:pt idx="0">
                  <c:v>Levered IRR with Opportunity Zone</c:v>
                </c:pt>
              </c:strCache>
            </c:strRef>
          </c:tx>
          <c:spPr>
            <a:solidFill>
              <a:srgbClr val="871531">
                <a:alpha val="5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'Loan Sizing'!$E$178</c:f>
              <c:numCache>
                <c:formatCode>0.0%</c:formatCode>
                <c:ptCount val="1"/>
                <c:pt idx="0">
                  <c:v>0.36994413526401992</c:v>
                </c:pt>
              </c:numCache>
            </c:numRef>
          </c:val>
          <c:extLst>
            <c:ext xmlns:c16="http://schemas.microsoft.com/office/drawing/2014/chart" uri="{C3380CC4-5D6E-409C-BE32-E72D297353CC}">
              <c16:uniqueId val="{00000000-8EF5-462F-B37F-C2A83422657D}"/>
            </c:ext>
          </c:extLst>
        </c:ser>
        <c:ser>
          <c:idx val="1"/>
          <c:order val="1"/>
          <c:tx>
            <c:strRef>
              <c:f>'Loan Sizing'!$B$177</c:f>
              <c:strCache>
                <c:ptCount val="1"/>
                <c:pt idx="0">
                  <c:v>Levered IRR without Opportunity Zone</c:v>
                </c:pt>
              </c:strCache>
            </c:strRef>
          </c:tx>
          <c:spPr>
            <a:solidFill>
              <a:srgbClr val="871531">
                <a:alpha val="7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'Loan Sizing'!$E$177</c:f>
              <c:numCache>
                <c:formatCode>0.0%</c:formatCode>
                <c:ptCount val="1"/>
                <c:pt idx="0">
                  <c:v>0.31217669917177293</c:v>
                </c:pt>
              </c:numCache>
            </c:numRef>
          </c:val>
          <c:extLst>
            <c:ext xmlns:c16="http://schemas.microsoft.com/office/drawing/2014/chart" uri="{C3380CC4-5D6E-409C-BE32-E72D297353CC}">
              <c16:uniqueId val="{00000001-8EF5-462F-B37F-C2A83422657D}"/>
            </c:ext>
          </c:extLst>
        </c:ser>
        <c:ser>
          <c:idx val="2"/>
          <c:order val="2"/>
          <c:tx>
            <c:strRef>
              <c:f>'Loan Sizing'!$B$176</c:f>
              <c:strCache>
                <c:ptCount val="1"/>
                <c:pt idx="0">
                  <c:v>Unlevered IRR</c:v>
                </c:pt>
              </c:strCache>
            </c:strRef>
          </c:tx>
          <c:spPr>
            <a:solidFill>
              <a:srgbClr val="87153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'Loan Sizing'!$E$176</c:f>
              <c:numCache>
                <c:formatCode>0.0%</c:formatCode>
                <c:ptCount val="1"/>
                <c:pt idx="0">
                  <c:v>0.18557150677640988</c:v>
                </c:pt>
              </c:numCache>
            </c:numRef>
          </c:val>
          <c:extLst>
            <c:ext xmlns:c16="http://schemas.microsoft.com/office/drawing/2014/chart" uri="{C3380CC4-5D6E-409C-BE32-E72D297353CC}">
              <c16:uniqueId val="{00000002-8EF5-462F-B37F-C2A83422657D}"/>
            </c:ext>
          </c:extLst>
        </c:ser>
        <c:dLbls>
          <c:showLegendKey val="0"/>
          <c:showVal val="0"/>
          <c:showCatName val="0"/>
          <c:showSerName val="0"/>
          <c:showPercent val="0"/>
          <c:showBubbleSize val="0"/>
        </c:dLbls>
        <c:gapWidth val="182"/>
        <c:axId val="-1582867920"/>
        <c:axId val="-1582835344"/>
      </c:barChart>
      <c:catAx>
        <c:axId val="-1582867920"/>
        <c:scaling>
          <c:orientation val="minMax"/>
        </c:scaling>
        <c:delete val="1"/>
        <c:axPos val="l"/>
        <c:majorTickMark val="none"/>
        <c:minorTickMark val="none"/>
        <c:tickLblPos val="nextTo"/>
        <c:crossAx val="-1582835344"/>
        <c:crosses val="autoZero"/>
        <c:auto val="1"/>
        <c:lblAlgn val="ctr"/>
        <c:lblOffset val="100"/>
        <c:noMultiLvlLbl val="0"/>
      </c:catAx>
      <c:valAx>
        <c:axId val="-1582835344"/>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crossAx val="-1582867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0"/>
        <a:lstStyle/>
        <a:p>
          <a:pPr>
            <a:defRPr sz="100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zh-CN"/>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ontserrat" panose="00000500000000000000" pitchFamily="50" charset="0"/>
                <a:ea typeface="+mn-ea"/>
                <a:cs typeface="Arial" panose="020B0604020202020204" pitchFamily="34" charset="0"/>
              </a:defRPr>
            </a:pPr>
            <a:r>
              <a:rPr lang="en-US" b="1">
                <a:latin typeface="Montserrat" panose="00000500000000000000" pitchFamily="50" charset="0"/>
              </a:rPr>
              <a:t>Public Benefits by NPV </a:t>
            </a:r>
          </a:p>
          <a:p>
            <a:pPr>
              <a:defRPr b="1">
                <a:latin typeface="Montserrat" panose="00000500000000000000" pitchFamily="50" charset="0"/>
              </a:defRPr>
            </a:pPr>
            <a:r>
              <a:rPr lang="en-US" b="1">
                <a:latin typeface="Montserrat" panose="00000500000000000000" pitchFamily="50" charset="0"/>
              </a:rPr>
              <a:t>of Cost / Foregone Revenue</a:t>
            </a:r>
          </a:p>
        </c:rich>
      </c:tx>
      <c:layout>
        <c:manualLayout>
          <c:xMode val="edge"/>
          <c:yMode val="edge"/>
          <c:x val="0.61623360063472299"/>
          <c:y val="7.187070540516550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title>
    <c:autoTitleDeleted val="0"/>
    <c:plotArea>
      <c:layout>
        <c:manualLayout>
          <c:layoutTarget val="inner"/>
          <c:xMode val="edge"/>
          <c:yMode val="edge"/>
          <c:x val="0.15373635211314901"/>
          <c:y val="0.21580659160736401"/>
          <c:w val="0.326480678874635"/>
          <c:h val="0.67980913385904496"/>
        </c:manualLayout>
      </c:layout>
      <c:doughnutChart>
        <c:varyColors val="1"/>
        <c:ser>
          <c:idx val="0"/>
          <c:order val="0"/>
          <c:dPt>
            <c:idx val="0"/>
            <c:bubble3D val="0"/>
            <c:spPr>
              <a:solidFill>
                <a:srgbClr val="D15A5A"/>
              </a:solidFill>
              <a:ln w="19050">
                <a:solidFill>
                  <a:schemeClr val="lt1"/>
                </a:solidFill>
              </a:ln>
              <a:effectLst/>
            </c:spPr>
            <c:extLst>
              <c:ext xmlns:c16="http://schemas.microsoft.com/office/drawing/2014/chart" uri="{C3380CC4-5D6E-409C-BE32-E72D297353CC}">
                <c16:uniqueId val="{00000001-E12F-4E78-A754-18E561B07F1D}"/>
              </c:ext>
            </c:extLst>
          </c:dPt>
          <c:dPt>
            <c:idx val="1"/>
            <c:bubble3D val="0"/>
            <c:spPr>
              <a:solidFill>
                <a:srgbClr val="871531"/>
              </a:solidFill>
              <a:ln w="19050">
                <a:solidFill>
                  <a:schemeClr val="lt1"/>
                </a:solidFill>
              </a:ln>
              <a:effectLst/>
            </c:spPr>
            <c:extLst>
              <c:ext xmlns:c16="http://schemas.microsoft.com/office/drawing/2014/chart" uri="{C3380CC4-5D6E-409C-BE32-E72D297353CC}">
                <c16:uniqueId val="{00000003-E12F-4E78-A754-18E561B07F1D}"/>
              </c:ext>
            </c:extLst>
          </c:dPt>
          <c:dPt>
            <c:idx val="2"/>
            <c:bubble3D val="0"/>
            <c:spPr>
              <a:solidFill>
                <a:srgbClr val="6ABBDB"/>
              </a:solidFill>
              <a:ln w="19050">
                <a:solidFill>
                  <a:schemeClr val="lt1"/>
                </a:solidFill>
              </a:ln>
              <a:effectLst/>
            </c:spPr>
            <c:extLst>
              <c:ext xmlns:c16="http://schemas.microsoft.com/office/drawing/2014/chart" uri="{C3380CC4-5D6E-409C-BE32-E72D297353CC}">
                <c16:uniqueId val="{00000005-E12F-4E78-A754-18E561B07F1D}"/>
              </c:ext>
            </c:extLst>
          </c:dPt>
          <c:dPt>
            <c:idx val="3"/>
            <c:bubble3D val="0"/>
            <c:spPr>
              <a:solidFill>
                <a:srgbClr val="B7B7B7"/>
              </a:solidFill>
              <a:ln w="19050">
                <a:solidFill>
                  <a:schemeClr val="lt1"/>
                </a:solidFill>
              </a:ln>
              <a:effectLst/>
            </c:spPr>
            <c:extLst>
              <c:ext xmlns:c16="http://schemas.microsoft.com/office/drawing/2014/chart" uri="{C3380CC4-5D6E-409C-BE32-E72D297353CC}">
                <c16:uniqueId val="{00000007-E12F-4E78-A754-18E561B07F1D}"/>
              </c:ext>
            </c:extLst>
          </c:dPt>
          <c:dPt>
            <c:idx val="4"/>
            <c:bubble3D val="0"/>
            <c:spPr>
              <a:solidFill>
                <a:srgbClr val="A89F55"/>
              </a:solidFill>
              <a:ln w="19050">
                <a:solidFill>
                  <a:schemeClr val="lt1"/>
                </a:solidFill>
              </a:ln>
              <a:effectLst/>
            </c:spPr>
            <c:extLst>
              <c:ext xmlns:c16="http://schemas.microsoft.com/office/drawing/2014/chart" uri="{C3380CC4-5D6E-409C-BE32-E72D297353CC}">
                <c16:uniqueId val="{00000009-E12F-4E78-A754-18E561B07F1D}"/>
              </c:ext>
            </c:extLst>
          </c:dPt>
          <c:dPt>
            <c:idx val="5"/>
            <c:bubble3D val="0"/>
            <c:spPr>
              <a:solidFill>
                <a:srgbClr val="E1BE1D"/>
              </a:solidFill>
              <a:ln w="19050">
                <a:solidFill>
                  <a:schemeClr val="lt1"/>
                </a:solidFill>
              </a:ln>
              <a:effectLst/>
            </c:spPr>
            <c:extLst>
              <c:ext xmlns:c16="http://schemas.microsoft.com/office/drawing/2014/chart" uri="{C3380CC4-5D6E-409C-BE32-E72D297353CC}">
                <c16:uniqueId val="{0000000B-E12F-4E78-A754-18E561B07F1D}"/>
              </c:ext>
            </c:extLst>
          </c:dPt>
          <c:dLbls>
            <c:dLbl>
              <c:idx val="0"/>
              <c:layout>
                <c:manualLayout>
                  <c:x val="0.103396726801571"/>
                  <c:y val="-0.17223693489764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2F-4E78-A754-18E561B07F1D}"/>
                </c:ext>
              </c:extLst>
            </c:dLbl>
            <c:dLbl>
              <c:idx val="1"/>
              <c:layout>
                <c:manualLayout>
                  <c:x val="0.11655631021267999"/>
                  <c:y val="-0.219210644415184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2F-4E78-A754-18E561B07F1D}"/>
                </c:ext>
              </c:extLst>
            </c:dLbl>
            <c:dLbl>
              <c:idx val="2"/>
              <c:layout>
                <c:manualLayout>
                  <c:x val="0.12971589362378899"/>
                  <c:y val="0.156579031725130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2F-4E78-A754-18E561B07F1D}"/>
                </c:ext>
              </c:extLst>
            </c:dLbl>
            <c:dLbl>
              <c:idx val="3"/>
              <c:layout>
                <c:manualLayout>
                  <c:x val="8.45973219285584E-2"/>
                  <c:y val="0.1996382654495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2F-4E78-A754-18E561B07F1D}"/>
                </c:ext>
              </c:extLst>
            </c:dLbl>
            <c:dLbl>
              <c:idx val="4"/>
              <c:layout>
                <c:manualLayout>
                  <c:x val="-8.8357202903161E-2"/>
                  <c:y val="0.191809313863286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2F-4E78-A754-18E561B07F1D}"/>
                </c:ext>
              </c:extLst>
            </c:dLbl>
            <c:dLbl>
              <c:idx val="5"/>
              <c:layout>
                <c:manualLayout>
                  <c:x val="-0.110916488750777"/>
                  <c:y val="-0.17615141069077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12F-4E78-A754-18E561B07F1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'Parcel Breakdown'!$B$33:$B$38</c:f>
              <c:strCache>
                <c:ptCount val="6"/>
                <c:pt idx="0">
                  <c:v>Sports Museum / Gallery &amp; Museum Rec Center</c:v>
                </c:pt>
                <c:pt idx="1">
                  <c:v>STEM Charter School</c:v>
                </c:pt>
                <c:pt idx="2">
                  <c:v>Test Kitchen</c:v>
                </c:pt>
                <c:pt idx="3">
                  <c:v>New Transit Station</c:v>
                </c:pt>
                <c:pt idx="4">
                  <c:v>Public Park Space</c:v>
                </c:pt>
                <c:pt idx="5">
                  <c:v>Affordable Housing</c:v>
                </c:pt>
              </c:strCache>
            </c:strRef>
          </c:cat>
          <c:val>
            <c:numRef>
              <c:f>'Parcel Breakdown'!$G$33:$G$38</c:f>
              <c:numCache>
                <c:formatCode>"$"#,##0_);\("$"#,##0\)</c:formatCode>
                <c:ptCount val="6"/>
                <c:pt idx="0">
                  <c:v>0</c:v>
                </c:pt>
                <c:pt idx="1">
                  <c:v>30233063.214641966</c:v>
                </c:pt>
                <c:pt idx="2">
                  <c:v>0</c:v>
                </c:pt>
                <c:pt idx="3">
                  <c:v>0</c:v>
                </c:pt>
                <c:pt idx="4">
                  <c:v>15398186.713020956</c:v>
                </c:pt>
                <c:pt idx="5">
                  <c:v>14626574.890403992</c:v>
                </c:pt>
              </c:numCache>
            </c:numRef>
          </c:val>
          <c:extLst>
            <c:ext xmlns:c16="http://schemas.microsoft.com/office/drawing/2014/chart" uri="{C3380CC4-5D6E-409C-BE32-E72D297353CC}">
              <c16:uniqueId val="{0000000C-E12F-4E78-A754-18E561B07F1D}"/>
            </c:ext>
          </c:extLst>
        </c:ser>
        <c:dLbls>
          <c:showLegendKey val="0"/>
          <c:showVal val="0"/>
          <c:showCatName val="0"/>
          <c:showSerName val="0"/>
          <c:showPercent val="0"/>
          <c:showBubbleSize val="0"/>
          <c:showLeaderLines val="1"/>
        </c:dLbls>
        <c:firstSliceAng val="0"/>
        <c:holeSize val="38"/>
      </c:doughnutChart>
      <c:spPr>
        <a:noFill/>
        <a:ln>
          <a:noFill/>
        </a:ln>
        <a:effectLst/>
      </c:spPr>
    </c:plotArea>
    <c:legend>
      <c:legendPos val="b"/>
      <c:layout>
        <c:manualLayout>
          <c:xMode val="edge"/>
          <c:yMode val="edge"/>
          <c:x val="0.66257051812195999"/>
          <c:y val="0.32094879495790901"/>
          <c:w val="0.33742948187804001"/>
          <c:h val="0.6789889433011300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zh-CN"/>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'Loan Sizing'!$E$78</c:f>
              <c:strCache>
                <c:ptCount val="1"/>
                <c:pt idx="0">
                  <c:v>Yield-to-Cost</c:v>
                </c:pt>
              </c:strCache>
            </c:strRef>
          </c:tx>
          <c:spPr>
            <a:solidFill>
              <a:srgbClr val="871531">
                <a:alpha val="50000"/>
              </a:srgbClr>
            </a:solidFill>
            <a:ln>
              <a:noFill/>
            </a:ln>
            <a:effectLst/>
          </c:spPr>
          <c:invertIfNegative val="0"/>
          <c:cat>
            <c:strRef>
              <c:f>'Loan Sizing'!$B$79:$B$86</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Sizing'!$E$79:$E$86</c:f>
              <c:numCache>
                <c:formatCode>0.0%</c:formatCode>
                <c:ptCount val="8"/>
                <c:pt idx="0">
                  <c:v>5.384708126173901E-2</c:v>
                </c:pt>
                <c:pt idx="1">
                  <c:v>6.6247806836704018E-2</c:v>
                </c:pt>
                <c:pt idx="2">
                  <c:v>0.13799090927935395</c:v>
                </c:pt>
                <c:pt idx="3">
                  <c:v>8.4738948461823962E-2</c:v>
                </c:pt>
                <c:pt idx="4">
                  <c:v>6.4985339463365627E-2</c:v>
                </c:pt>
                <c:pt idx="5">
                  <c:v>0.10975659331449772</c:v>
                </c:pt>
                <c:pt idx="6">
                  <c:v>6.9883376006220368E-2</c:v>
                </c:pt>
                <c:pt idx="7">
                  <c:v>9.43107668177765E-3</c:v>
                </c:pt>
              </c:numCache>
            </c:numRef>
          </c:val>
          <c:extLst>
            <c:ext xmlns:c16="http://schemas.microsoft.com/office/drawing/2014/chart" uri="{C3380CC4-5D6E-409C-BE32-E72D297353CC}">
              <c16:uniqueId val="{00000000-FD40-494B-B848-2F3B452C4600}"/>
            </c:ext>
          </c:extLst>
        </c:ser>
        <c:ser>
          <c:idx val="3"/>
          <c:order val="1"/>
          <c:tx>
            <c:strRef>
              <c:f>'Loan Sizing'!$F$78</c:f>
              <c:strCache>
                <c:ptCount val="1"/>
                <c:pt idx="0">
                  <c:v>Yield-to-Cost after Subsidies</c:v>
                </c:pt>
              </c:strCache>
            </c:strRef>
          </c:tx>
          <c:spPr>
            <a:solidFill>
              <a:srgbClr val="871531">
                <a:alpha val="75000"/>
              </a:srgbClr>
            </a:solidFill>
            <a:ln>
              <a:noFill/>
            </a:ln>
            <a:effectLst/>
          </c:spPr>
          <c:invertIfNegative val="0"/>
          <c:cat>
            <c:strRef>
              <c:f>'Loan Sizing'!$B$79:$B$86</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Sizing'!$F$79:$F$86</c:f>
              <c:numCache>
                <c:formatCode>0.0%</c:formatCode>
                <c:ptCount val="8"/>
                <c:pt idx="0">
                  <c:v>0.26102924874367223</c:v>
                </c:pt>
                <c:pt idx="1">
                  <c:v>8.1667684808746144E-2</c:v>
                </c:pt>
                <c:pt idx="2">
                  <c:v>0.16120089268423851</c:v>
                </c:pt>
                <c:pt idx="3">
                  <c:v>9.8991985838109822E-2</c:v>
                </c:pt>
                <c:pt idx="4">
                  <c:v>7.6482284944229012E-2</c:v>
                </c:pt>
                <c:pt idx="5">
                  <c:v>0.12821758268481201</c:v>
                </c:pt>
                <c:pt idx="6">
                  <c:v>8.1637715519253515E-2</c:v>
                </c:pt>
                <c:pt idx="7">
                  <c:v>1.1017377796955559E-2</c:v>
                </c:pt>
              </c:numCache>
            </c:numRef>
          </c:val>
          <c:extLst>
            <c:ext xmlns:c16="http://schemas.microsoft.com/office/drawing/2014/chart" uri="{C3380CC4-5D6E-409C-BE32-E72D297353CC}">
              <c16:uniqueId val="{00000001-FD40-494B-B848-2F3B452C4600}"/>
            </c:ext>
          </c:extLst>
        </c:ser>
        <c:ser>
          <c:idx val="4"/>
          <c:order val="2"/>
          <c:tx>
            <c:strRef>
              <c:f>'Loan Sizing'!$G$78</c:f>
              <c:strCache>
                <c:ptCount val="1"/>
                <c:pt idx="0">
                  <c:v>Exit Cap Rate</c:v>
                </c:pt>
              </c:strCache>
            </c:strRef>
          </c:tx>
          <c:spPr>
            <a:solidFill>
              <a:srgbClr val="871531"/>
            </a:solidFill>
            <a:ln>
              <a:noFill/>
            </a:ln>
            <a:effectLst/>
          </c:spPr>
          <c:invertIfNegative val="0"/>
          <c:cat>
            <c:strRef>
              <c:f>'Loan Sizing'!$B$79:$B$86</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Sizing'!$G$79:$G$86</c:f>
              <c:numCache>
                <c:formatCode>0.0%</c:formatCode>
                <c:ptCount val="8"/>
                <c:pt idx="0">
                  <c:v>7.4999999999999997E-2</c:v>
                </c:pt>
                <c:pt idx="1">
                  <c:v>6.5000000000000002E-2</c:v>
                </c:pt>
                <c:pt idx="2">
                  <c:v>0.06</c:v>
                </c:pt>
                <c:pt idx="3">
                  <c:v>0.08</c:v>
                </c:pt>
                <c:pt idx="4">
                  <c:v>0.09</c:v>
                </c:pt>
                <c:pt idx="5">
                  <c:v>6.5000000000000002E-2</c:v>
                </c:pt>
                <c:pt idx="6">
                  <c:v>0.08</c:v>
                </c:pt>
                <c:pt idx="7">
                  <c:v>7.0000000000000007E-2</c:v>
                </c:pt>
              </c:numCache>
            </c:numRef>
          </c:val>
          <c:extLst>
            <c:ext xmlns:c16="http://schemas.microsoft.com/office/drawing/2014/chart" uri="{C3380CC4-5D6E-409C-BE32-E72D297353CC}">
              <c16:uniqueId val="{00000002-FD40-494B-B848-2F3B452C4600}"/>
            </c:ext>
          </c:extLst>
        </c:ser>
        <c:dLbls>
          <c:showLegendKey val="0"/>
          <c:showVal val="0"/>
          <c:showCatName val="0"/>
          <c:showSerName val="0"/>
          <c:showPercent val="0"/>
          <c:showBubbleSize val="0"/>
        </c:dLbls>
        <c:gapWidth val="219"/>
        <c:overlap val="-27"/>
        <c:axId val="-1546545328"/>
        <c:axId val="-1546543008"/>
      </c:barChart>
      <c:catAx>
        <c:axId val="-15465453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crossAx val="-1546543008"/>
        <c:crosses val="autoZero"/>
        <c:auto val="1"/>
        <c:lblAlgn val="ctr"/>
        <c:lblOffset val="100"/>
        <c:noMultiLvlLbl val="0"/>
      </c:catAx>
      <c:valAx>
        <c:axId val="-154654300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crossAx val="-1546545328"/>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zh-CN"/>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ontserrat" panose="00000500000000000000" pitchFamily="50" charset="0"/>
                <a:ea typeface="+mn-ea"/>
                <a:cs typeface="Arial" panose="020B0604020202020204" pitchFamily="34" charset="0"/>
              </a:defRPr>
            </a:pPr>
            <a:r>
              <a:rPr lang="en-US" b="1">
                <a:solidFill>
                  <a:sysClr val="windowText" lastClr="000000"/>
                </a:solidFill>
                <a:latin typeface="Montserrat" panose="00000500000000000000" pitchFamily="50" charset="0"/>
                <a:cs typeface="Arial" panose="020B0604020202020204" pitchFamily="34" charset="0"/>
              </a:rPr>
              <a:t>Project Breakdown by Gross SF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ontserrat" panose="00000500000000000000" pitchFamily="50" charset="0"/>
              <a:ea typeface="+mn-ea"/>
              <a:cs typeface="Arial" panose="020B0604020202020204" pitchFamily="34" charset="0"/>
            </a:defRPr>
          </a:pPr>
          <a:endParaRPr lang="zh-CN"/>
        </a:p>
      </c:txPr>
    </c:title>
    <c:autoTitleDeleted val="0"/>
    <c:plotArea>
      <c:layout>
        <c:manualLayout>
          <c:layoutTarget val="inner"/>
          <c:xMode val="edge"/>
          <c:yMode val="edge"/>
          <c:x val="0.25442754200856499"/>
          <c:y val="0.19598868551238699"/>
          <c:w val="0.49114517684082198"/>
          <c:h val="0.34957329305618301"/>
        </c:manualLayout>
      </c:layout>
      <c:doughnutChart>
        <c:varyColors val="1"/>
        <c:ser>
          <c:idx val="0"/>
          <c:order val="0"/>
          <c:dPt>
            <c:idx val="0"/>
            <c:bubble3D val="0"/>
            <c:spPr>
              <a:solidFill>
                <a:srgbClr val="E1BE1D">
                  <a:alpha val="70000"/>
                </a:srgbClr>
              </a:solidFill>
              <a:ln w="19050">
                <a:solidFill>
                  <a:schemeClr val="lt1"/>
                </a:solidFill>
              </a:ln>
              <a:effectLst/>
            </c:spPr>
            <c:extLst>
              <c:ext xmlns:c16="http://schemas.microsoft.com/office/drawing/2014/chart" uri="{C3380CC4-5D6E-409C-BE32-E72D297353CC}">
                <c16:uniqueId val="{00000001-54CD-4E08-B981-BF20889CBC0E}"/>
              </c:ext>
            </c:extLst>
          </c:dPt>
          <c:dPt>
            <c:idx val="1"/>
            <c:bubble3D val="0"/>
            <c:spPr>
              <a:solidFill>
                <a:srgbClr val="E1BE1D"/>
              </a:solidFill>
              <a:ln w="19050">
                <a:solidFill>
                  <a:schemeClr val="lt1"/>
                </a:solidFill>
              </a:ln>
              <a:effectLst/>
            </c:spPr>
            <c:extLst>
              <c:ext xmlns:c16="http://schemas.microsoft.com/office/drawing/2014/chart" uri="{C3380CC4-5D6E-409C-BE32-E72D297353CC}">
                <c16:uniqueId val="{00000003-54CD-4E08-B981-BF20889CBC0E}"/>
              </c:ext>
            </c:extLst>
          </c:dPt>
          <c:dPt>
            <c:idx val="2"/>
            <c:bubble3D val="0"/>
            <c:spPr>
              <a:solidFill>
                <a:srgbClr val="B2325A"/>
              </a:solidFill>
              <a:ln w="19050">
                <a:solidFill>
                  <a:schemeClr val="lt1"/>
                </a:solidFill>
              </a:ln>
              <a:effectLst/>
            </c:spPr>
            <c:extLst>
              <c:ext xmlns:c16="http://schemas.microsoft.com/office/drawing/2014/chart" uri="{C3380CC4-5D6E-409C-BE32-E72D297353CC}">
                <c16:uniqueId val="{00000005-54CD-4E08-B981-BF20889CBC0E}"/>
              </c:ext>
            </c:extLst>
          </c:dPt>
          <c:dPt>
            <c:idx val="3"/>
            <c:bubble3D val="0"/>
            <c:spPr>
              <a:solidFill>
                <a:srgbClr val="A17A94"/>
              </a:solidFill>
              <a:ln w="19050">
                <a:solidFill>
                  <a:schemeClr val="lt1"/>
                </a:solidFill>
              </a:ln>
              <a:effectLst/>
            </c:spPr>
            <c:extLst>
              <c:ext xmlns:c16="http://schemas.microsoft.com/office/drawing/2014/chart" uri="{C3380CC4-5D6E-409C-BE32-E72D297353CC}">
                <c16:uniqueId val="{00000007-54CD-4E08-B981-BF20889CBC0E}"/>
              </c:ext>
            </c:extLst>
          </c:dPt>
          <c:dPt>
            <c:idx val="4"/>
            <c:bubble3D val="0"/>
            <c:spPr>
              <a:solidFill>
                <a:srgbClr val="D15A5A"/>
              </a:solidFill>
              <a:ln w="19050">
                <a:solidFill>
                  <a:schemeClr val="lt1"/>
                </a:solidFill>
              </a:ln>
              <a:effectLst/>
            </c:spPr>
            <c:extLst>
              <c:ext xmlns:c16="http://schemas.microsoft.com/office/drawing/2014/chart" uri="{C3380CC4-5D6E-409C-BE32-E72D297353CC}">
                <c16:uniqueId val="{00000009-54CD-4E08-B981-BF20889CBC0E}"/>
              </c:ext>
            </c:extLst>
          </c:dPt>
          <c:dPt>
            <c:idx val="5"/>
            <c:bubble3D val="0"/>
            <c:spPr>
              <a:solidFill>
                <a:srgbClr val="6ABBDB"/>
              </a:solidFill>
              <a:ln w="19050">
                <a:solidFill>
                  <a:schemeClr val="lt1"/>
                </a:solidFill>
              </a:ln>
              <a:effectLst/>
            </c:spPr>
            <c:extLst>
              <c:ext xmlns:c16="http://schemas.microsoft.com/office/drawing/2014/chart" uri="{C3380CC4-5D6E-409C-BE32-E72D297353CC}">
                <c16:uniqueId val="{0000000B-54CD-4E08-B981-BF20889CBC0E}"/>
              </c:ext>
            </c:extLst>
          </c:dPt>
          <c:dPt>
            <c:idx val="6"/>
            <c:bubble3D val="0"/>
            <c:spPr>
              <a:solidFill>
                <a:srgbClr val="577483"/>
              </a:solidFill>
              <a:ln w="19050">
                <a:solidFill>
                  <a:schemeClr val="lt1"/>
                </a:solidFill>
              </a:ln>
              <a:effectLst/>
            </c:spPr>
            <c:extLst>
              <c:ext xmlns:c16="http://schemas.microsoft.com/office/drawing/2014/chart" uri="{C3380CC4-5D6E-409C-BE32-E72D297353CC}">
                <c16:uniqueId val="{0000000D-54CD-4E08-B981-BF20889CBC0E}"/>
              </c:ext>
            </c:extLst>
          </c:dPt>
          <c:dPt>
            <c:idx val="7"/>
            <c:bubble3D val="0"/>
            <c:spPr>
              <a:solidFill>
                <a:srgbClr val="B7B7B7"/>
              </a:solidFill>
              <a:ln w="19050">
                <a:solidFill>
                  <a:schemeClr val="lt1"/>
                </a:solidFill>
              </a:ln>
              <a:effectLst/>
            </c:spPr>
            <c:extLst>
              <c:ext xmlns:c16="http://schemas.microsoft.com/office/drawing/2014/chart" uri="{C3380CC4-5D6E-409C-BE32-E72D297353CC}">
                <c16:uniqueId val="{0000000F-54CD-4E08-B981-BF20889CBC0E}"/>
              </c:ext>
            </c:extLst>
          </c:dPt>
          <c:dLbls>
            <c:dLbl>
              <c:idx val="0"/>
              <c:layout>
                <c:manualLayout>
                  <c:x val="0.15239321518902799"/>
                  <c:y val="-0.113182009333431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CD-4E08-B981-BF20889CBC0E}"/>
                </c:ext>
              </c:extLst>
            </c:dLbl>
            <c:dLbl>
              <c:idx val="1"/>
              <c:layout>
                <c:manualLayout>
                  <c:x val="0.200430206933396"/>
                  <c:y val="-6.4843859513944904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extLst>
                <c:ext xmlns:c15="http://schemas.microsoft.com/office/drawing/2012/chart" uri="{CE6537A1-D6FC-4f65-9D91-7224C49458BB}">
                  <c15:layout>
                    <c:manualLayout>
                      <c:w val="0.20901060752773401"/>
                      <c:h val="8.2764344325071501E-2"/>
                    </c:manualLayout>
                  </c15:layout>
                </c:ext>
                <c:ext xmlns:c16="http://schemas.microsoft.com/office/drawing/2014/chart" uri="{C3380CC4-5D6E-409C-BE32-E72D297353CC}">
                  <c16:uniqueId val="{00000003-54CD-4E08-B981-BF20889CBC0E}"/>
                </c:ext>
              </c:extLst>
            </c:dLbl>
            <c:dLbl>
              <c:idx val="2"/>
              <c:layout>
                <c:manualLayout>
                  <c:x val="0.23852851073065301"/>
                  <c:y val="9.90342581667521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CD-4E08-B981-BF20889CBC0E}"/>
                </c:ext>
              </c:extLst>
            </c:dLbl>
            <c:dLbl>
              <c:idx val="3"/>
              <c:layout>
                <c:manualLayout>
                  <c:x val="2.9816063841331598E-2"/>
                  <c:y val="0.117897926388991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CD-4E08-B981-BF20889CBC0E}"/>
                </c:ext>
              </c:extLst>
            </c:dLbl>
            <c:dLbl>
              <c:idx val="4"/>
              <c:layout>
                <c:manualLayout>
                  <c:x val="-0.13914163125954701"/>
                  <c:y val="9.43183411111925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CD-4E08-B981-BF20889CBC0E}"/>
                </c:ext>
              </c:extLst>
            </c:dLbl>
            <c:dLbl>
              <c:idx val="5"/>
              <c:layout>
                <c:manualLayout>
                  <c:x val="-0.202086654924581"/>
                  <c:y val="-1.1789792638899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CD-4E08-B981-BF20889CBC0E}"/>
                </c:ext>
              </c:extLst>
            </c:dLbl>
            <c:dLbl>
              <c:idx val="6"/>
              <c:layout>
                <c:manualLayout>
                  <c:x val="-0.24515430269539301"/>
                  <c:y val="-8.25285484722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4CD-4E08-B981-BF20889CBC0E}"/>
                </c:ext>
              </c:extLst>
            </c:dLbl>
            <c:dLbl>
              <c:idx val="7"/>
              <c:layout>
                <c:manualLayout>
                  <c:x val="-0.13251583929480701"/>
                  <c:y val="-0.1155399678612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4CD-4E08-B981-BF20889CBC0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'Loan Sizing'!$B$79:$B$86</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Sizing'!$H$68:$H$75</c:f>
              <c:numCache>
                <c:formatCode>#,##0_);\(#,##0\)</c:formatCode>
                <c:ptCount val="8"/>
                <c:pt idx="0">
                  <c:v>637020.01392000006</c:v>
                </c:pt>
                <c:pt idx="1">
                  <c:v>770400.0111</c:v>
                </c:pt>
                <c:pt idx="2">
                  <c:v>473726.40000239998</c:v>
                </c:pt>
                <c:pt idx="3">
                  <c:v>6.4799999999999996E-3</c:v>
                </c:pt>
                <c:pt idx="4">
                  <c:v>383346.00002399995</c:v>
                </c:pt>
                <c:pt idx="5">
                  <c:v>1086703.2000024</c:v>
                </c:pt>
                <c:pt idx="6">
                  <c:v>168628.80012120001</c:v>
                </c:pt>
                <c:pt idx="7">
                  <c:v>801096.00035999995</c:v>
                </c:pt>
              </c:numCache>
            </c:numRef>
          </c:val>
          <c:extLst>
            <c:ext xmlns:c16="http://schemas.microsoft.com/office/drawing/2014/chart" uri="{C3380CC4-5D6E-409C-BE32-E72D297353CC}">
              <c16:uniqueId val="{00000000-C1B2-451F-BD40-270E827F6FBD}"/>
            </c:ext>
          </c:extLst>
        </c:ser>
        <c:dLbls>
          <c:showLegendKey val="0"/>
          <c:showVal val="0"/>
          <c:showCatName val="0"/>
          <c:showSerName val="0"/>
          <c:showPercent val="0"/>
          <c:showBubbleSize val="0"/>
          <c:showLeaderLines val="1"/>
        </c:dLbls>
        <c:firstSliceAng val="0"/>
        <c:holeSize val="38"/>
      </c:doughnutChart>
      <c:spPr>
        <a:noFill/>
        <a:ln>
          <a:noFill/>
        </a:ln>
        <a:effectLst/>
      </c:spPr>
    </c:plotArea>
    <c:legend>
      <c:legendPos val="b"/>
      <c:layout>
        <c:manualLayout>
          <c:xMode val="edge"/>
          <c:yMode val="edge"/>
          <c:x val="0.134185851899463"/>
          <c:y val="0.650593992033071"/>
          <c:w val="0.67530880364282897"/>
          <c:h val="0.31875254710579198"/>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ontserrat" panose="00000500000000000000" pitchFamily="50" charset="0"/>
              <a:ea typeface="+mn-ea"/>
              <a:cs typeface="Arial" panose="020B0604020202020204" pitchFamily="34" charset="0"/>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zh-CN"/>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'Loan Sizing'!$B$91</c:f>
              <c:strCache>
                <c:ptCount val="1"/>
                <c:pt idx="0">
                  <c:v>Levered IRR with Opportunity Zone</c:v>
                </c:pt>
              </c:strCache>
            </c:strRef>
          </c:tx>
          <c:spPr>
            <a:solidFill>
              <a:srgbClr val="871531">
                <a:alpha val="5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'Loan Sizing'!$E$91</c:f>
              <c:numCache>
                <c:formatCode>0.0%</c:formatCode>
                <c:ptCount val="1"/>
                <c:pt idx="0">
                  <c:v>0.39367920567822051</c:v>
                </c:pt>
              </c:numCache>
            </c:numRef>
          </c:val>
          <c:extLst>
            <c:ext xmlns:c16="http://schemas.microsoft.com/office/drawing/2014/chart" uri="{C3380CC4-5D6E-409C-BE32-E72D297353CC}">
              <c16:uniqueId val="{00000000-C9DD-4816-A7EF-60F6D419F023}"/>
            </c:ext>
          </c:extLst>
        </c:ser>
        <c:ser>
          <c:idx val="1"/>
          <c:order val="1"/>
          <c:tx>
            <c:strRef>
              <c:f>'Loan Sizing'!$B$90</c:f>
              <c:strCache>
                <c:ptCount val="1"/>
                <c:pt idx="0">
                  <c:v>Levered IRR without Opportunity Zone</c:v>
                </c:pt>
              </c:strCache>
            </c:strRef>
          </c:tx>
          <c:spPr>
            <a:solidFill>
              <a:srgbClr val="871531">
                <a:alpha val="7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'Loan Sizing'!$E$90</c:f>
              <c:numCache>
                <c:formatCode>0.0%</c:formatCode>
                <c:ptCount val="1"/>
                <c:pt idx="0">
                  <c:v>0.28068633693696654</c:v>
                </c:pt>
              </c:numCache>
            </c:numRef>
          </c:val>
          <c:extLst>
            <c:ext xmlns:c16="http://schemas.microsoft.com/office/drawing/2014/chart" uri="{C3380CC4-5D6E-409C-BE32-E72D297353CC}">
              <c16:uniqueId val="{00000001-C9DD-4816-A7EF-60F6D419F023}"/>
            </c:ext>
          </c:extLst>
        </c:ser>
        <c:ser>
          <c:idx val="2"/>
          <c:order val="2"/>
          <c:tx>
            <c:strRef>
              <c:f>'Loan Sizing'!$B$89</c:f>
              <c:strCache>
                <c:ptCount val="1"/>
                <c:pt idx="0">
                  <c:v>Unlevered IRR</c:v>
                </c:pt>
              </c:strCache>
            </c:strRef>
          </c:tx>
          <c:spPr>
            <a:solidFill>
              <a:srgbClr val="87153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'Loan Sizing'!$E$89</c:f>
              <c:numCache>
                <c:formatCode>0.0%</c:formatCode>
                <c:ptCount val="1"/>
                <c:pt idx="0">
                  <c:v>0.15581331388884045</c:v>
                </c:pt>
              </c:numCache>
            </c:numRef>
          </c:val>
          <c:extLst>
            <c:ext xmlns:c16="http://schemas.microsoft.com/office/drawing/2014/chart" uri="{C3380CC4-5D6E-409C-BE32-E72D297353CC}">
              <c16:uniqueId val="{00000002-C9DD-4816-A7EF-60F6D419F023}"/>
            </c:ext>
          </c:extLst>
        </c:ser>
        <c:dLbls>
          <c:showLegendKey val="0"/>
          <c:showVal val="0"/>
          <c:showCatName val="0"/>
          <c:showSerName val="0"/>
          <c:showPercent val="0"/>
          <c:showBubbleSize val="0"/>
        </c:dLbls>
        <c:gapWidth val="182"/>
        <c:axId val="-1545392992"/>
        <c:axId val="-1545390160"/>
      </c:barChart>
      <c:catAx>
        <c:axId val="-1545392992"/>
        <c:scaling>
          <c:orientation val="minMax"/>
        </c:scaling>
        <c:delete val="1"/>
        <c:axPos val="l"/>
        <c:majorTickMark val="none"/>
        <c:minorTickMark val="none"/>
        <c:tickLblPos val="nextTo"/>
        <c:crossAx val="-1545390160"/>
        <c:crosses val="autoZero"/>
        <c:auto val="1"/>
        <c:lblAlgn val="ctr"/>
        <c:lblOffset val="100"/>
        <c:noMultiLvlLbl val="0"/>
      </c:catAx>
      <c:valAx>
        <c:axId val="-1545390160"/>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crossAx val="-154539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0"/>
        <a:lstStyle/>
        <a:p>
          <a:pPr>
            <a:defRPr sz="110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zh-CN"/>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'Loan Sizing'!$E$78</c:f>
              <c:strCache>
                <c:ptCount val="1"/>
                <c:pt idx="0">
                  <c:v>Yield-to-Cost</c:v>
                </c:pt>
              </c:strCache>
            </c:strRef>
          </c:tx>
          <c:spPr>
            <a:solidFill>
              <a:srgbClr val="871531">
                <a:alpha val="50000"/>
              </a:srgbClr>
            </a:solidFill>
            <a:ln>
              <a:noFill/>
            </a:ln>
            <a:effectLst/>
          </c:spPr>
          <c:invertIfNegative val="0"/>
          <c:cat>
            <c:strRef>
              <c:f>'Loan Sizing'!$B$108:$B$115</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Sizing'!$E$108:$E$115</c:f>
              <c:numCache>
                <c:formatCode>0.0%</c:formatCode>
                <c:ptCount val="8"/>
                <c:pt idx="0">
                  <c:v>5.4302264685992273E-2</c:v>
                </c:pt>
                <c:pt idx="1">
                  <c:v>5.2465278280782748E-2</c:v>
                </c:pt>
                <c:pt idx="2">
                  <c:v>0.14179838733490829</c:v>
                </c:pt>
                <c:pt idx="3">
                  <c:v>0.10429168333074304</c:v>
                </c:pt>
                <c:pt idx="4">
                  <c:v>0</c:v>
                </c:pt>
                <c:pt idx="5">
                  <c:v>0.10910299099127926</c:v>
                </c:pt>
                <c:pt idx="6">
                  <c:v>0</c:v>
                </c:pt>
                <c:pt idx="7">
                  <c:v>4.4774488227880488E-3</c:v>
                </c:pt>
              </c:numCache>
            </c:numRef>
          </c:val>
          <c:extLst>
            <c:ext xmlns:c16="http://schemas.microsoft.com/office/drawing/2014/chart" uri="{C3380CC4-5D6E-409C-BE32-E72D297353CC}">
              <c16:uniqueId val="{00000000-938A-4BED-B8D0-3C30989A428A}"/>
            </c:ext>
          </c:extLst>
        </c:ser>
        <c:ser>
          <c:idx val="3"/>
          <c:order val="1"/>
          <c:tx>
            <c:strRef>
              <c:f>'Loan Sizing'!$F$78</c:f>
              <c:strCache>
                <c:ptCount val="1"/>
                <c:pt idx="0">
                  <c:v>Yield-to-Cost after Subsidies</c:v>
                </c:pt>
              </c:strCache>
            </c:strRef>
          </c:tx>
          <c:spPr>
            <a:solidFill>
              <a:srgbClr val="871531">
                <a:alpha val="75000"/>
              </a:srgbClr>
            </a:solidFill>
            <a:ln>
              <a:noFill/>
            </a:ln>
            <a:effectLst/>
          </c:spPr>
          <c:invertIfNegative val="0"/>
          <c:cat>
            <c:strRef>
              <c:f>'Loan Sizing'!$B$108:$B$115</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Sizing'!$F$108:$F$115</c:f>
              <c:numCache>
                <c:formatCode>0.0%</c:formatCode>
                <c:ptCount val="8"/>
                <c:pt idx="0">
                  <c:v>8.2615066831156353E-2</c:v>
                </c:pt>
                <c:pt idx="1">
                  <c:v>7.0337608376837182E-2</c:v>
                </c:pt>
                <c:pt idx="2">
                  <c:v>0.16192572114311909</c:v>
                </c:pt>
                <c:pt idx="3">
                  <c:v>0.11909519106641468</c:v>
                </c:pt>
                <c:pt idx="4">
                  <c:v>0</c:v>
                </c:pt>
                <c:pt idx="5">
                  <c:v>0.12458943170776748</c:v>
                </c:pt>
                <c:pt idx="6">
                  <c:v>0</c:v>
                </c:pt>
                <c:pt idx="7">
                  <c:v>5.1129927719063602E-3</c:v>
                </c:pt>
              </c:numCache>
            </c:numRef>
          </c:val>
          <c:extLst>
            <c:ext xmlns:c16="http://schemas.microsoft.com/office/drawing/2014/chart" uri="{C3380CC4-5D6E-409C-BE32-E72D297353CC}">
              <c16:uniqueId val="{00000001-938A-4BED-B8D0-3C30989A428A}"/>
            </c:ext>
          </c:extLst>
        </c:ser>
        <c:ser>
          <c:idx val="4"/>
          <c:order val="2"/>
          <c:tx>
            <c:strRef>
              <c:f>'Loan Sizing'!$G$78</c:f>
              <c:strCache>
                <c:ptCount val="1"/>
                <c:pt idx="0">
                  <c:v>Exit Cap Rate</c:v>
                </c:pt>
              </c:strCache>
            </c:strRef>
          </c:tx>
          <c:spPr>
            <a:solidFill>
              <a:srgbClr val="871531"/>
            </a:solidFill>
            <a:ln>
              <a:noFill/>
            </a:ln>
            <a:effectLst/>
          </c:spPr>
          <c:invertIfNegative val="0"/>
          <c:cat>
            <c:strRef>
              <c:f>'Loan Sizing'!$B$108:$B$115</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Sizing'!$G$108:$G$115</c:f>
              <c:numCache>
                <c:formatCode>0.0%</c:formatCode>
                <c:ptCount val="8"/>
                <c:pt idx="0">
                  <c:v>7.4999999999999997E-2</c:v>
                </c:pt>
                <c:pt idx="1">
                  <c:v>6.5000000000000002E-2</c:v>
                </c:pt>
                <c:pt idx="2">
                  <c:v>0.06</c:v>
                </c:pt>
                <c:pt idx="3">
                  <c:v>0.08</c:v>
                </c:pt>
                <c:pt idx="4">
                  <c:v>0.09</c:v>
                </c:pt>
                <c:pt idx="5">
                  <c:v>6.5000000000000002E-2</c:v>
                </c:pt>
                <c:pt idx="6">
                  <c:v>0</c:v>
                </c:pt>
                <c:pt idx="7">
                  <c:v>7.0000000000000007E-2</c:v>
                </c:pt>
              </c:numCache>
            </c:numRef>
          </c:val>
          <c:extLst>
            <c:ext xmlns:c16="http://schemas.microsoft.com/office/drawing/2014/chart" uri="{C3380CC4-5D6E-409C-BE32-E72D297353CC}">
              <c16:uniqueId val="{00000002-938A-4BED-B8D0-3C30989A428A}"/>
            </c:ext>
          </c:extLst>
        </c:ser>
        <c:dLbls>
          <c:showLegendKey val="0"/>
          <c:showVal val="0"/>
          <c:showCatName val="0"/>
          <c:showSerName val="0"/>
          <c:showPercent val="0"/>
          <c:showBubbleSize val="0"/>
        </c:dLbls>
        <c:gapWidth val="219"/>
        <c:overlap val="-27"/>
        <c:axId val="-1545360480"/>
        <c:axId val="-1545358160"/>
      </c:barChart>
      <c:catAx>
        <c:axId val="-15453604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crossAx val="-1545358160"/>
        <c:crosses val="autoZero"/>
        <c:auto val="1"/>
        <c:lblAlgn val="ctr"/>
        <c:lblOffset val="100"/>
        <c:noMultiLvlLbl val="0"/>
      </c:catAx>
      <c:valAx>
        <c:axId val="-154535816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crossAx val="-1545360480"/>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zh-CN"/>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ontserrat" panose="00000500000000000000" pitchFamily="50" charset="0"/>
                <a:ea typeface="+mn-ea"/>
                <a:cs typeface="Arial" panose="020B0604020202020204" pitchFamily="34" charset="0"/>
              </a:defRPr>
            </a:pPr>
            <a:r>
              <a:rPr lang="en-US" b="1">
                <a:solidFill>
                  <a:sysClr val="windowText" lastClr="000000"/>
                </a:solidFill>
                <a:latin typeface="Montserrat" panose="00000500000000000000" pitchFamily="50" charset="0"/>
                <a:cs typeface="Arial" panose="020B0604020202020204" pitchFamily="34" charset="0"/>
              </a:rPr>
              <a:t>Project Breakdown by Gross SF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ontserrat" panose="00000500000000000000" pitchFamily="50" charset="0"/>
              <a:ea typeface="+mn-ea"/>
              <a:cs typeface="Arial" panose="020B0604020202020204" pitchFamily="34" charset="0"/>
            </a:defRPr>
          </a:pPr>
          <a:endParaRPr lang="zh-CN"/>
        </a:p>
      </c:txPr>
    </c:title>
    <c:autoTitleDeleted val="0"/>
    <c:plotArea>
      <c:layout>
        <c:manualLayout>
          <c:layoutTarget val="inner"/>
          <c:xMode val="edge"/>
          <c:yMode val="edge"/>
          <c:x val="0.26436622995567499"/>
          <c:y val="0.17476721198006101"/>
          <c:w val="0.49114491598287102"/>
          <c:h val="0.34957304248631998"/>
        </c:manualLayout>
      </c:layout>
      <c:doughnutChart>
        <c:varyColors val="1"/>
        <c:ser>
          <c:idx val="0"/>
          <c:order val="0"/>
          <c:dPt>
            <c:idx val="0"/>
            <c:bubble3D val="0"/>
            <c:spPr>
              <a:solidFill>
                <a:srgbClr val="E1BE1D">
                  <a:alpha val="70000"/>
                </a:srgbClr>
              </a:solidFill>
              <a:ln w="19050">
                <a:solidFill>
                  <a:schemeClr val="lt1"/>
                </a:solidFill>
              </a:ln>
              <a:effectLst/>
            </c:spPr>
            <c:extLst>
              <c:ext xmlns:c16="http://schemas.microsoft.com/office/drawing/2014/chart" uri="{C3380CC4-5D6E-409C-BE32-E72D297353CC}">
                <c16:uniqueId val="{00000001-4A8F-48A4-9D0B-2A92FB7BD7BB}"/>
              </c:ext>
            </c:extLst>
          </c:dPt>
          <c:dPt>
            <c:idx val="1"/>
            <c:bubble3D val="0"/>
            <c:spPr>
              <a:solidFill>
                <a:srgbClr val="E1BE1D"/>
              </a:solidFill>
              <a:ln w="19050">
                <a:solidFill>
                  <a:schemeClr val="lt1"/>
                </a:solidFill>
              </a:ln>
              <a:effectLst/>
            </c:spPr>
            <c:extLst>
              <c:ext xmlns:c16="http://schemas.microsoft.com/office/drawing/2014/chart" uri="{C3380CC4-5D6E-409C-BE32-E72D297353CC}">
                <c16:uniqueId val="{00000003-4A8F-48A4-9D0B-2A92FB7BD7BB}"/>
              </c:ext>
            </c:extLst>
          </c:dPt>
          <c:dPt>
            <c:idx val="2"/>
            <c:bubble3D val="0"/>
            <c:spPr>
              <a:solidFill>
                <a:srgbClr val="871531"/>
              </a:solidFill>
              <a:ln w="19050">
                <a:solidFill>
                  <a:schemeClr val="lt1"/>
                </a:solidFill>
              </a:ln>
              <a:effectLst/>
            </c:spPr>
            <c:extLst>
              <c:ext xmlns:c16="http://schemas.microsoft.com/office/drawing/2014/chart" uri="{C3380CC4-5D6E-409C-BE32-E72D297353CC}">
                <c16:uniqueId val="{00000005-4A8F-48A4-9D0B-2A92FB7BD7BB}"/>
              </c:ext>
            </c:extLst>
          </c:dPt>
          <c:dPt>
            <c:idx val="3"/>
            <c:bubble3D val="0"/>
            <c:spPr>
              <a:solidFill>
                <a:srgbClr val="A17A94"/>
              </a:solidFill>
              <a:ln w="19050">
                <a:solidFill>
                  <a:schemeClr val="lt1"/>
                </a:solidFill>
              </a:ln>
              <a:effectLst/>
            </c:spPr>
            <c:extLst>
              <c:ext xmlns:c16="http://schemas.microsoft.com/office/drawing/2014/chart" uri="{C3380CC4-5D6E-409C-BE32-E72D297353CC}">
                <c16:uniqueId val="{00000007-4A8F-48A4-9D0B-2A92FB7BD7BB}"/>
              </c:ext>
            </c:extLst>
          </c:dPt>
          <c:dPt>
            <c:idx val="4"/>
            <c:bubble3D val="0"/>
            <c:spPr>
              <a:solidFill>
                <a:srgbClr val="D15A5A"/>
              </a:solidFill>
              <a:ln w="19050">
                <a:solidFill>
                  <a:schemeClr val="lt1"/>
                </a:solidFill>
              </a:ln>
              <a:effectLst/>
            </c:spPr>
            <c:extLst>
              <c:ext xmlns:c16="http://schemas.microsoft.com/office/drawing/2014/chart" uri="{C3380CC4-5D6E-409C-BE32-E72D297353CC}">
                <c16:uniqueId val="{00000009-4A8F-48A4-9D0B-2A92FB7BD7BB}"/>
              </c:ext>
            </c:extLst>
          </c:dPt>
          <c:dPt>
            <c:idx val="5"/>
            <c:bubble3D val="0"/>
            <c:spPr>
              <a:solidFill>
                <a:srgbClr val="6ABBDB"/>
              </a:solidFill>
              <a:ln w="19050">
                <a:solidFill>
                  <a:schemeClr val="lt1"/>
                </a:solidFill>
              </a:ln>
              <a:effectLst/>
            </c:spPr>
            <c:extLst>
              <c:ext xmlns:c16="http://schemas.microsoft.com/office/drawing/2014/chart" uri="{C3380CC4-5D6E-409C-BE32-E72D297353CC}">
                <c16:uniqueId val="{0000000B-4A8F-48A4-9D0B-2A92FB7BD7B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A8F-48A4-9D0B-2A92FB7BD7BB}"/>
              </c:ext>
            </c:extLst>
          </c:dPt>
          <c:dPt>
            <c:idx val="7"/>
            <c:bubble3D val="0"/>
            <c:spPr>
              <a:solidFill>
                <a:srgbClr val="B7B7B7"/>
              </a:solidFill>
              <a:ln w="19050">
                <a:solidFill>
                  <a:schemeClr val="lt1"/>
                </a:solidFill>
              </a:ln>
              <a:effectLst/>
            </c:spPr>
            <c:extLst>
              <c:ext xmlns:c16="http://schemas.microsoft.com/office/drawing/2014/chart" uri="{C3380CC4-5D6E-409C-BE32-E72D297353CC}">
                <c16:uniqueId val="{0000000F-4A8F-48A4-9D0B-2A92FB7BD7BB}"/>
              </c:ext>
            </c:extLst>
          </c:dPt>
          <c:dLbls>
            <c:dLbl>
              <c:idx val="0"/>
              <c:layout>
                <c:manualLayout>
                  <c:x val="0.17227059108324899"/>
                  <c:y val="-0.1155399464093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8F-48A4-9D0B-2A92FB7BD7BB}"/>
                </c:ext>
              </c:extLst>
            </c:dLbl>
            <c:dLbl>
              <c:idx val="1"/>
              <c:layout>
                <c:manualLayout>
                  <c:x val="0.18220927903035999"/>
                  <c:y val="-8.72444493295229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8F-48A4-9D0B-2A92FB7BD7BB}"/>
                </c:ext>
              </c:extLst>
            </c:dLbl>
            <c:dLbl>
              <c:idx val="2"/>
              <c:layout>
                <c:manualLayout>
                  <c:x val="0.17558348706561899"/>
                  <c:y val="8.96024074195101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8F-48A4-9D0B-2A92FB7BD7BB}"/>
                </c:ext>
              </c:extLst>
            </c:dLbl>
            <c:dLbl>
              <c:idx val="3"/>
              <c:layout>
                <c:manualLayout>
                  <c:x val="-0.13251583929480701"/>
                  <c:y val="0.113181988319381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8F-48A4-9D0B-2A92FB7BD7BB}"/>
                </c:ext>
              </c:extLst>
            </c:dLbl>
            <c:dLbl>
              <c:idx val="4"/>
              <c:layout>
                <c:manualLayout>
                  <c:x val="-0.215338238854061"/>
                  <c:y val="7.30967007896003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8F-48A4-9D0B-2A92FB7BD7BB}"/>
                </c:ext>
              </c:extLst>
            </c:dLbl>
            <c:dLbl>
              <c:idx val="5"/>
              <c:layout>
                <c:manualLayout>
                  <c:x val="-0.202086654924581"/>
                  <c:y val="-8.2528533149548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A8F-48A4-9D0B-2A92FB7BD7BB}"/>
                </c:ext>
              </c:extLst>
            </c:dLbl>
            <c:dLbl>
              <c:idx val="6"/>
              <c:delete val="1"/>
              <c:extLst>
                <c:ext xmlns:c15="http://schemas.microsoft.com/office/drawing/2012/chart" uri="{CE6537A1-D6FC-4f65-9D91-7224C49458BB}"/>
                <c:ext xmlns:c16="http://schemas.microsoft.com/office/drawing/2014/chart" uri="{C3380CC4-5D6E-409C-BE32-E72D297353CC}">
                  <c16:uniqueId val="{0000000D-4A8F-48A4-9D0B-2A92FB7BD7BB}"/>
                </c:ext>
              </c:extLst>
            </c:dLbl>
            <c:dLbl>
              <c:idx val="7"/>
              <c:layout>
                <c:manualLayout>
                  <c:x val="-0.12257715134769701"/>
                  <c:y val="-0.106108114049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A8F-48A4-9D0B-2A92FB7BD7B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'Loan Sizing'!$B$97:$B$104</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Sizing'!$H$97:$H$104</c:f>
              <c:numCache>
                <c:formatCode>#,##0_);\(#,##0\)</c:formatCode>
                <c:ptCount val="8"/>
                <c:pt idx="0">
                  <c:v>637020</c:v>
                </c:pt>
                <c:pt idx="1">
                  <c:v>292560.00215999997</c:v>
                </c:pt>
                <c:pt idx="2">
                  <c:v>473726.39999999997</c:v>
                </c:pt>
                <c:pt idx="3">
                  <c:v>5.4000000000000003E-3</c:v>
                </c:pt>
                <c:pt idx="4">
                  <c:v>1.2E-5</c:v>
                </c:pt>
                <c:pt idx="5">
                  <c:v>232240.8</c:v>
                </c:pt>
                <c:pt idx="6">
                  <c:v>1.1999999999999999E-6</c:v>
                </c:pt>
                <c:pt idx="7">
                  <c:v>293102.39999999997</c:v>
                </c:pt>
              </c:numCache>
            </c:numRef>
          </c:val>
          <c:extLst>
            <c:ext xmlns:c16="http://schemas.microsoft.com/office/drawing/2014/chart" uri="{C3380CC4-5D6E-409C-BE32-E72D297353CC}">
              <c16:uniqueId val="{00000010-4A8F-48A4-9D0B-2A92FB7BD7BB}"/>
            </c:ext>
          </c:extLst>
        </c:ser>
        <c:dLbls>
          <c:showLegendKey val="0"/>
          <c:showVal val="0"/>
          <c:showCatName val="0"/>
          <c:showSerName val="0"/>
          <c:showPercent val="0"/>
          <c:showBubbleSize val="0"/>
          <c:showLeaderLines val="1"/>
        </c:dLbls>
        <c:firstSliceAng val="0"/>
        <c:holeSize val="38"/>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ontserrat" panose="00000500000000000000" pitchFamily="50" charset="0"/>
              <a:ea typeface="+mn-ea"/>
              <a:cs typeface="Arial" panose="020B0604020202020204" pitchFamily="34" charset="0"/>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zh-CN"/>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'Loan Sizing'!$B$120</c:f>
              <c:strCache>
                <c:ptCount val="1"/>
                <c:pt idx="0">
                  <c:v>Levered IRR with Opportunity Zone</c:v>
                </c:pt>
              </c:strCache>
            </c:strRef>
          </c:tx>
          <c:spPr>
            <a:solidFill>
              <a:srgbClr val="871531">
                <a:alpha val="5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'Loan Sizing'!$E$120</c:f>
              <c:numCache>
                <c:formatCode>0.0%</c:formatCode>
                <c:ptCount val="1"/>
                <c:pt idx="0">
                  <c:v>0.37369436990935456</c:v>
                </c:pt>
              </c:numCache>
            </c:numRef>
          </c:val>
          <c:extLst>
            <c:ext xmlns:c16="http://schemas.microsoft.com/office/drawing/2014/chart" uri="{C3380CC4-5D6E-409C-BE32-E72D297353CC}">
              <c16:uniqueId val="{00000000-0214-418D-9C32-A16414CCB83D}"/>
            </c:ext>
          </c:extLst>
        </c:ser>
        <c:ser>
          <c:idx val="1"/>
          <c:order val="1"/>
          <c:tx>
            <c:strRef>
              <c:f>'Loan Sizing'!$B$119</c:f>
              <c:strCache>
                <c:ptCount val="1"/>
                <c:pt idx="0">
                  <c:v>Levered IRR without Opportunity Zone</c:v>
                </c:pt>
              </c:strCache>
            </c:strRef>
          </c:tx>
          <c:spPr>
            <a:solidFill>
              <a:srgbClr val="871531">
                <a:alpha val="7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'Loan Sizing'!$E$119</c:f>
              <c:numCache>
                <c:formatCode>0.0%</c:formatCode>
                <c:ptCount val="1"/>
                <c:pt idx="0">
                  <c:v>0.26008083120371395</c:v>
                </c:pt>
              </c:numCache>
            </c:numRef>
          </c:val>
          <c:extLst>
            <c:ext xmlns:c16="http://schemas.microsoft.com/office/drawing/2014/chart" uri="{C3380CC4-5D6E-409C-BE32-E72D297353CC}">
              <c16:uniqueId val="{00000001-0214-418D-9C32-A16414CCB83D}"/>
            </c:ext>
          </c:extLst>
        </c:ser>
        <c:ser>
          <c:idx val="2"/>
          <c:order val="2"/>
          <c:tx>
            <c:strRef>
              <c:f>'Loan Sizing'!$B$118</c:f>
              <c:strCache>
                <c:ptCount val="1"/>
                <c:pt idx="0">
                  <c:v>Unlevered IRR</c:v>
                </c:pt>
              </c:strCache>
            </c:strRef>
          </c:tx>
          <c:spPr>
            <a:solidFill>
              <a:srgbClr val="87153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ontserrat" panose="00000500000000000000" pitchFamily="50" charset="0"/>
                    <a:ea typeface="+mn-ea"/>
                    <a:cs typeface="Arial" panose="020B0604020202020204" pitchFamily="34"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'Loan Sizing'!$E$118</c:f>
              <c:numCache>
                <c:formatCode>0.0%</c:formatCode>
                <c:ptCount val="1"/>
                <c:pt idx="0">
                  <c:v>0.14466080366738621</c:v>
                </c:pt>
              </c:numCache>
            </c:numRef>
          </c:val>
          <c:extLst>
            <c:ext xmlns:c16="http://schemas.microsoft.com/office/drawing/2014/chart" uri="{C3380CC4-5D6E-409C-BE32-E72D297353CC}">
              <c16:uniqueId val="{00000002-0214-418D-9C32-A16414CCB83D}"/>
            </c:ext>
          </c:extLst>
        </c:ser>
        <c:dLbls>
          <c:showLegendKey val="0"/>
          <c:showVal val="0"/>
          <c:showCatName val="0"/>
          <c:showSerName val="0"/>
          <c:showPercent val="0"/>
          <c:showBubbleSize val="0"/>
        </c:dLbls>
        <c:gapWidth val="182"/>
        <c:axId val="-1545317072"/>
        <c:axId val="-1545314240"/>
      </c:barChart>
      <c:catAx>
        <c:axId val="-1545317072"/>
        <c:scaling>
          <c:orientation val="minMax"/>
        </c:scaling>
        <c:delete val="1"/>
        <c:axPos val="l"/>
        <c:majorTickMark val="none"/>
        <c:minorTickMark val="none"/>
        <c:tickLblPos val="nextTo"/>
        <c:crossAx val="-1545314240"/>
        <c:crosses val="autoZero"/>
        <c:auto val="1"/>
        <c:lblAlgn val="ctr"/>
        <c:lblOffset val="100"/>
        <c:noMultiLvlLbl val="0"/>
      </c:catAx>
      <c:valAx>
        <c:axId val="-1545314240"/>
        <c:scaling>
          <c:orientation val="minMax"/>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crossAx val="-1545317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0"/>
        <a:lstStyle/>
        <a:p>
          <a:pPr>
            <a:defRPr sz="100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zh-CN"/>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'Loan Sizing'!$E$78</c:f>
              <c:strCache>
                <c:ptCount val="1"/>
                <c:pt idx="0">
                  <c:v>Yield-to-Cost</c:v>
                </c:pt>
              </c:strCache>
            </c:strRef>
          </c:tx>
          <c:spPr>
            <a:solidFill>
              <a:srgbClr val="871531">
                <a:alpha val="75000"/>
              </a:srgbClr>
            </a:solidFill>
            <a:ln>
              <a:noFill/>
            </a:ln>
            <a:effectLst/>
          </c:spPr>
          <c:invertIfNegative val="0"/>
          <c:cat>
            <c:strRef>
              <c:f>'Loan Sizing'!$B$137:$B$144</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Sizing'!$E$137:$E$144</c:f>
              <c:numCache>
                <c:formatCode>0.0%</c:formatCode>
                <c:ptCount val="8"/>
                <c:pt idx="0">
                  <c:v>2.5342156498584345E-2</c:v>
                </c:pt>
                <c:pt idx="1">
                  <c:v>5.1434626814349092E-2</c:v>
                </c:pt>
                <c:pt idx="2">
                  <c:v>9.0956324065442851E-2</c:v>
                </c:pt>
                <c:pt idx="3">
                  <c:v>3.5999968627892766E-2</c:v>
                </c:pt>
                <c:pt idx="4" formatCode="General">
                  <c:v>0</c:v>
                </c:pt>
                <c:pt idx="5">
                  <c:v>6.6651883555508773E-2</c:v>
                </c:pt>
                <c:pt idx="6">
                  <c:v>0</c:v>
                </c:pt>
                <c:pt idx="7">
                  <c:v>1375730.8766678637</c:v>
                </c:pt>
              </c:numCache>
            </c:numRef>
          </c:val>
          <c:extLst>
            <c:ext xmlns:c16="http://schemas.microsoft.com/office/drawing/2014/chart" uri="{C3380CC4-5D6E-409C-BE32-E72D297353CC}">
              <c16:uniqueId val="{00000000-A0C8-4218-AC4F-EC613C0B228E}"/>
            </c:ext>
          </c:extLst>
        </c:ser>
        <c:ser>
          <c:idx val="3"/>
          <c:order val="1"/>
          <c:tx>
            <c:strRef>
              <c:f>'Loan Sizing'!$F$78</c:f>
              <c:strCache>
                <c:ptCount val="1"/>
                <c:pt idx="0">
                  <c:v>Yield-to-Cost after Subsidies</c:v>
                </c:pt>
              </c:strCache>
            </c:strRef>
          </c:tx>
          <c:spPr>
            <a:solidFill>
              <a:srgbClr val="871531">
                <a:alpha val="75000"/>
              </a:srgbClr>
            </a:solidFill>
            <a:ln>
              <a:noFill/>
            </a:ln>
            <a:effectLst/>
          </c:spPr>
          <c:invertIfNegative val="0"/>
          <c:cat>
            <c:strRef>
              <c:f>'Loan Sizing'!$B$137:$B$144</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Sizing'!$F$137:$F$144</c:f>
              <c:numCache>
                <c:formatCode>0.0%</c:formatCode>
                <c:ptCount val="8"/>
                <c:pt idx="0">
                  <c:v>-2.177044987528792E-9</c:v>
                </c:pt>
                <c:pt idx="1">
                  <c:v>5.5729906231787633E-2</c:v>
                </c:pt>
                <c:pt idx="2">
                  <c:v>9.8552040236463551E-2</c:v>
                </c:pt>
                <c:pt idx="3">
                  <c:v>3.900630762270943E-2</c:v>
                </c:pt>
                <c:pt idx="4">
                  <c:v>0</c:v>
                </c:pt>
                <c:pt idx="5">
                  <c:v>7.2217948311900065E-2</c:v>
                </c:pt>
                <c:pt idx="6">
                  <c:v>0</c:v>
                </c:pt>
                <c:pt idx="7">
                  <c:v>6.1883213281551169E-3</c:v>
                </c:pt>
              </c:numCache>
            </c:numRef>
          </c:val>
          <c:extLst>
            <c:ext xmlns:c16="http://schemas.microsoft.com/office/drawing/2014/chart" uri="{C3380CC4-5D6E-409C-BE32-E72D297353CC}">
              <c16:uniqueId val="{00000001-A0C8-4218-AC4F-EC613C0B228E}"/>
            </c:ext>
          </c:extLst>
        </c:ser>
        <c:ser>
          <c:idx val="4"/>
          <c:order val="2"/>
          <c:tx>
            <c:strRef>
              <c:f>'Loan Sizing'!$G$78</c:f>
              <c:strCache>
                <c:ptCount val="1"/>
                <c:pt idx="0">
                  <c:v>Exit Cap Rate</c:v>
                </c:pt>
              </c:strCache>
            </c:strRef>
          </c:tx>
          <c:spPr>
            <a:solidFill>
              <a:srgbClr val="871531"/>
            </a:solidFill>
            <a:ln>
              <a:noFill/>
            </a:ln>
            <a:effectLst/>
          </c:spPr>
          <c:invertIfNegative val="0"/>
          <c:cat>
            <c:strRef>
              <c:f>'Loan Sizing'!$B$137:$B$144</c:f>
              <c:strCache>
                <c:ptCount val="8"/>
                <c:pt idx="0">
                  <c:v>Affordable Residential</c:v>
                </c:pt>
                <c:pt idx="1">
                  <c:v>Multifamily</c:v>
                </c:pt>
                <c:pt idx="2">
                  <c:v>Retail</c:v>
                </c:pt>
                <c:pt idx="3">
                  <c:v>Hotel</c:v>
                </c:pt>
                <c:pt idx="4">
                  <c:v>Gallery &amp; Museum Facility</c:v>
                </c:pt>
                <c:pt idx="5">
                  <c:v>Office</c:v>
                </c:pt>
                <c:pt idx="6">
                  <c:v>School</c:v>
                </c:pt>
                <c:pt idx="7">
                  <c:v>Parking</c:v>
                </c:pt>
              </c:strCache>
            </c:strRef>
          </c:cat>
          <c:val>
            <c:numRef>
              <c:f>'Loan Sizing'!$G$137:$G$144</c:f>
              <c:numCache>
                <c:formatCode>0.0%</c:formatCode>
                <c:ptCount val="8"/>
                <c:pt idx="0">
                  <c:v>7.4999999999999997E-2</c:v>
                </c:pt>
                <c:pt idx="1">
                  <c:v>6.5000000000000002E-2</c:v>
                </c:pt>
                <c:pt idx="2">
                  <c:v>0.06</c:v>
                </c:pt>
                <c:pt idx="3">
                  <c:v>0.08</c:v>
                </c:pt>
                <c:pt idx="4">
                  <c:v>0</c:v>
                </c:pt>
                <c:pt idx="5">
                  <c:v>6.5000000000000002E-2</c:v>
                </c:pt>
                <c:pt idx="6">
                  <c:v>0</c:v>
                </c:pt>
                <c:pt idx="7">
                  <c:v>7.0000000000000007E-2</c:v>
                </c:pt>
              </c:numCache>
            </c:numRef>
          </c:val>
          <c:extLst>
            <c:ext xmlns:c16="http://schemas.microsoft.com/office/drawing/2014/chart" uri="{C3380CC4-5D6E-409C-BE32-E72D297353CC}">
              <c16:uniqueId val="{00000002-A0C8-4218-AC4F-EC613C0B228E}"/>
            </c:ext>
          </c:extLst>
        </c:ser>
        <c:dLbls>
          <c:showLegendKey val="0"/>
          <c:showVal val="0"/>
          <c:showCatName val="0"/>
          <c:showSerName val="0"/>
          <c:showPercent val="0"/>
          <c:showBubbleSize val="0"/>
        </c:dLbls>
        <c:gapWidth val="219"/>
        <c:overlap val="-27"/>
        <c:axId val="-1582976672"/>
        <c:axId val="-1582974624"/>
      </c:barChart>
      <c:catAx>
        <c:axId val="-15829766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crossAx val="-1582974624"/>
        <c:crosses val="autoZero"/>
        <c:auto val="1"/>
        <c:lblAlgn val="ctr"/>
        <c:lblOffset val="100"/>
        <c:noMultiLvlLbl val="0"/>
      </c:catAx>
      <c:valAx>
        <c:axId val="-158297462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crossAx val="-1582976672"/>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ontserrat" panose="00000500000000000000" pitchFamily="50" charset="0"/>
              <a:ea typeface="+mn-ea"/>
              <a:cs typeface="Arial" panose="020B0604020202020204" pitchFamily="34" charset="0"/>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zh-C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13</xdr:col>
      <xdr:colOff>11547</xdr:colOff>
      <xdr:row>0</xdr:row>
      <xdr:rowOff>115455</xdr:rowOff>
    </xdr:from>
    <xdr:to>
      <xdr:col>13</xdr:col>
      <xdr:colOff>1154547</xdr:colOff>
      <xdr:row>2</xdr:row>
      <xdr:rowOff>56250</xdr:rowOff>
    </xdr:to>
    <xdr:pic>
      <xdr:nvPicPr>
        <xdr:cNvPr id="4" name="Picture 3">
          <a:extLst>
            <a:ext uri="{FF2B5EF4-FFF2-40B4-BE49-F238E27FC236}">
              <a16:creationId xmlns:a16="http://schemas.microsoft.com/office/drawing/2014/main" id="{F8F66EB5-9589-41B8-9896-67B30D3452CE}"/>
            </a:ext>
          </a:extLst>
        </xdr:cNvPr>
        <xdr:cNvPicPr>
          <a:picLocks noChangeAspect="1"/>
        </xdr:cNvPicPr>
      </xdr:nvPicPr>
      <xdr:blipFill>
        <a:blip xmlns:r="http://schemas.openxmlformats.org/officeDocument/2006/relationships" r:embed="rId1"/>
        <a:stretch>
          <a:fillRect/>
        </a:stretch>
      </xdr:blipFill>
      <xdr:spPr>
        <a:xfrm>
          <a:off x="15009092" y="115455"/>
          <a:ext cx="1143000" cy="1395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577272</xdr:colOff>
      <xdr:row>39</xdr:row>
      <xdr:rowOff>117764</xdr:rowOff>
    </xdr:from>
    <xdr:to>
      <xdr:col>7</xdr:col>
      <xdr:colOff>968374</xdr:colOff>
      <xdr:row>55</xdr:row>
      <xdr:rowOff>150091</xdr:rowOff>
    </xdr:to>
    <xdr:graphicFrame macro="">
      <xdr:nvGraphicFramePr>
        <xdr:cNvPr id="2" name="Chart 1">
          <a:extLst>
            <a:ext uri="{FF2B5EF4-FFF2-40B4-BE49-F238E27FC236}">
              <a16:creationId xmlns:a16="http://schemas.microsoft.com/office/drawing/2014/main" id="{22E9511E-DDCD-464A-99CC-04D9BFECEB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565727</xdr:colOff>
      <xdr:row>55</xdr:row>
      <xdr:rowOff>199159</xdr:rowOff>
    </xdr:from>
    <xdr:to>
      <xdr:col>7</xdr:col>
      <xdr:colOff>971260</xdr:colOff>
      <xdr:row>72</xdr:row>
      <xdr:rowOff>25111</xdr:rowOff>
    </xdr:to>
    <xdr:graphicFrame macro="">
      <xdr:nvGraphicFramePr>
        <xdr:cNvPr id="4" name="Chart 3">
          <a:extLst>
            <a:ext uri="{FF2B5EF4-FFF2-40B4-BE49-F238E27FC236}">
              <a16:creationId xmlns:a16="http://schemas.microsoft.com/office/drawing/2014/main" id="{A467FFD4-0644-49DB-B158-C402F05F4C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981363</xdr:colOff>
      <xdr:row>67</xdr:row>
      <xdr:rowOff>69273</xdr:rowOff>
    </xdr:from>
    <xdr:to>
      <xdr:col>14</xdr:col>
      <xdr:colOff>923635</xdr:colOff>
      <xdr:row>83</xdr:row>
      <xdr:rowOff>46182</xdr:rowOff>
    </xdr:to>
    <xdr:graphicFrame macro="">
      <xdr:nvGraphicFramePr>
        <xdr:cNvPr id="3" name="Chart 2">
          <a:extLst>
            <a:ext uri="{FF2B5EF4-FFF2-40B4-BE49-F238E27FC236}">
              <a16:creationId xmlns:a16="http://schemas.microsoft.com/office/drawing/2014/main" id="{2D02F424-8B5B-463E-BF0D-47600FB3A1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854363</xdr:colOff>
      <xdr:row>67</xdr:row>
      <xdr:rowOff>47770</xdr:rowOff>
    </xdr:from>
    <xdr:to>
      <xdr:col>17</xdr:col>
      <xdr:colOff>1789545</xdr:colOff>
      <xdr:row>93</xdr:row>
      <xdr:rowOff>127000</xdr:rowOff>
    </xdr:to>
    <xdr:graphicFrame macro="">
      <xdr:nvGraphicFramePr>
        <xdr:cNvPr id="5" name="Chart 4">
          <a:extLst>
            <a:ext uri="{FF2B5EF4-FFF2-40B4-BE49-F238E27FC236}">
              <a16:creationId xmlns:a16="http://schemas.microsoft.com/office/drawing/2014/main" id="{34FA3F8D-C22F-47D4-A161-A2D0C2AD45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161637</xdr:colOff>
      <xdr:row>82</xdr:row>
      <xdr:rowOff>187036</xdr:rowOff>
    </xdr:from>
    <xdr:to>
      <xdr:col>14</xdr:col>
      <xdr:colOff>819728</xdr:colOff>
      <xdr:row>93</xdr:row>
      <xdr:rowOff>173181</xdr:rowOff>
    </xdr:to>
    <xdr:graphicFrame macro="">
      <xdr:nvGraphicFramePr>
        <xdr:cNvPr id="6" name="Chart 5">
          <a:extLst>
            <a:ext uri="{FF2B5EF4-FFF2-40B4-BE49-F238E27FC236}">
              <a16:creationId xmlns:a16="http://schemas.microsoft.com/office/drawing/2014/main" id="{47C8A1D6-EB09-4D96-A7FF-A51D233577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981363</xdr:colOff>
      <xdr:row>96</xdr:row>
      <xdr:rowOff>69273</xdr:rowOff>
    </xdr:from>
    <xdr:to>
      <xdr:col>14</xdr:col>
      <xdr:colOff>923635</xdr:colOff>
      <xdr:row>112</xdr:row>
      <xdr:rowOff>46182</xdr:rowOff>
    </xdr:to>
    <xdr:graphicFrame macro="">
      <xdr:nvGraphicFramePr>
        <xdr:cNvPr id="7" name="Chart 6">
          <a:extLst>
            <a:ext uri="{FF2B5EF4-FFF2-40B4-BE49-F238E27FC236}">
              <a16:creationId xmlns:a16="http://schemas.microsoft.com/office/drawing/2014/main" id="{67B4D089-288D-484B-B257-7E2318D5F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854363</xdr:colOff>
      <xdr:row>96</xdr:row>
      <xdr:rowOff>47770</xdr:rowOff>
    </xdr:from>
    <xdr:to>
      <xdr:col>17</xdr:col>
      <xdr:colOff>1789545</xdr:colOff>
      <xdr:row>122</xdr:row>
      <xdr:rowOff>127000</xdr:rowOff>
    </xdr:to>
    <xdr:graphicFrame macro="">
      <xdr:nvGraphicFramePr>
        <xdr:cNvPr id="8" name="Chart 7">
          <a:extLst>
            <a:ext uri="{FF2B5EF4-FFF2-40B4-BE49-F238E27FC236}">
              <a16:creationId xmlns:a16="http://schemas.microsoft.com/office/drawing/2014/main" id="{8EF1C771-049C-43D7-9BE4-9B8DDAC7C9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161637</xdr:colOff>
      <xdr:row>111</xdr:row>
      <xdr:rowOff>187036</xdr:rowOff>
    </xdr:from>
    <xdr:to>
      <xdr:col>14</xdr:col>
      <xdr:colOff>819728</xdr:colOff>
      <xdr:row>122</xdr:row>
      <xdr:rowOff>173181</xdr:rowOff>
    </xdr:to>
    <xdr:graphicFrame macro="">
      <xdr:nvGraphicFramePr>
        <xdr:cNvPr id="9" name="Chart 8">
          <a:extLst>
            <a:ext uri="{FF2B5EF4-FFF2-40B4-BE49-F238E27FC236}">
              <a16:creationId xmlns:a16="http://schemas.microsoft.com/office/drawing/2014/main" id="{EF97BA8B-05EC-40FD-BDFF-1187431B28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981363</xdr:colOff>
      <xdr:row>125</xdr:row>
      <xdr:rowOff>69273</xdr:rowOff>
    </xdr:from>
    <xdr:to>
      <xdr:col>14</xdr:col>
      <xdr:colOff>923635</xdr:colOff>
      <xdr:row>141</xdr:row>
      <xdr:rowOff>46182</xdr:rowOff>
    </xdr:to>
    <xdr:graphicFrame macro="">
      <xdr:nvGraphicFramePr>
        <xdr:cNvPr id="10" name="Chart 9">
          <a:extLst>
            <a:ext uri="{FF2B5EF4-FFF2-40B4-BE49-F238E27FC236}">
              <a16:creationId xmlns:a16="http://schemas.microsoft.com/office/drawing/2014/main" id="{7A5790CE-EEF6-4EB2-B50B-F6124946E7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854363</xdr:colOff>
      <xdr:row>125</xdr:row>
      <xdr:rowOff>47770</xdr:rowOff>
    </xdr:from>
    <xdr:to>
      <xdr:col>17</xdr:col>
      <xdr:colOff>1789545</xdr:colOff>
      <xdr:row>151</xdr:row>
      <xdr:rowOff>127000</xdr:rowOff>
    </xdr:to>
    <xdr:graphicFrame macro="">
      <xdr:nvGraphicFramePr>
        <xdr:cNvPr id="11" name="Chart 10">
          <a:extLst>
            <a:ext uri="{FF2B5EF4-FFF2-40B4-BE49-F238E27FC236}">
              <a16:creationId xmlns:a16="http://schemas.microsoft.com/office/drawing/2014/main" id="{8C46FC33-988C-4240-8ECC-1954F9F3CA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161637</xdr:colOff>
      <xdr:row>140</xdr:row>
      <xdr:rowOff>187036</xdr:rowOff>
    </xdr:from>
    <xdr:to>
      <xdr:col>14</xdr:col>
      <xdr:colOff>819728</xdr:colOff>
      <xdr:row>151</xdr:row>
      <xdr:rowOff>173181</xdr:rowOff>
    </xdr:to>
    <xdr:graphicFrame macro="">
      <xdr:nvGraphicFramePr>
        <xdr:cNvPr id="12" name="Chart 11">
          <a:extLst>
            <a:ext uri="{FF2B5EF4-FFF2-40B4-BE49-F238E27FC236}">
              <a16:creationId xmlns:a16="http://schemas.microsoft.com/office/drawing/2014/main" id="{97560F92-F3B9-461D-8540-F76D6ACE6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981363</xdr:colOff>
      <xdr:row>154</xdr:row>
      <xdr:rowOff>69273</xdr:rowOff>
    </xdr:from>
    <xdr:to>
      <xdr:col>14</xdr:col>
      <xdr:colOff>923635</xdr:colOff>
      <xdr:row>170</xdr:row>
      <xdr:rowOff>46182</xdr:rowOff>
    </xdr:to>
    <xdr:graphicFrame macro="">
      <xdr:nvGraphicFramePr>
        <xdr:cNvPr id="16" name="Chart 15">
          <a:extLst>
            <a:ext uri="{FF2B5EF4-FFF2-40B4-BE49-F238E27FC236}">
              <a16:creationId xmlns:a16="http://schemas.microsoft.com/office/drawing/2014/main" id="{A47B5FBE-D6EC-4835-BB54-8788DF1DF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854363</xdr:colOff>
      <xdr:row>154</xdr:row>
      <xdr:rowOff>47770</xdr:rowOff>
    </xdr:from>
    <xdr:to>
      <xdr:col>17</xdr:col>
      <xdr:colOff>1789545</xdr:colOff>
      <xdr:row>180</xdr:row>
      <xdr:rowOff>127000</xdr:rowOff>
    </xdr:to>
    <xdr:graphicFrame macro="">
      <xdr:nvGraphicFramePr>
        <xdr:cNvPr id="17" name="Chart 16">
          <a:extLst>
            <a:ext uri="{FF2B5EF4-FFF2-40B4-BE49-F238E27FC236}">
              <a16:creationId xmlns:a16="http://schemas.microsoft.com/office/drawing/2014/main" id="{53261613-6783-4A05-9821-657BE43B87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161637</xdr:colOff>
      <xdr:row>169</xdr:row>
      <xdr:rowOff>187036</xdr:rowOff>
    </xdr:from>
    <xdr:to>
      <xdr:col>14</xdr:col>
      <xdr:colOff>819728</xdr:colOff>
      <xdr:row>180</xdr:row>
      <xdr:rowOff>173181</xdr:rowOff>
    </xdr:to>
    <xdr:graphicFrame macro="">
      <xdr:nvGraphicFramePr>
        <xdr:cNvPr id="18" name="Chart 17">
          <a:extLst>
            <a:ext uri="{FF2B5EF4-FFF2-40B4-BE49-F238E27FC236}">
              <a16:creationId xmlns:a16="http://schemas.microsoft.com/office/drawing/2014/main" id="{651A7B1A-05D9-4B0E-8E0F-FF2006A3B5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hyperlink" Target="https://www.michigan.gov/documents/Vol2-28UIP1Foundations-Frames_121070_7.pdf" TargetMode="External"/><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P151"/>
  <sheetViews>
    <sheetView showGridLines="0" tabSelected="1" showWhiteSpace="0" view="pageBreakPreview" zoomScale="55" zoomScaleNormal="70" zoomScaleSheetLayoutView="55" workbookViewId="0">
      <selection activeCell="Q5" sqref="Q5"/>
    </sheetView>
  </sheetViews>
  <sheetFormatPr defaultColWidth="9.1796875" defaultRowHeight="14.25" customHeight="1" outlineLevelRow="1"/>
  <cols>
    <col min="1" max="1" width="5" style="390" customWidth="1"/>
    <col min="2" max="2" width="31.453125" style="232" customWidth="1"/>
    <col min="3" max="3" width="25.81640625" style="232" customWidth="1"/>
    <col min="4" max="4" width="14.453125" style="252" customWidth="1"/>
    <col min="5" max="5" width="16.08984375" style="232" customWidth="1"/>
    <col min="6" max="6" width="15.453125" style="232" bestFit="1" customWidth="1"/>
    <col min="7" max="7" width="15.453125" style="232" customWidth="1"/>
    <col min="8" max="8" width="15.453125" style="232" bestFit="1" customWidth="1"/>
    <col min="9" max="9" width="16.453125" style="232" customWidth="1"/>
    <col min="10" max="10" width="17.1796875" style="232" customWidth="1"/>
    <col min="11" max="11" width="14" style="232" bestFit="1" customWidth="1"/>
    <col min="12" max="13" width="13.81640625" style="232" customWidth="1"/>
    <col min="14" max="14" width="16.81640625" style="232" bestFit="1" customWidth="1"/>
    <col min="15" max="15" width="5.81640625" style="390" customWidth="1"/>
    <col min="16" max="16" width="18" style="390" bestFit="1" customWidth="1"/>
    <col min="17" max="16384" width="9.1796875" style="390"/>
  </cols>
  <sheetData>
    <row r="1" spans="2:16" ht="95.25" customHeight="1">
      <c r="B1" s="738" t="s">
        <v>1226</v>
      </c>
    </row>
    <row r="2" spans="2:16" ht="19" customHeight="1">
      <c r="B2" s="317" t="s">
        <v>1254</v>
      </c>
      <c r="D2" s="689"/>
    </row>
    <row r="3" spans="2:16" ht="19" customHeight="1">
      <c r="B3" s="317"/>
      <c r="D3" s="689"/>
    </row>
    <row r="4" spans="2:16" s="573" customFormat="1" ht="19" customHeight="1">
      <c r="B4" s="37" t="s">
        <v>22</v>
      </c>
      <c r="C4" s="38"/>
      <c r="D4" s="46"/>
      <c r="E4" s="37"/>
      <c r="F4" s="46"/>
      <c r="G4" s="46"/>
      <c r="H4" s="46"/>
      <c r="I4" s="934"/>
      <c r="J4" s="934"/>
      <c r="K4" s="934"/>
      <c r="L4" s="934"/>
      <c r="M4" s="934"/>
      <c r="N4" s="934"/>
    </row>
    <row r="5" spans="2:16" ht="19" customHeight="1">
      <c r="B5" s="231"/>
      <c r="C5" s="231"/>
      <c r="D5" s="232" t="s">
        <v>1225</v>
      </c>
      <c r="E5" s="282" t="s">
        <v>21</v>
      </c>
      <c r="G5" s="277" t="s">
        <v>357</v>
      </c>
      <c r="H5" s="265"/>
      <c r="I5" s="272" t="s">
        <v>360</v>
      </c>
      <c r="J5" s="265"/>
      <c r="K5" s="265"/>
      <c r="L5" s="265"/>
      <c r="M5" s="265"/>
      <c r="N5" s="286" t="s">
        <v>410</v>
      </c>
    </row>
    <row r="6" spans="2:16" ht="19" customHeight="1">
      <c r="B6" s="234"/>
      <c r="C6" s="234"/>
      <c r="D6" s="235" t="s">
        <v>1224</v>
      </c>
      <c r="E6" s="283">
        <v>2022</v>
      </c>
      <c r="F6" s="235">
        <f>E6+1</f>
        <v>2023</v>
      </c>
      <c r="G6" s="278">
        <f t="shared" ref="G6:L6" si="0">F6+1</f>
        <v>2024</v>
      </c>
      <c r="H6" s="235">
        <f t="shared" si="0"/>
        <v>2025</v>
      </c>
      <c r="I6" s="273">
        <f t="shared" si="0"/>
        <v>2026</v>
      </c>
      <c r="J6" s="235">
        <f t="shared" si="0"/>
        <v>2027</v>
      </c>
      <c r="K6" s="235">
        <f t="shared" si="0"/>
        <v>2028</v>
      </c>
      <c r="L6" s="235">
        <f t="shared" si="0"/>
        <v>2029</v>
      </c>
      <c r="M6" s="235">
        <f>L6+1</f>
        <v>2030</v>
      </c>
      <c r="N6" s="287">
        <f>M6+1</f>
        <v>2031</v>
      </c>
    </row>
    <row r="7" spans="2:16" ht="19" hidden="1" customHeight="1">
      <c r="B7" s="234"/>
      <c r="C7" s="234"/>
      <c r="D7" s="235">
        <v>2021</v>
      </c>
      <c r="E7" s="283">
        <f>+D7+1</f>
        <v>2022</v>
      </c>
      <c r="F7" s="235">
        <f t="shared" ref="F7:M7" si="1">+E7+1</f>
        <v>2023</v>
      </c>
      <c r="G7" s="278">
        <f t="shared" si="1"/>
        <v>2024</v>
      </c>
      <c r="H7" s="235">
        <f t="shared" si="1"/>
        <v>2025</v>
      </c>
      <c r="I7" s="273">
        <f t="shared" si="1"/>
        <v>2026</v>
      </c>
      <c r="J7" s="235">
        <f t="shared" si="1"/>
        <v>2027</v>
      </c>
      <c r="K7" s="235">
        <f t="shared" si="1"/>
        <v>2028</v>
      </c>
      <c r="L7" s="235">
        <f t="shared" si="1"/>
        <v>2029</v>
      </c>
      <c r="M7" s="235">
        <f t="shared" si="1"/>
        <v>2030</v>
      </c>
      <c r="N7" s="287">
        <f>+M7+1</f>
        <v>2031</v>
      </c>
    </row>
    <row r="8" spans="2:16" ht="19" customHeight="1">
      <c r="B8" s="271" t="s">
        <v>0</v>
      </c>
      <c r="C8" s="266"/>
      <c r="D8" s="257"/>
      <c r="E8" s="283"/>
      <c r="F8" s="257"/>
      <c r="G8" s="279"/>
      <c r="H8" s="257"/>
      <c r="I8" s="274"/>
      <c r="J8" s="257"/>
      <c r="K8" s="257"/>
      <c r="L8" s="257"/>
      <c r="M8" s="262"/>
      <c r="N8" s="288"/>
    </row>
    <row r="9" spans="2:16" ht="19" customHeight="1">
      <c r="B9" s="292" t="s">
        <v>1231</v>
      </c>
      <c r="C9" s="293"/>
      <c r="D9" s="735">
        <f ca="1">+SUMIF('Phase I Pro Forma'!$F$6:$Z$6,'Official Summary'!D$7,'Phase I Pro Forma'!$F$49:$Z$49)+SUMIF('Phase II Pro Forma'!$F$6:$Z$6,'Official Summary'!D$7,'Phase II Pro Forma'!$F$49:$Z$49)+SUMIF('Phase III Pro Forma'!$F$6:$Z$6,'Official Summary'!D$7,'Phase III Pro Forma'!$F$49:$Z$49)</f>
        <v>0</v>
      </c>
      <c r="E9" s="284">
        <f ca="1">+SUMIF('Phase I Pro Forma'!$F$6:$Z$6,'Official Summary'!E$7,'Phase I Pro Forma'!$F$49:$Z$49)+SUMIF('Phase II Pro Forma'!$F$6:$Z$6,'Official Summary'!E$7,'Phase II Pro Forma'!$F$49:$Z$49)+SUMIF('Phase III Pro Forma'!$F$6:$Z$6,'Official Summary'!E$7,'Phase III Pro Forma'!$F$49:$Z$49)</f>
        <v>0</v>
      </c>
      <c r="F9" s="735">
        <f ca="1">+SUMIF('Phase I Pro Forma'!$F$6:$Z$6,'Official Summary'!F$7,'Phase I Pro Forma'!$F$49:$Z$49)+SUMIF('Phase II Pro Forma'!$F$6:$Z$6,'Official Summary'!F$7,'Phase II Pro Forma'!$F$49:$Z$49)+SUMIF('Phase III Pro Forma'!$F$6:$Z$6,'Official Summary'!F$7,'Phase III Pro Forma'!$F$49:$Z$49)</f>
        <v>0</v>
      </c>
      <c r="G9" s="280">
        <f ca="1">+SUMIF('Phase I Pro Forma'!$F$6:$Z$6,'Official Summary'!G$7,'Phase I Pro Forma'!$F$49:$Z$49)+SUMIF('Phase II Pro Forma'!$F$6:$Z$6,'Official Summary'!G$7,'Phase II Pro Forma'!$F$49:$Z$49)+SUMIF('Phase III Pro Forma'!$F$6:$Z$6,'Official Summary'!G$7,'Phase III Pro Forma'!$F$49:$Z$49)</f>
        <v>1733115.0432993798</v>
      </c>
      <c r="H9" s="735">
        <f ca="1">+SUMIF('Phase I Pro Forma'!$F$6:$Z$6,'Official Summary'!H$7,'Phase I Pro Forma'!$F$49:$Z$49)+SUMIF('Phase II Pro Forma'!$F$6:$Z$6,'Official Summary'!H$7,'Phase II Pro Forma'!$F$49:$Z$49)+SUMIF('Phase III Pro Forma'!$F$6:$Z$6,'Official Summary'!H$7,'Phase III Pro Forma'!$F$49:$Z$49)</f>
        <v>3578220.0431357678</v>
      </c>
      <c r="I9" s="275">
        <f ca="1">+SUMIF('Phase I Pro Forma'!$F$6:$Z$6,'Official Summary'!I$7,'Phase I Pro Forma'!$F$49:$Z$49)+SUMIF('Phase II Pro Forma'!$F$6:$Z$6,'Official Summary'!I$7,'Phase II Pro Forma'!$F$49:$Z$49)+SUMIF('Phase III Pro Forma'!$F$6:$Z$6,'Official Summary'!I$7,'Phase III Pro Forma'!$F$49:$Z$49)</f>
        <v>3720824.9271058887</v>
      </c>
      <c r="J9" s="267">
        <f ca="1">+SUMIF('Phase I Pro Forma'!$F$6:$Z$6,'Official Summary'!J$7,'Phase I Pro Forma'!$F$49:$Z$49)+SUMIF('Phase II Pro Forma'!$F$6:$Z$6,'Official Summary'!J$7,'Phase II Pro Forma'!$F$49:$Z$49)+SUMIF('Phase III Pro Forma'!$F$6:$Z$6,'Official Summary'!J$7,'Phase III Pro Forma'!$F$49:$Z$49)</f>
        <v>3867707.9612626913</v>
      </c>
      <c r="K9" s="267">
        <f ca="1">+SUMIF('Phase I Pro Forma'!$F$6:$Z$6,'Official Summary'!K$7,'Phase I Pro Forma'!$F$49:$Z$49)+SUMIF('Phase II Pro Forma'!$F$6:$Z$6,'Official Summary'!K$7,'Phase II Pro Forma'!$F$49:$Z$49)+SUMIF('Phase III Pro Forma'!$F$6:$Z$6,'Official Summary'!K$7,'Phase III Pro Forma'!$F$49:$Z$49)</f>
        <v>3992006.8680114942</v>
      </c>
      <c r="L9" s="267">
        <f ca="1">+SUMIF('Phase I Pro Forma'!$F$6:$Z$6,'Official Summary'!L$7,'Phase I Pro Forma'!$F$49:$Z$49)+SUMIF('Phase II Pro Forma'!$F$6:$Z$6,'Official Summary'!L$7,'Phase II Pro Forma'!$F$49:$Z$49)+SUMIF('Phase III Pro Forma'!$F$6:$Z$6,'Official Summary'!L$7,'Phase III Pro Forma'!$F$49:$Z$49)</f>
        <v>8710275.1893196069</v>
      </c>
      <c r="M9" s="267">
        <f ca="1">+SUMIF('Phase I Pro Forma'!$F$6:$Z$6,'Official Summary'!M$7,'Phase I Pro Forma'!$F$49:$Z$49)+SUMIF('Phase II Pro Forma'!$F$6:$Z$6,'Official Summary'!M$7,'Phase II Pro Forma'!$F$49:$Z$49)+SUMIF('Phase III Pro Forma'!$F$6:$Z$6,'Official Summary'!M$7,'Phase III Pro Forma'!$F$49:$Z$49)</f>
        <v>13805988.173911814</v>
      </c>
      <c r="N9" s="289">
        <f ca="1">+SUMIF('Phase I Pro Forma'!$F$6:$Z$6,'Official Summary'!N$7,'Phase I Pro Forma'!$F$49:$Z$49)+SUMIF('Phase II Pro Forma'!$F$6:$Z$6,'Official Summary'!N$7,'Phase II Pro Forma'!$F$49:$Z$49)+SUMIF('Phase III Pro Forma'!$F$6:$Z$6,'Official Summary'!N$7,'Phase III Pro Forma'!$F$49:$Z$49)</f>
        <v>14327728.799773967</v>
      </c>
    </row>
    <row r="10" spans="2:16" ht="19" hidden="1" customHeight="1">
      <c r="B10" s="292" t="s">
        <v>408</v>
      </c>
      <c r="C10" s="293"/>
      <c r="D10" s="261" t="s">
        <v>467</v>
      </c>
      <c r="E10" s="285" t="s">
        <v>467</v>
      </c>
      <c r="F10" s="261" t="s">
        <v>467</v>
      </c>
      <c r="G10" s="281" t="s">
        <v>467</v>
      </c>
      <c r="H10" s="261" t="s">
        <v>467</v>
      </c>
      <c r="I10" s="276" t="s">
        <v>467</v>
      </c>
      <c r="J10" s="261" t="s">
        <v>467</v>
      </c>
      <c r="K10" s="261" t="s">
        <v>467</v>
      </c>
      <c r="L10" s="261" t="s">
        <v>467</v>
      </c>
      <c r="M10" s="261" t="s">
        <v>467</v>
      </c>
      <c r="N10" s="290" t="s">
        <v>467</v>
      </c>
    </row>
    <row r="11" spans="2:16" ht="19" hidden="1" customHeight="1">
      <c r="B11" s="292" t="s">
        <v>405</v>
      </c>
      <c r="C11" s="293"/>
      <c r="D11" s="261" t="s">
        <v>467</v>
      </c>
      <c r="E11" s="285" t="s">
        <v>467</v>
      </c>
      <c r="F11" s="261" t="s">
        <v>467</v>
      </c>
      <c r="G11" s="281" t="s">
        <v>467</v>
      </c>
      <c r="H11" s="261" t="s">
        <v>467</v>
      </c>
      <c r="I11" s="276" t="s">
        <v>467</v>
      </c>
      <c r="J11" s="261" t="s">
        <v>467</v>
      </c>
      <c r="K11" s="261" t="s">
        <v>467</v>
      </c>
      <c r="L11" s="261" t="s">
        <v>467</v>
      </c>
      <c r="M11" s="261" t="s">
        <v>467</v>
      </c>
      <c r="N11" s="290" t="s">
        <v>467</v>
      </c>
    </row>
    <row r="12" spans="2:16" ht="19" customHeight="1">
      <c r="B12" s="292" t="s">
        <v>1235</v>
      </c>
      <c r="C12" s="293"/>
      <c r="D12" s="261">
        <f>+SUMIF('Phase I Pro Forma'!$F$6:$Z$6,'Official Summary'!D$7,'Phase I Pro Forma'!$F$26:$Z$26)+SUMIF('Phase II Pro Forma'!$F$6:$Z$6,'Official Summary'!D$7,'Phase II Pro Forma'!$F$26:$Z$26)+SUMIF('Phase III Pro Forma'!$F$6:$Z$6,'Official Summary'!D$7,'Phase III Pro Forma'!$F$26:$Z$26)</f>
        <v>0</v>
      </c>
      <c r="E12" s="285">
        <f>+SUMIF('Phase I Pro Forma'!$F$6:$Z$6,'Official Summary'!E$7,'Phase I Pro Forma'!$F$26:$Z$26)+SUMIF('Phase II Pro Forma'!$F$6:$Z$6,'Official Summary'!E$7,'Phase II Pro Forma'!$F$26:$Z$26)+SUMIF('Phase III Pro Forma'!$F$6:$Z$6,'Official Summary'!E$7,'Phase III Pro Forma'!$F$26:$Z$26)</f>
        <v>0</v>
      </c>
      <c r="F12" s="261">
        <f ca="1">+SUMIF('Phase I Pro Forma'!$F$6:$Z$6,'Official Summary'!F$7,'Phase I Pro Forma'!$F$26:$Z$26)+SUMIF('Phase II Pro Forma'!$F$6:$Z$6,'Official Summary'!F$7,'Phase II Pro Forma'!$F$26:$Z$26)+SUMIF('Phase III Pro Forma'!$F$6:$Z$6,'Official Summary'!F$7,'Phase III Pro Forma'!$F$26:$Z$26)</f>
        <v>0</v>
      </c>
      <c r="G12" s="281">
        <f ca="1">+SUMIF('Phase I Pro Forma'!$F$6:$Z$6,'Official Summary'!G$7,'Phase I Pro Forma'!$F$26:$Z$26)+SUMIF('Phase II Pro Forma'!$F$6:$Z$6,'Official Summary'!G$7,'Phase II Pro Forma'!$F$26:$Z$26)+SUMIF('Phase III Pro Forma'!$F$6:$Z$6,'Official Summary'!G$7,'Phase III Pro Forma'!$F$26:$Z$26)</f>
        <v>3875784.4527389999</v>
      </c>
      <c r="H12" s="261">
        <f ca="1">+SUMIF('Phase I Pro Forma'!$F$6:$Z$6,'Official Summary'!H$7,'Phase I Pro Forma'!$F$26:$Z$26)+SUMIF('Phase II Pro Forma'!$F$6:$Z$6,'Official Summary'!H$7,'Phase II Pro Forma'!$F$26:$Z$26)+SUMIF('Phase III Pro Forma'!$F$6:$Z$6,'Official Summary'!H$7,'Phase III Pro Forma'!$F$26:$Z$26)</f>
        <v>7864206.2760263402</v>
      </c>
      <c r="I12" s="276">
        <f ca="1">+SUMIF('Phase I Pro Forma'!$F$6:$Z$6,'Official Summary'!I$7,'Phase I Pro Forma'!$F$26:$Z$26)+SUMIF('Phase II Pro Forma'!$F$6:$Z$6,'Official Summary'!I$7,'Phase II Pro Forma'!$F$26:$Z$26)+SUMIF('Phase III Pro Forma'!$F$6:$Z$6,'Official Summary'!I$7,'Phase III Pro Forma'!$F$26:$Z$26)</f>
        <v>7977850.4286905527</v>
      </c>
      <c r="J12" s="261">
        <f ca="1">+SUMIF('Phase I Pro Forma'!$F$6:$Z$6,'Official Summary'!J$7,'Phase I Pro Forma'!$F$26:$Z$26)+SUMIF('Phase II Pro Forma'!$F$6:$Z$6,'Official Summary'!J$7,'Phase II Pro Forma'!$F$26:$Z$26)+SUMIF('Phase III Pro Forma'!$F$6:$Z$6,'Official Summary'!J$7,'Phase III Pro Forma'!$F$26:$Z$26)</f>
        <v>8092484.085521481</v>
      </c>
      <c r="K12" s="261">
        <f ca="1">+SUMIF('Phase I Pro Forma'!$F$6:$Z$6,'Official Summary'!K$7,'Phase I Pro Forma'!$F$26:$Z$26)+SUMIF('Phase II Pro Forma'!$F$6:$Z$6,'Official Summary'!K$7,'Phase II Pro Forma'!$F$26:$Z$26)+SUMIF('Phase III Pro Forma'!$F$6:$Z$6,'Official Summary'!K$7,'Phase III Pro Forma'!$F$26:$Z$26)</f>
        <v>8208088.5002800105</v>
      </c>
      <c r="L12" s="261">
        <f ca="1">+SUMIF('Phase I Pro Forma'!$F$6:$Z$6,'Official Summary'!L$7,'Phase I Pro Forma'!$F$26:$Z$26)+SUMIF('Phase II Pro Forma'!$F$6:$Z$6,'Official Summary'!L$7,'Phase II Pro Forma'!$F$26:$Z$26)+SUMIF('Phase III Pro Forma'!$F$6:$Z$6,'Official Summary'!L$7,'Phase III Pro Forma'!$F$26:$Z$26)</f>
        <v>8324643.4987797793</v>
      </c>
      <c r="M12" s="261">
        <f ca="1">+SUMIF('Phase I Pro Forma'!$F$6:$Z$6,'Official Summary'!M$7,'Phase I Pro Forma'!$F$26:$Z$26)+SUMIF('Phase II Pro Forma'!$F$6:$Z$6,'Official Summary'!M$7,'Phase II Pro Forma'!$F$26:$Z$26)+SUMIF('Phase III Pro Forma'!$F$6:$Z$6,'Official Summary'!M$7,'Phase III Pro Forma'!$F$26:$Z$26)</f>
        <v>8442127.2145714127</v>
      </c>
      <c r="N12" s="290">
        <f ca="1">+SUMIF('Phase I Pro Forma'!$F$6:$Z$6,'Official Summary'!N$7,'Phase I Pro Forma'!$F$26:$Z$26)+SUMIF('Phase II Pro Forma'!$F$6:$Z$6,'Official Summary'!N$7,'Phase II Pro Forma'!$F$26:$Z$26)+SUMIF('Phase III Pro Forma'!$F$6:$Z$6,'Official Summary'!N$7,'Phase III Pro Forma'!$F$26:$Z$26)</f>
        <v>8560516.1169258207</v>
      </c>
    </row>
    <row r="13" spans="2:16" ht="19" hidden="1" customHeight="1">
      <c r="B13" s="292" t="s">
        <v>407</v>
      </c>
      <c r="C13" s="293"/>
      <c r="D13" s="261" t="s">
        <v>467</v>
      </c>
      <c r="E13" s="285" t="s">
        <v>467</v>
      </c>
      <c r="F13" s="261" t="s">
        <v>467</v>
      </c>
      <c r="G13" s="281" t="s">
        <v>467</v>
      </c>
      <c r="H13" s="261" t="s">
        <v>467</v>
      </c>
      <c r="I13" s="276" t="s">
        <v>467</v>
      </c>
      <c r="J13" s="261" t="s">
        <v>467</v>
      </c>
      <c r="K13" s="261" t="s">
        <v>467</v>
      </c>
      <c r="L13" s="261" t="s">
        <v>467</v>
      </c>
      <c r="M13" s="261" t="s">
        <v>467</v>
      </c>
      <c r="N13" s="290" t="s">
        <v>467</v>
      </c>
    </row>
    <row r="14" spans="2:16" ht="19" customHeight="1">
      <c r="B14" s="936" t="s">
        <v>1233</v>
      </c>
      <c r="C14" s="936"/>
      <c r="D14" s="261">
        <f ca="1">+SUMIF('Phase I Pro Forma'!$F$6:$Z$6,'Official Summary'!D$7,'Phase I Pro Forma'!$F$112:$Z$112)+SUMIF('Phase II Pro Forma'!$F$6:$Z$6,'Official Summary'!D$7,'Phase II Pro Forma'!$F$112:$Z$112)+SUMIF('Phase III Pro Forma'!$F$6:$Z$6,'Official Summary'!D$7,'Phase III Pro Forma'!$F$112:$Z$112)</f>
        <v>0</v>
      </c>
      <c r="E14" s="285">
        <f ca="1">+SUMIF('Phase I Pro Forma'!$F$6:$Z$6,'Official Summary'!E$7,'Phase I Pro Forma'!$F$112:$Z$112)+SUMIF('Phase II Pro Forma'!$F$6:$Z$6,'Official Summary'!E$7,'Phase II Pro Forma'!$F$112:$Z$112)+SUMIF('Phase III Pro Forma'!$F$6:$Z$6,'Official Summary'!E$7,'Phase III Pro Forma'!$F$112:$Z$112)</f>
        <v>0</v>
      </c>
      <c r="F14" s="261">
        <f ca="1">+SUMIF('Phase I Pro Forma'!$F$6:$Z$6,'Official Summary'!F$7,'Phase I Pro Forma'!$F$112:$Z$112)+SUMIF('Phase II Pro Forma'!$F$6:$Z$6,'Official Summary'!F$7,'Phase II Pro Forma'!$F$112:$Z$112)+SUMIF('Phase III Pro Forma'!$F$6:$Z$6,'Official Summary'!F$7,'Phase III Pro Forma'!$F$112:$Z$112)</f>
        <v>0</v>
      </c>
      <c r="G14" s="281">
        <f ca="1">+SUMIF('Phase I Pro Forma'!$F$6:$Z$6,'Official Summary'!G$7,'Phase I Pro Forma'!$F$112:$Z$112)+SUMIF('Phase II Pro Forma'!$F$6:$Z$6,'Official Summary'!G$7,'Phase II Pro Forma'!$F$112:$Z$112)+SUMIF('Phase III Pro Forma'!$F$6:$Z$6,'Official Summary'!G$7,'Phase III Pro Forma'!$F$112:$Z$112)</f>
        <v>2991619.2879024069</v>
      </c>
      <c r="H14" s="261">
        <f ca="1">+SUMIF('Phase I Pro Forma'!$F$6:$Z$6,'Official Summary'!H$7,'Phase I Pro Forma'!$F$112:$Z$112)+SUMIF('Phase II Pro Forma'!$F$6:$Z$6,'Official Summary'!H$7,'Phase II Pro Forma'!$F$112:$Z$112)+SUMIF('Phase III Pro Forma'!$F$6:$Z$6,'Official Summary'!H$7,'Phase III Pro Forma'!$F$112:$Z$112)</f>
        <v>5974235.0828567743</v>
      </c>
      <c r="I14" s="276">
        <f ca="1">+SUMIF('Phase I Pro Forma'!$F$6:$Z$6,'Official Summary'!I$7,'Phase I Pro Forma'!$F$112:$Z$112)+SUMIF('Phase II Pro Forma'!$F$6:$Z$6,'Official Summary'!I$7,'Phase II Pro Forma'!$F$112:$Z$112)+SUMIF('Phase III Pro Forma'!$F$6:$Z$6,'Official Summary'!I$7,'Phase III Pro Forma'!$F$112:$Z$112)</f>
        <v>5969334.0378773222</v>
      </c>
      <c r="J14" s="261">
        <f ca="1">+SUMIF('Phase I Pro Forma'!$F$6:$Z$6,'Official Summary'!J$7,'Phase I Pro Forma'!$F$112:$Z$112)+SUMIF('Phase II Pro Forma'!$F$6:$Z$6,'Official Summary'!J$7,'Phase II Pro Forma'!$F$112:$Z$112)+SUMIF('Phase III Pro Forma'!$F$6:$Z$6,'Official Summary'!J$7,'Phase III Pro Forma'!$F$112:$Z$112)</f>
        <v>6599696.7903479738</v>
      </c>
      <c r="K14" s="261">
        <f ca="1">+SUMIF('Phase I Pro Forma'!$F$6:$Z$6,'Official Summary'!K$7,'Phase I Pro Forma'!$F$112:$Z$112)+SUMIF('Phase II Pro Forma'!$F$6:$Z$6,'Official Summary'!K$7,'Phase II Pro Forma'!$F$112:$Z$112)+SUMIF('Phase III Pro Forma'!$F$6:$Z$6,'Official Summary'!K$7,'Phase III Pro Forma'!$F$112:$Z$112)</f>
        <v>6590167.1709395815</v>
      </c>
      <c r="L14" s="261">
        <f ca="1">+SUMIF('Phase I Pro Forma'!$F$6:$Z$6,'Official Summary'!L$7,'Phase I Pro Forma'!$F$112:$Z$112)+SUMIF('Phase II Pro Forma'!$F$6:$Z$6,'Official Summary'!L$7,'Phase II Pro Forma'!$F$112:$Z$112)+SUMIF('Phase III Pro Forma'!$F$6:$Z$6,'Official Summary'!L$7,'Phase III Pro Forma'!$F$112:$Z$112)</f>
        <v>19381007.301873837</v>
      </c>
      <c r="M14" s="261">
        <f ca="1">+SUMIF('Phase I Pro Forma'!$F$6:$Z$6,'Official Summary'!M$7,'Phase I Pro Forma'!$F$112:$Z$112)+SUMIF('Phase II Pro Forma'!$F$6:$Z$6,'Official Summary'!M$7,'Phase II Pro Forma'!$F$112:$Z$112)+SUMIF('Phase III Pro Forma'!$F$6:$Z$6,'Official Summary'!M$7,'Phase III Pro Forma'!$F$112:$Z$112)</f>
        <v>32152168.385627523</v>
      </c>
      <c r="N14" s="290">
        <f ca="1">+SUMIF('Phase I Pro Forma'!$F$6:$Z$6,'Official Summary'!N$7,'Phase I Pro Forma'!$F$112:$Z$112)+SUMIF('Phase II Pro Forma'!$F$6:$Z$6,'Official Summary'!N$7,'Phase II Pro Forma'!$F$112:$Z$112)+SUMIF('Phase III Pro Forma'!$F$6:$Z$6,'Official Summary'!N$7,'Phase III Pro Forma'!$F$112:$Z$112)</f>
        <v>32121966.094926279</v>
      </c>
      <c r="P14" s="732"/>
    </row>
    <row r="15" spans="2:16" ht="19" customHeight="1">
      <c r="B15" s="936" t="s">
        <v>25</v>
      </c>
      <c r="C15" s="936"/>
      <c r="D15" s="261">
        <f ca="1">+SUMIF('Phase I Pro Forma'!$F$6:$Z$6,'Official Summary'!D$7,'Phase I Pro Forma'!$F$70:$Z$70)+SUMIF('Phase II Pro Forma'!$F$6:$Z$6,'Official Summary'!D$7,'Phase II Pro Forma'!$F$70:$Z$70)+SUMIF('Phase III Pro Forma'!$F$6:$Z$6,'Official Summary'!D$7,'Phase III Pro Forma'!$F$70:$Z$70)</f>
        <v>0</v>
      </c>
      <c r="E15" s="285">
        <f ca="1">+SUMIF('Phase I Pro Forma'!$F$6:$Z$6,'Official Summary'!E$7,'Phase I Pro Forma'!$F$70:$Z$70)+SUMIF('Phase II Pro Forma'!$F$6:$Z$6,'Official Summary'!E$7,'Phase II Pro Forma'!$F$70:$Z$70)+SUMIF('Phase III Pro Forma'!$F$6:$Z$6,'Official Summary'!E$7,'Phase III Pro Forma'!$F$70:$Z$70)</f>
        <v>0</v>
      </c>
      <c r="F15" s="261">
        <f ca="1">+SUMIF('Phase I Pro Forma'!$F$6:$Z$6,'Official Summary'!F$7,'Phase I Pro Forma'!$F$70:$Z$70)+SUMIF('Phase II Pro Forma'!$F$6:$Z$6,'Official Summary'!F$7,'Phase II Pro Forma'!$F$70:$Z$70)+SUMIF('Phase III Pro Forma'!$F$6:$Z$6,'Official Summary'!F$7,'Phase III Pro Forma'!$F$70:$Z$70)</f>
        <v>0</v>
      </c>
      <c r="G15" s="281">
        <f ca="1">+SUMIF('Phase I Pro Forma'!$F$6:$Z$6,'Official Summary'!G$7,'Phase I Pro Forma'!$F$70:$Z$70)+SUMIF('Phase II Pro Forma'!$F$6:$Z$6,'Official Summary'!G$7,'Phase II Pro Forma'!$F$70:$Z$70)+SUMIF('Phase III Pro Forma'!$F$6:$Z$6,'Official Summary'!G$7,'Phase III Pro Forma'!$F$70:$Z$70)</f>
        <v>8213317.1623778688</v>
      </c>
      <c r="H15" s="261">
        <f ca="1">+SUMIF('Phase I Pro Forma'!$F$6:$Z$6,'Official Summary'!H$7,'Phase I Pro Forma'!$F$70:$Z$70)+SUMIF('Phase II Pro Forma'!$F$6:$Z$6,'Official Summary'!H$7,'Phase II Pro Forma'!$F$70:$Z$70)+SUMIF('Phase III Pro Forma'!$F$6:$Z$6,'Official Summary'!H$7,'Phase III Pro Forma'!$F$70:$Z$70)</f>
        <v>16385237.690925436</v>
      </c>
      <c r="I15" s="276">
        <f ca="1">+SUMIF('Phase I Pro Forma'!$F$6:$Z$6,'Official Summary'!I$7,'Phase I Pro Forma'!$F$70:$Z$70)+SUMIF('Phase II Pro Forma'!$F$6:$Z$6,'Official Summary'!I$7,'Phase II Pro Forma'!$F$70:$Z$70)+SUMIF('Phase III Pro Forma'!$F$6:$Z$6,'Official Summary'!I$7,'Phase III Pro Forma'!$F$70:$Z$70)</f>
        <v>16366576.277662888</v>
      </c>
      <c r="J15" s="261">
        <f ca="1">+SUMIF('Phase I Pro Forma'!$F$6:$Z$6,'Official Summary'!J$7,'Phase I Pro Forma'!$F$70:$Z$70)+SUMIF('Phase II Pro Forma'!$F$6:$Z$6,'Official Summary'!J$7,'Phase II Pro Forma'!$F$70:$Z$70)+SUMIF('Phase III Pro Forma'!$F$6:$Z$6,'Official Summary'!J$7,'Phase III Pro Forma'!$F$70:$Z$70)</f>
        <v>18166805.162001748</v>
      </c>
      <c r="K15" s="261">
        <f ca="1">+SUMIF('Phase I Pro Forma'!$F$6:$Z$6,'Official Summary'!K$7,'Phase I Pro Forma'!$F$70:$Z$70)+SUMIF('Phase II Pro Forma'!$F$6:$Z$6,'Official Summary'!K$7,'Phase II Pro Forma'!$F$70:$Z$70)+SUMIF('Phase III Pro Forma'!$F$6:$Z$6,'Official Summary'!K$7,'Phase III Pro Forma'!$F$70:$Z$70)</f>
        <v>18123262.936655965</v>
      </c>
      <c r="L15" s="261">
        <f ca="1">+SUMIF('Phase I Pro Forma'!$F$6:$Z$6,'Official Summary'!L$7,'Phase I Pro Forma'!$F$70:$Z$70)+SUMIF('Phase II Pro Forma'!$F$6:$Z$6,'Official Summary'!L$7,'Phase II Pro Forma'!$F$70:$Z$70)+SUMIF('Phase III Pro Forma'!$F$6:$Z$6,'Official Summary'!L$7,'Phase III Pro Forma'!$F$70:$Z$70)</f>
        <v>18102871.106527958</v>
      </c>
      <c r="M15" s="261">
        <f ca="1">+SUMIF('Phase I Pro Forma'!$F$6:$Z$6,'Official Summary'!M$7,'Phase I Pro Forma'!$F$70:$Z$70)+SUMIF('Phase II Pro Forma'!$F$6:$Z$6,'Official Summary'!M$7,'Phase II Pro Forma'!$F$70:$Z$70)+SUMIF('Phase III Pro Forma'!$F$6:$Z$6,'Official Summary'!M$7,'Phase III Pro Forma'!$F$70:$Z$70)</f>
        <v>18081867.521490589</v>
      </c>
      <c r="N15" s="290">
        <f ca="1">+SUMIF('Phase I Pro Forma'!$F$6:$Z$6,'Official Summary'!N$7,'Phase I Pro Forma'!$F$70:$Z$70)+SUMIF('Phase II Pro Forma'!$F$6:$Z$6,'Official Summary'!N$7,'Phase II Pro Forma'!$F$70:$Z$70)+SUMIF('Phase III Pro Forma'!$F$6:$Z$6,'Official Summary'!N$7,'Phase III Pro Forma'!$F$70:$Z$70)</f>
        <v>18036014.610247862</v>
      </c>
    </row>
    <row r="16" spans="2:16" ht="19" customHeight="1">
      <c r="B16" s="293" t="s">
        <v>827</v>
      </c>
      <c r="C16" s="294"/>
      <c r="D16" s="261">
        <f ca="1">+SUMIF('Phase I Pro Forma'!$F$6:$Z$6,'Official Summary'!D$7,'Phase I Pro Forma'!$F$91:$Z$91)+SUMIF('Phase II Pro Forma'!$F$6:$Z$6,'Official Summary'!D$7,'Phase II Pro Forma'!$F$91:$Z$91)+SUMIF('Phase III Pro Forma'!$F$6:$Z$6,'Official Summary'!D$7,'Phase III Pro Forma'!$F$91:$Z$91)</f>
        <v>0</v>
      </c>
      <c r="E16" s="285">
        <f ca="1">+SUMIF('Phase I Pro Forma'!$F$6:$Z$6,'Official Summary'!E$7,'Phase I Pro Forma'!$F$91:$Z$91)+SUMIF('Phase II Pro Forma'!$F$6:$Z$6,'Official Summary'!E$7,'Phase II Pro Forma'!$F$91:$Z$91)+SUMIF('Phase III Pro Forma'!$F$6:$Z$6,'Official Summary'!E$7,'Phase III Pro Forma'!$F$91:$Z$91)</f>
        <v>0</v>
      </c>
      <c r="F16" s="261">
        <f ca="1">+SUMIF('Phase I Pro Forma'!$F$6:$Z$6,'Official Summary'!F$7,'Phase I Pro Forma'!$F$91:$Z$91)+SUMIF('Phase II Pro Forma'!$F$6:$Z$6,'Official Summary'!F$7,'Phase II Pro Forma'!$F$91:$Z$91)+SUMIF('Phase III Pro Forma'!$F$6:$Z$6,'Official Summary'!F$7,'Phase III Pro Forma'!$F$91:$Z$91)</f>
        <v>0</v>
      </c>
      <c r="G16" s="281">
        <f ca="1">+SUMIF('Phase I Pro Forma'!$F$6:$Z$6,'Official Summary'!G$7,'Phase I Pro Forma'!$F$91:$Z$91)+SUMIF('Phase II Pro Forma'!$F$6:$Z$6,'Official Summary'!G$7,'Phase II Pro Forma'!$F$91:$Z$91)+SUMIF('Phase III Pro Forma'!$F$6:$Z$6,'Official Summary'!G$7,'Phase III Pro Forma'!$F$91:$Z$91)</f>
        <v>0</v>
      </c>
      <c r="H16" s="261">
        <f ca="1">+SUMIF('Phase I Pro Forma'!$F$6:$Z$6,'Official Summary'!H$7,'Phase I Pro Forma'!$F$91:$Z$91)+SUMIF('Phase II Pro Forma'!$F$6:$Z$6,'Official Summary'!H$7,'Phase II Pro Forma'!$F$91:$Z$91)+SUMIF('Phase III Pro Forma'!$F$6:$Z$6,'Official Summary'!H$7,'Phase III Pro Forma'!$F$91:$Z$91)</f>
        <v>0</v>
      </c>
      <c r="I16" s="276">
        <f ca="1">+SUMIF('Phase I Pro Forma'!$F$6:$Z$6,'Official Summary'!I$7,'Phase I Pro Forma'!$F$91:$Z$91)+SUMIF('Phase II Pro Forma'!$F$6:$Z$6,'Official Summary'!I$7,'Phase II Pro Forma'!$F$91:$Z$91)+SUMIF('Phase III Pro Forma'!$F$6:$Z$6,'Official Summary'!I$7,'Phase III Pro Forma'!$F$91:$Z$91)</f>
        <v>4967587.4999999981</v>
      </c>
      <c r="J16" s="261">
        <f ca="1">+SUMIF('Phase I Pro Forma'!$F$6:$Z$6,'Official Summary'!J$7,'Phase I Pro Forma'!$F$91:$Z$91)+SUMIF('Phase II Pro Forma'!$F$6:$Z$6,'Official Summary'!J$7,'Phase II Pro Forma'!$F$91:$Z$91)+SUMIF('Phase III Pro Forma'!$F$6:$Z$6,'Official Summary'!J$7,'Phase III Pro Forma'!$F$91:$Z$91)</f>
        <v>9935174.9999999963</v>
      </c>
      <c r="K16" s="261">
        <f ca="1">+SUMIF('Phase I Pro Forma'!$F$6:$Z$6,'Official Summary'!K$7,'Phase I Pro Forma'!$F$91:$Z$91)+SUMIF('Phase II Pro Forma'!$F$6:$Z$6,'Official Summary'!K$7,'Phase II Pro Forma'!$F$91:$Z$91)+SUMIF('Phase III Pro Forma'!$F$6:$Z$6,'Official Summary'!K$7,'Phase III Pro Forma'!$F$91:$Z$91)</f>
        <v>9935174.9999999963</v>
      </c>
      <c r="L16" s="261">
        <f ca="1">+SUMIF('Phase I Pro Forma'!$F$6:$Z$6,'Official Summary'!L$7,'Phase I Pro Forma'!$F$91:$Z$91)+SUMIF('Phase II Pro Forma'!$F$6:$Z$6,'Official Summary'!L$7,'Phase II Pro Forma'!$F$91:$Z$91)+SUMIF('Phase III Pro Forma'!$F$6:$Z$6,'Official Summary'!L$7,'Phase III Pro Forma'!$F$91:$Z$91)</f>
        <v>10431933.750199996</v>
      </c>
      <c r="M16" s="261">
        <f ca="1">+SUMIF('Phase I Pro Forma'!$F$6:$Z$6,'Official Summary'!M$7,'Phase I Pro Forma'!$F$91:$Z$91)+SUMIF('Phase II Pro Forma'!$F$6:$Z$6,'Official Summary'!M$7,'Phase II Pro Forma'!$F$91:$Z$91)+SUMIF('Phase III Pro Forma'!$F$6:$Z$6,'Official Summary'!M$7,'Phase III Pro Forma'!$F$91:$Z$91)</f>
        <v>10431933.750399996</v>
      </c>
      <c r="N16" s="290">
        <f ca="1">+SUMIF('Phase I Pro Forma'!$F$6:$Z$6,'Official Summary'!N$7,'Phase I Pro Forma'!$F$91:$Z$91)+SUMIF('Phase II Pro Forma'!$F$6:$Z$6,'Official Summary'!N$7,'Phase II Pro Forma'!$F$91:$Z$91)+SUMIF('Phase III Pro Forma'!$F$6:$Z$6,'Official Summary'!N$7,'Phase III Pro Forma'!$F$91:$Z$91)</f>
        <v>10431933.750399996</v>
      </c>
    </row>
    <row r="17" spans="2:14" ht="19" customHeight="1">
      <c r="B17" s="293" t="s">
        <v>26</v>
      </c>
      <c r="C17" s="293"/>
      <c r="D17" s="261">
        <f ca="1">+SUMIF('Phase I Pro Forma'!$F$6:$Z$6,'Official Summary'!D$7,'Phase I Pro Forma'!$F$206:$Z$206)+SUMIF('Phase II Pro Forma'!$F$6:$Z$6,'Official Summary'!D$7,'Phase II Pro Forma'!$F$207:$Z$207)+SUMIF('Phase III Pro Forma'!$F$6:$Z$6,'Official Summary'!D$7,'Phase III Pro Forma'!$F$206:$Z$206)</f>
        <v>0</v>
      </c>
      <c r="E17" s="285">
        <f ca="1">+SUMIF('Phase I Pro Forma'!$F$6:$Z$6,'Official Summary'!E$7,'Phase I Pro Forma'!$F$206:$Z$206)+SUMIF('Phase II Pro Forma'!$F$6:$Z$6,'Official Summary'!E$7,'Phase II Pro Forma'!$F$207:$Z$207)+SUMIF('Phase III Pro Forma'!$F$6:$Z$6,'Official Summary'!E$7,'Phase III Pro Forma'!$F$206:$Z$206)</f>
        <v>0</v>
      </c>
      <c r="F17" s="261">
        <f ca="1">+SUMIF('Phase I Pro Forma'!$F$6:$Z$6,'Official Summary'!F$7,'Phase I Pro Forma'!$F$206:$Z$206)+SUMIF('Phase II Pro Forma'!$F$6:$Z$6,'Official Summary'!F$7,'Phase II Pro Forma'!$F$207:$Z$207)+SUMIF('Phase III Pro Forma'!$F$6:$Z$6,'Official Summary'!F$7,'Phase III Pro Forma'!$F$206:$Z$206)</f>
        <v>0</v>
      </c>
      <c r="G17" s="281">
        <f ca="1">+SUMIF('Phase I Pro Forma'!$F$6:$Z$6,'Official Summary'!G$7,'Phase I Pro Forma'!$F$206:$Z$206)+SUMIF('Phase II Pro Forma'!$F$6:$Z$6,'Official Summary'!G$7,'Phase II Pro Forma'!$F$207:$Z$207)+SUMIF('Phase III Pro Forma'!$F$6:$Z$6,'Official Summary'!G$7,'Phase III Pro Forma'!$F$206:$Z$206)</f>
        <v>6.0299160151393381E-2</v>
      </c>
      <c r="H17" s="261">
        <f ca="1">+SUMIF('Phase I Pro Forma'!$F$6:$Z$6,'Official Summary'!H$7,'Phase I Pro Forma'!$F$206:$Z$206)+SUMIF('Phase II Pro Forma'!$F$6:$Z$6,'Official Summary'!H$7,'Phase II Pro Forma'!$F$207:$Z$207)+SUMIF('Phase III Pro Forma'!$F$6:$Z$6,'Official Summary'!H$7,'Phase III Pro Forma'!$F$206:$Z$206)</f>
        <v>0.13842171695884242</v>
      </c>
      <c r="I17" s="276">
        <f ca="1">+SUMIF('Phase I Pro Forma'!$F$6:$Z$6,'Official Summary'!I$7,'Phase I Pro Forma'!$F$206:$Z$206)+SUMIF('Phase II Pro Forma'!$F$6:$Z$6,'Official Summary'!I$7,'Phase II Pro Forma'!$F$207:$Z$207)+SUMIF('Phase III Pro Forma'!$F$6:$Z$6,'Official Summary'!I$7,'Phase III Pro Forma'!$F$206:$Z$206)</f>
        <v>0.14897307376701932</v>
      </c>
      <c r="J17" s="261">
        <f ca="1">+SUMIF('Phase I Pro Forma'!$F$6:$Z$6,'Official Summary'!J$7,'Phase I Pro Forma'!$F$206:$Z$206)+SUMIF('Phase II Pro Forma'!$F$6:$Z$6,'Official Summary'!J$7,'Phase II Pro Forma'!$F$207:$Z$207)+SUMIF('Phase III Pro Forma'!$F$6:$Z$6,'Official Summary'!J$7,'Phase III Pro Forma'!$F$206:$Z$206)</f>
        <v>0.15757182695884248</v>
      </c>
      <c r="K17" s="261">
        <f ca="1">+SUMIF('Phase I Pro Forma'!$F$6:$Z$6,'Official Summary'!K$7,'Phase I Pro Forma'!$F$206:$Z$206)+SUMIF('Phase II Pro Forma'!$F$6:$Z$6,'Official Summary'!K$7,'Phase II Pro Forma'!$F$207:$Z$207)+SUMIF('Phase III Pro Forma'!$F$6:$Z$6,'Official Summary'!K$7,'Phase III Pro Forma'!$F$206:$Z$206)</f>
        <v>0.15506445653937301</v>
      </c>
      <c r="L17" s="261">
        <f ca="1">+SUMIF('Phase I Pro Forma'!$F$6:$Z$6,'Official Summary'!L$7,'Phase I Pro Forma'!$F$206:$Z$206)+SUMIF('Phase II Pro Forma'!$F$6:$Z$6,'Official Summary'!L$7,'Phase II Pro Forma'!$F$207:$Z$207)+SUMIF('Phase III Pro Forma'!$F$6:$Z$6,'Official Summary'!L$7,'Phase III Pro Forma'!$F$206:$Z$206)</f>
        <v>0.16030899686110225</v>
      </c>
      <c r="M17" s="261">
        <f ca="1">+SUMIF('Phase I Pro Forma'!$F$6:$Z$6,'Official Summary'!M$7,'Phase I Pro Forma'!$F$206:$Z$206)+SUMIF('Phase II Pro Forma'!$F$6:$Z$6,'Official Summary'!M$7,'Phase II Pro Forma'!$F$207:$Z$207)+SUMIF('Phase III Pro Forma'!$F$6:$Z$6,'Official Summary'!M$7,'Phase III Pro Forma'!$F$206:$Z$206)</f>
        <v>0.16728116968283149</v>
      </c>
      <c r="N17" s="290">
        <f ca="1">+SUMIF('Phase I Pro Forma'!$F$6:$Z$6,'Official Summary'!N$7,'Phase I Pro Forma'!$F$206:$Z$206)+SUMIF('Phase II Pro Forma'!$F$6:$Z$6,'Official Summary'!N$7,'Phase II Pro Forma'!$F$207:$Z$207)+SUMIF('Phase III Pro Forma'!$F$6:$Z$6,'Official Summary'!N$7,'Phase III Pro Forma'!$F$206:$Z$206)</f>
        <v>0.16676601805379185</v>
      </c>
    </row>
    <row r="18" spans="2:14" ht="19" customHeight="1">
      <c r="B18" s="293" t="s">
        <v>474</v>
      </c>
      <c r="C18" s="293"/>
      <c r="D18" s="261">
        <f ca="1">+SUMIF('Phase I Pro Forma'!$F$6:$Z$6,'Official Summary'!D$7,'Phase I Pro Forma'!$F$134:$Z$134)+SUMIF('Phase II Pro Forma'!$F$6:$Z$6,'Official Summary'!D$7,'Phase II Pro Forma'!$F$134:$Z$134)+SUMIF('Phase III Pro Forma'!$F$6:$Z$6,'Official Summary'!D$7,'Phase III Pro Forma'!$F$134:$Z$134)</f>
        <v>0</v>
      </c>
      <c r="E18" s="285">
        <f ca="1">+SUMIF('Phase I Pro Forma'!$F$6:$Z$6,'Official Summary'!E$7,'Phase I Pro Forma'!$F$134:$Z$134)+SUMIF('Phase II Pro Forma'!$F$6:$Z$6,'Official Summary'!E$7,'Phase II Pro Forma'!$F$134:$Z$134)+SUMIF('Phase III Pro Forma'!$F$6:$Z$6,'Official Summary'!E$7,'Phase III Pro Forma'!$F$134:$Z$134)</f>
        <v>0</v>
      </c>
      <c r="F18" s="261">
        <f ca="1">+SUMIF('Phase I Pro Forma'!$F$6:$Z$6,'Official Summary'!F$7,'Phase I Pro Forma'!$F$134:$Z$134)+SUMIF('Phase II Pro Forma'!$F$6:$Z$6,'Official Summary'!F$7,'Phase II Pro Forma'!$F$134:$Z$134)+SUMIF('Phase III Pro Forma'!$F$6:$Z$6,'Official Summary'!F$7,'Phase III Pro Forma'!$F$134:$Z$134)</f>
        <v>0</v>
      </c>
      <c r="G18" s="281">
        <f ca="1">+SUMIF('Phase I Pro Forma'!$F$6:$Z$6,'Official Summary'!G$7,'Phase I Pro Forma'!$F$134:$Z$134)+SUMIF('Phase II Pro Forma'!$F$6:$Z$6,'Official Summary'!G$7,'Phase II Pro Forma'!$F$134:$Z$134)+SUMIF('Phase III Pro Forma'!$F$6:$Z$6,'Official Summary'!G$7,'Phase III Pro Forma'!$F$134:$Z$134)</f>
        <v>65396.211901790812</v>
      </c>
      <c r="H18" s="261">
        <f ca="1">+SUMIF('Phase I Pro Forma'!$F$6:$Z$6,'Official Summary'!H$7,'Phase I Pro Forma'!$F$134:$Z$134)+SUMIF('Phase II Pro Forma'!$F$6:$Z$6,'Official Summary'!H$7,'Phase II Pro Forma'!$F$134:$Z$134)+SUMIF('Phase III Pro Forma'!$F$6:$Z$6,'Official Summary'!H$7,'Phase III Pro Forma'!$F$134:$Z$134)</f>
        <v>128959.92635958665</v>
      </c>
      <c r="I18" s="276">
        <f ca="1">+SUMIF('Phase I Pro Forma'!$F$6:$Z$6,'Official Summary'!I$7,'Phase I Pro Forma'!$F$134:$Z$134)+SUMIF('Phase II Pro Forma'!$F$6:$Z$6,'Official Summary'!I$7,'Phase II Pro Forma'!$F$134:$Z$134)+SUMIF('Phase III Pro Forma'!$F$6:$Z$6,'Official Summary'!I$7,'Phase III Pro Forma'!$F$134:$Z$134)</f>
        <v>127884.99500115616</v>
      </c>
      <c r="J18" s="261">
        <f ca="1">+SUMIF('Phase I Pro Forma'!$F$6:$Z$6,'Official Summary'!J$7,'Phase I Pro Forma'!$F$134:$Z$134)+SUMIF('Phase II Pro Forma'!$F$6:$Z$6,'Official Summary'!J$7,'Phase II Pro Forma'!$F$134:$Z$134)+SUMIF('Phase III Pro Forma'!$F$6:$Z$6,'Official Summary'!J$7,'Phase III Pro Forma'!$F$134:$Z$134)</f>
        <v>126651.11112824858</v>
      </c>
      <c r="K18" s="261">
        <f ca="1">+SUMIF('Phase I Pro Forma'!$F$6:$Z$6,'Official Summary'!K$7,'Phase I Pro Forma'!$F$134:$Z$134)+SUMIF('Phase II Pro Forma'!$F$6:$Z$6,'Official Summary'!K$7,'Phase II Pro Forma'!$F$134:$Z$134)+SUMIF('Phase III Pro Forma'!$F$6:$Z$6,'Official Summary'!K$7,'Phase III Pro Forma'!$F$134:$Z$134)</f>
        <v>124323.30565489412</v>
      </c>
      <c r="L18" s="261">
        <f ca="1">+SUMIF('Phase I Pro Forma'!$F$6:$Z$6,'Official Summary'!L$7,'Phase I Pro Forma'!$F$134:$Z$134)+SUMIF('Phase II Pro Forma'!$F$6:$Z$6,'Official Summary'!L$7,'Phase II Pro Forma'!$F$134:$Z$134)+SUMIF('Phase III Pro Forma'!$F$6:$Z$6,'Official Summary'!L$7,'Phase III Pro Forma'!$F$134:$Z$134)</f>
        <v>459893.69067419093</v>
      </c>
      <c r="M18" s="261">
        <f ca="1">+SUMIF('Phase I Pro Forma'!$F$6:$Z$6,'Official Summary'!M$7,'Phase I Pro Forma'!$F$134:$Z$134)+SUMIF('Phase II Pro Forma'!$F$6:$Z$6,'Official Summary'!M$7,'Phase II Pro Forma'!$F$134:$Z$134)+SUMIF('Phase III Pro Forma'!$F$6:$Z$6,'Official Summary'!M$7,'Phase III Pro Forma'!$F$134:$Z$134)</f>
        <v>805207.37627062819</v>
      </c>
      <c r="N18" s="290">
        <f ca="1">+SUMIF('Phase I Pro Forma'!$F$6:$Z$6,'Official Summary'!N$7,'Phase I Pro Forma'!$F$134:$Z$134)+SUMIF('Phase II Pro Forma'!$F$6:$Z$6,'Official Summary'!N$7,'Phase II Pro Forma'!$F$134:$Z$134)+SUMIF('Phase III Pro Forma'!$F$6:$Z$6,'Official Summary'!N$7,'Phase III Pro Forma'!$F$134:$Z$134)</f>
        <v>812181.3040584164</v>
      </c>
    </row>
    <row r="19" spans="2:14" ht="19" customHeight="1">
      <c r="B19" s="293" t="s">
        <v>48</v>
      </c>
      <c r="C19" s="293"/>
      <c r="D19" s="261" t="s">
        <v>467</v>
      </c>
      <c r="E19" s="285" t="s">
        <v>467</v>
      </c>
      <c r="F19" s="261" t="s">
        <v>467</v>
      </c>
      <c r="G19" s="281" t="s">
        <v>467</v>
      </c>
      <c r="H19" s="261" t="s">
        <v>467</v>
      </c>
      <c r="I19" s="276" t="s">
        <v>467</v>
      </c>
      <c r="J19" s="261" t="s">
        <v>467</v>
      </c>
      <c r="K19" s="261" t="s">
        <v>467</v>
      </c>
      <c r="L19" s="261" t="s">
        <v>467</v>
      </c>
      <c r="M19" s="261" t="s">
        <v>467</v>
      </c>
      <c r="N19" s="290" t="s">
        <v>467</v>
      </c>
    </row>
    <row r="20" spans="2:14" ht="19" customHeight="1">
      <c r="B20" s="293" t="s">
        <v>710</v>
      </c>
      <c r="C20" s="294"/>
      <c r="D20" s="261">
        <f>+SUMIF('Phase I Pro Forma'!$F$6:$Z$6,'Official Summary'!D$7,'Phase I Pro Forma'!$F$251:$Z$251)+SUMIF('Phase II Pro Forma'!$F$6:$Z$6,'Official Summary'!D$7,'Phase II Pro Forma'!$F$253:$Z$253)+SUMIF('Phase III Pro Forma'!$F$6:$Z$6,'Official Summary'!D$7,'Phase III Pro Forma'!$F$251:$Z$251)</f>
        <v>0</v>
      </c>
      <c r="E20" s="285">
        <f>+SUMIF('Phase I Pro Forma'!$F$6:$Z$6,'Official Summary'!E$7,'Phase I Pro Forma'!$F$251:$Z$251)+SUMIF('Phase II Pro Forma'!$F$6:$Z$6,'Official Summary'!E$7,'Phase II Pro Forma'!$F$253:$Z$253)+SUMIF('Phase III Pro Forma'!$F$6:$Z$6,'Official Summary'!E$7,'Phase III Pro Forma'!$F$251:$Z$251)</f>
        <v>0</v>
      </c>
      <c r="F20" s="261">
        <f>+SUMIF('Phase I Pro Forma'!$F$6:$Z$6,'Official Summary'!F$7,'Phase I Pro Forma'!$F$251:$Z$251)+SUMIF('Phase II Pro Forma'!$F$6:$Z$6,'Official Summary'!F$7,'Phase II Pro Forma'!$F$253:$Z$253)+SUMIF('Phase III Pro Forma'!$F$6:$Z$6,'Official Summary'!F$7,'Phase III Pro Forma'!$F$251:$Z$251)</f>
        <v>0</v>
      </c>
      <c r="G20" s="281">
        <f ca="1">+SUMIF('Phase I Pro Forma'!$F$6:$Z$6,'Official Summary'!G$7,'Phase I Pro Forma'!$F$251:$Z$251)+SUMIF('Phase II Pro Forma'!$F$6:$Z$6,'Official Summary'!G$7,'Phase II Pro Forma'!$F$253:$Z$253)+SUMIF('Phase III Pro Forma'!$F$6:$Z$6,'Official Summary'!G$7,'Phase III Pro Forma'!$F$251:$Z$251)</f>
        <v>0</v>
      </c>
      <c r="H20" s="261">
        <f ca="1">+SUMIF('Phase I Pro Forma'!$F$6:$Z$6,'Official Summary'!H$7,'Phase I Pro Forma'!$F$251:$Z$251)+SUMIF('Phase II Pro Forma'!$F$6:$Z$6,'Official Summary'!H$7,'Phase II Pro Forma'!$F$253:$Z$253)+SUMIF('Phase III Pro Forma'!$F$6:$Z$6,'Official Summary'!H$7,'Phase III Pro Forma'!$F$251:$Z$251)</f>
        <v>0</v>
      </c>
      <c r="I20" s="276">
        <f ca="1">+SUMIF('Phase I Pro Forma'!$F$6:$Z$6,'Official Summary'!I$7,'Phase I Pro Forma'!$F$251:$Z$251)+SUMIF('Phase II Pro Forma'!$F$6:$Z$6,'Official Summary'!I$7,'Phase II Pro Forma'!$F$253:$Z$253)+SUMIF('Phase III Pro Forma'!$F$6:$Z$6,'Official Summary'!I$7,'Phase III Pro Forma'!$F$251:$Z$251)</f>
        <v>1897074</v>
      </c>
      <c r="J20" s="261">
        <f ca="1">+SUMIF('Phase I Pro Forma'!$F$6:$Z$6,'Official Summary'!J$7,'Phase I Pro Forma'!$F$251:$Z$251)+SUMIF('Phase II Pro Forma'!$F$6:$Z$6,'Official Summary'!J$7,'Phase II Pro Forma'!$F$253:$Z$253)+SUMIF('Phase III Pro Forma'!$F$6:$Z$6,'Official Summary'!J$7,'Phase III Pro Forma'!$F$251:$Z$251)</f>
        <v>3794148</v>
      </c>
      <c r="K20" s="261">
        <f ca="1">+SUMIF('Phase I Pro Forma'!$F$6:$Z$6,'Official Summary'!K$7,'Phase I Pro Forma'!$F$251:$Z$251)+SUMIF('Phase II Pro Forma'!$F$6:$Z$6,'Official Summary'!K$7,'Phase II Pro Forma'!$F$253:$Z$253)+SUMIF('Phase III Pro Forma'!$F$6:$Z$6,'Official Summary'!K$7,'Phase III Pro Forma'!$F$251:$Z$251)</f>
        <v>3794148</v>
      </c>
      <c r="L20" s="261">
        <f ca="1">+SUMIF('Phase I Pro Forma'!$F$6:$Z$6,'Official Summary'!L$7,'Phase I Pro Forma'!$F$251:$Z$251)+SUMIF('Phase II Pro Forma'!$F$6:$Z$6,'Official Summary'!L$7,'Phase II Pro Forma'!$F$253:$Z$253)+SUMIF('Phase III Pro Forma'!$F$6:$Z$6,'Official Summary'!L$7,'Phase III Pro Forma'!$F$251:$Z$251)</f>
        <v>4173562.8</v>
      </c>
      <c r="M20" s="261">
        <f ca="1">+SUMIF('Phase I Pro Forma'!$F$6:$Z$6,'Official Summary'!M$7,'Phase I Pro Forma'!$F$251:$Z$251)+SUMIF('Phase II Pro Forma'!$F$6:$Z$6,'Official Summary'!M$7,'Phase II Pro Forma'!$F$253:$Z$253)+SUMIF('Phase III Pro Forma'!$F$6:$Z$6,'Official Summary'!M$7,'Phase III Pro Forma'!$F$251:$Z$251)</f>
        <v>4173562.8</v>
      </c>
      <c r="N20" s="290">
        <f ca="1">+SUMIF('Phase I Pro Forma'!$F$6:$Z$6,'Official Summary'!N$7,'Phase I Pro Forma'!$F$251:$Z$251)+SUMIF('Phase II Pro Forma'!$F$6:$Z$6,'Official Summary'!N$7,'Phase II Pro Forma'!$F$253:$Z$253)+SUMIF('Phase III Pro Forma'!$F$6:$Z$6,'Official Summary'!N$7,'Phase III Pro Forma'!$F$251:$Z$251)</f>
        <v>4173562.8000000003</v>
      </c>
    </row>
    <row r="21" spans="2:14" ht="19" customHeight="1">
      <c r="B21" s="270" t="s">
        <v>475</v>
      </c>
      <c r="C21" s="294"/>
      <c r="D21" s="261" t="s">
        <v>467</v>
      </c>
      <c r="E21" s="285" t="s">
        <v>467</v>
      </c>
      <c r="F21" s="261" t="s">
        <v>467</v>
      </c>
      <c r="G21" s="281" t="s">
        <v>467</v>
      </c>
      <c r="H21" s="261" t="s">
        <v>467</v>
      </c>
      <c r="I21" s="276" t="s">
        <v>467</v>
      </c>
      <c r="J21" s="261" t="s">
        <v>467</v>
      </c>
      <c r="K21" s="261" t="s">
        <v>467</v>
      </c>
      <c r="L21" s="261" t="s">
        <v>467</v>
      </c>
      <c r="M21" s="261" t="s">
        <v>467</v>
      </c>
      <c r="N21" s="290" t="s">
        <v>467</v>
      </c>
    </row>
    <row r="22" spans="2:14" ht="19" customHeight="1">
      <c r="B22" s="270" t="s">
        <v>51</v>
      </c>
      <c r="C22" s="293"/>
      <c r="D22" s="261" t="s">
        <v>467</v>
      </c>
      <c r="E22" s="285" t="s">
        <v>467</v>
      </c>
      <c r="F22" s="261" t="s">
        <v>467</v>
      </c>
      <c r="G22" s="281" t="s">
        <v>467</v>
      </c>
      <c r="H22" s="261" t="s">
        <v>467</v>
      </c>
      <c r="I22" s="276" t="s">
        <v>467</v>
      </c>
      <c r="J22" s="261" t="s">
        <v>467</v>
      </c>
      <c r="K22" s="261" t="s">
        <v>467</v>
      </c>
      <c r="L22" s="261" t="s">
        <v>467</v>
      </c>
      <c r="M22" s="261" t="s">
        <v>467</v>
      </c>
      <c r="N22" s="290" t="s">
        <v>467</v>
      </c>
    </row>
    <row r="23" spans="2:14" ht="19" customHeight="1">
      <c r="B23" s="270" t="s">
        <v>52</v>
      </c>
      <c r="C23" s="294"/>
      <c r="D23" s="261">
        <f>-SUMIF('Phase I Pro Forma'!$F$6:$Z$6,'Official Summary'!D$7,'Phase I Pro Forma'!$F$291:$Z$291)-SUMIF('Phase II Pro Forma'!$F$6:$Z$6,'Official Summary'!D$7,'Phase II Pro Forma'!$F$294:$Z$294)-SUMIF('Phase III Pro Forma'!$F$6:$Z$6,'Official Summary'!D$7,'Phase III Pro Forma'!$F$291:$Z$291)</f>
        <v>-322950.11077135976</v>
      </c>
      <c r="E23" s="285">
        <f>-SUMIF('Phase I Pro Forma'!$F$6:$Z$6,'Official Summary'!E$7,'Phase I Pro Forma'!$F$291:$Z$291)-SUMIF('Phase II Pro Forma'!$F$6:$Z$6,'Official Summary'!E$7,'Phase II Pro Forma'!$F$294:$Z$294)-SUMIF('Phase III Pro Forma'!$F$6:$Z$6,'Official Summary'!E$7,'Phase III Pro Forma'!$F$291:$Z$291)</f>
        <v>-2610513.3954018247</v>
      </c>
      <c r="F23" s="261">
        <f>-SUMIF('Phase I Pro Forma'!$F$6:$Z$6,'Official Summary'!F$7,'Phase I Pro Forma'!$F$291:$Z$291)-SUMIF('Phase II Pro Forma'!$F$6:$Z$6,'Official Summary'!F$7,'Phase II Pro Forma'!$F$294:$Z$294)-SUMIF('Phase III Pro Forma'!$F$6:$Z$6,'Official Summary'!F$7,'Phase III Pro Forma'!$F$291:$Z$291)</f>
        <v>-2712458.1704831184</v>
      </c>
      <c r="G23" s="281">
        <f>-SUMIF('Phase I Pro Forma'!$F$6:$Z$6,'Official Summary'!G$7,'Phase I Pro Forma'!$F$291:$Z$291)-SUMIF('Phase II Pro Forma'!$F$6:$Z$6,'Official Summary'!G$7,'Phase II Pro Forma'!$F$294:$Z$294)-SUMIF('Phase III Pro Forma'!$F$6:$Z$6,'Official Summary'!G$7,'Phase III Pro Forma'!$F$291:$Z$291)</f>
        <v>-3434566.9939756161</v>
      </c>
      <c r="H23" s="261">
        <f>-SUMIF('Phase I Pro Forma'!$F$6:$Z$6,'Official Summary'!H$7,'Phase I Pro Forma'!$F$291:$Z$291)-SUMIF('Phase II Pro Forma'!$F$6:$Z$6,'Official Summary'!H$7,'Phase II Pro Forma'!$F$294:$Z$294)-SUMIF('Phase III Pro Forma'!$F$6:$Z$6,'Official Summary'!H$7,'Phase III Pro Forma'!$F$291:$Z$291)</f>
        <v>-3726654.9415496825</v>
      </c>
      <c r="I23" s="276">
        <f>-SUMIF('Phase I Pro Forma'!$F$6:$Z$6,'Official Summary'!I$7,'Phase I Pro Forma'!$F$291:$Z$291)-SUMIF('Phase II Pro Forma'!$F$6:$Z$6,'Official Summary'!I$7,'Phase II Pro Forma'!$F$294:$Z$294)-SUMIF('Phase III Pro Forma'!$F$6:$Z$6,'Official Summary'!I$7,'Phase III Pro Forma'!$F$291:$Z$291)</f>
        <v>-2712888.9928860883</v>
      </c>
      <c r="J23" s="261">
        <f>-SUMIF('Phase I Pro Forma'!$F$6:$Z$6,'Official Summary'!J$7,'Phase I Pro Forma'!$F$291:$Z$291)-SUMIF('Phase II Pro Forma'!$F$6:$Z$6,'Official Summary'!J$7,'Phase II Pro Forma'!$F$294:$Z$294)-SUMIF('Phase III Pro Forma'!$F$6:$Z$6,'Official Summary'!J$7,'Phase III Pro Forma'!$F$291:$Z$291)</f>
        <v>-2712888.9928860883</v>
      </c>
      <c r="K23" s="261">
        <f>-SUMIF('Phase I Pro Forma'!$F$6:$Z$6,'Official Summary'!K$7,'Phase I Pro Forma'!$F$291:$Z$291)-SUMIF('Phase II Pro Forma'!$F$6:$Z$6,'Official Summary'!K$7,'Phase II Pro Forma'!$F$294:$Z$294)-SUMIF('Phase III Pro Forma'!$F$6:$Z$6,'Official Summary'!K$7,'Phase III Pro Forma'!$F$291:$Z$291)</f>
        <v>-1888835.3943122972</v>
      </c>
      <c r="L23" s="261">
        <f>-SUMIF('Phase I Pro Forma'!$F$6:$Z$6,'Official Summary'!L$7,'Phase I Pro Forma'!$F$291:$Z$291)-SUMIF('Phase II Pro Forma'!$F$6:$Z$6,'Official Summary'!L$7,'Phase II Pro Forma'!$F$294:$Z$294)-SUMIF('Phase III Pro Forma'!$F$6:$Z$6,'Official Summary'!L$7,'Phase III Pro Forma'!$F$291:$Z$291)</f>
        <v>-1888835.3943122972</v>
      </c>
      <c r="M23" s="261">
        <f>-SUMIF('Phase I Pro Forma'!$F$6:$Z$6,'Official Summary'!M$7,'Phase I Pro Forma'!$F$291:$Z$291)-SUMIF('Phase II Pro Forma'!$F$6:$Z$6,'Official Summary'!M$7,'Phase II Pro Forma'!$F$294:$Z$294)-SUMIF('Phase III Pro Forma'!$F$6:$Z$6,'Official Summary'!M$7,'Phase III Pro Forma'!$F$291:$Z$291)</f>
        <v>-1888835.3943122972</v>
      </c>
      <c r="N23" s="290">
        <f>-SUMIF('Phase I Pro Forma'!$F$6:$Z$6,'Official Summary'!N$7,'Phase I Pro Forma'!$F$291:$Z$291)-SUMIF('Phase II Pro Forma'!$F$6:$Z$6,'Official Summary'!N$7,'Phase II Pro Forma'!$F$294:$Z$294)-SUMIF('Phase III Pro Forma'!$F$6:$Z$6,'Official Summary'!N$7,'Phase III Pro Forma'!$F$291:$Z$291)</f>
        <v>0</v>
      </c>
    </row>
    <row r="24" spans="2:14" ht="19" customHeight="1">
      <c r="B24" s="270" t="s">
        <v>19</v>
      </c>
      <c r="C24" s="293"/>
      <c r="D24" s="261">
        <v>0</v>
      </c>
      <c r="E24" s="285">
        <v>0</v>
      </c>
      <c r="F24" s="261">
        <v>0</v>
      </c>
      <c r="G24" s="281">
        <v>0</v>
      </c>
      <c r="H24" s="261">
        <v>0</v>
      </c>
      <c r="I24" s="276">
        <v>0</v>
      </c>
      <c r="J24" s="261">
        <v>0</v>
      </c>
      <c r="K24" s="261">
        <v>0</v>
      </c>
      <c r="L24" s="261">
        <v>0</v>
      </c>
      <c r="M24" s="261">
        <v>0</v>
      </c>
      <c r="N24" s="290">
        <v>0</v>
      </c>
    </row>
    <row r="25" spans="2:14" ht="19" customHeight="1">
      <c r="B25" s="938" t="s">
        <v>1</v>
      </c>
      <c r="C25" s="938"/>
      <c r="D25" s="291">
        <f t="shared" ref="D25:N25" ca="1" si="2">+SUM(D9:D24)</f>
        <v>-322950.11077135976</v>
      </c>
      <c r="E25" s="291">
        <f t="shared" ca="1" si="2"/>
        <v>-2610513.3954018247</v>
      </c>
      <c r="F25" s="291">
        <f t="shared" ca="1" si="2"/>
        <v>-2712458.1704831184</v>
      </c>
      <c r="G25" s="291">
        <f t="shared" ca="1" si="2"/>
        <v>13444665.224543992</v>
      </c>
      <c r="H25" s="291">
        <f t="shared" ca="1" si="2"/>
        <v>30204204.216175936</v>
      </c>
      <c r="I25" s="291">
        <f t="shared" ca="1" si="2"/>
        <v>38314243.322424792</v>
      </c>
      <c r="J25" s="291">
        <f t="shared" ca="1" si="2"/>
        <v>47869779.274947874</v>
      </c>
      <c r="K25" s="291">
        <f t="shared" ca="1" si="2"/>
        <v>48878336.542294092</v>
      </c>
      <c r="L25" s="291">
        <f t="shared" ca="1" si="2"/>
        <v>67695352.103372067</v>
      </c>
      <c r="M25" s="291">
        <f t="shared" ca="1" si="2"/>
        <v>86004019.995240822</v>
      </c>
      <c r="N25" s="291">
        <f t="shared" ca="1" si="2"/>
        <v>88463903.643098354</v>
      </c>
    </row>
    <row r="26" spans="2:14" ht="19" customHeight="1">
      <c r="B26" s="937" t="s">
        <v>1237</v>
      </c>
      <c r="C26" s="937"/>
      <c r="D26" s="306">
        <f>+SUMIF('Phase I Pro Forma'!$F$6:$Z$6,'Official Summary'!D$7,'Phase I Pro Forma'!$F$270:$Z$270)+SUMIF('Phase II Pro Forma'!$F$6:$Z$6,'Official Summary'!D$7,'Phase II Pro Forma'!$F$273:$Z$273)+SUMIF('Phase III Pro Forma'!$F$6:$Z$6,'Official Summary'!D$7,'Phase III Pro Forma'!$F$270:$Z$270)+SUMIF('Phase I Pro Forma'!$F$6:$Z$6,'Official Summary'!D$7,'Phase I Pro Forma'!$F$225:$Z$225)+SUMIF('Phase II Pro Forma'!$F$6:$Z$6,'Official Summary'!D$7,'Phase II Pro Forma'!$F$227:$Z$227)+SUMIF('Phase III Pro Forma'!$F$6:$Z$6,'Official Summary'!D$7,'Phase III Pro Forma'!$F$225:$Z$225)+SUMIF('Phase I Pro Forma'!$F$6:$Z$6,'Official Summary'!D$7,'Phase I Pro Forma'!$F$155:$Z$155)+SUMIF('Phase II Pro Forma'!$F$6:$Z$6,'Official Summary'!D$7,'Phase II Pro Forma'!$F$156:$Z$156)+SUMIF('Phase III Pro Forma'!$F$6:$Z$6,'Official Summary'!D$7,'Phase III Pro Forma'!$F$155:$Z$155)</f>
        <v>0</v>
      </c>
      <c r="E26" s="302">
        <f>+SUMIF('Phase I Pro Forma'!$F$6:$Z$6,'Official Summary'!E$7,'Phase I Pro Forma'!$F$270:$Z$270)+SUMIF('Phase II Pro Forma'!$F$6:$Z$6,'Official Summary'!E$7,'Phase II Pro Forma'!$F$273:$Z$273)+SUMIF('Phase III Pro Forma'!$F$6:$Z$6,'Official Summary'!E$7,'Phase III Pro Forma'!$F$270:$Z$270)+SUMIF('Phase I Pro Forma'!$F$6:$Z$6,'Official Summary'!E$7,'Phase I Pro Forma'!$F$225:$Z$225)+SUMIF('Phase II Pro Forma'!$F$6:$Z$6,'Official Summary'!E$7,'Phase II Pro Forma'!$F$227:$Z$227)+SUMIF('Phase III Pro Forma'!$F$6:$Z$6,'Official Summary'!E$7,'Phase III Pro Forma'!$F$225:$Z$225)+SUMIF('Phase I Pro Forma'!$F$6:$Z$6,'Official Summary'!E$7,'Phase I Pro Forma'!$F$155:$Z$155)+SUMIF('Phase II Pro Forma'!$F$6:$Z$6,'Official Summary'!E$7,'Phase II Pro Forma'!$F$156:$Z$156)+SUMIF('Phase III Pro Forma'!$F$6:$Z$6,'Official Summary'!E$7,'Phase III Pro Forma'!$F$155:$Z$155)</f>
        <v>0</v>
      </c>
      <c r="F26" s="306">
        <f>+SUMIF('Phase I Pro Forma'!$F$6:$Z$6,'Official Summary'!F$7,'Phase I Pro Forma'!$F$270:$Z$270)+SUMIF('Phase II Pro Forma'!$F$6:$Z$6,'Official Summary'!F$7,'Phase II Pro Forma'!$F$273:$Z$273)+SUMIF('Phase III Pro Forma'!$F$6:$Z$6,'Official Summary'!F$7,'Phase III Pro Forma'!$F$270:$Z$270)+SUMIF('Phase I Pro Forma'!$F$6:$Z$6,'Official Summary'!F$7,'Phase I Pro Forma'!$F$225:$Z$225)+SUMIF('Phase II Pro Forma'!$F$6:$Z$6,'Official Summary'!F$7,'Phase II Pro Forma'!$F$227:$Z$227)+SUMIF('Phase III Pro Forma'!$F$6:$Z$6,'Official Summary'!F$7,'Phase III Pro Forma'!$F$225:$Z$225)+SUMIF('Phase I Pro Forma'!$F$6:$Z$6,'Official Summary'!F$7,'Phase I Pro Forma'!$F$155:$Z$155)+SUMIF('Phase II Pro Forma'!$F$6:$Z$6,'Official Summary'!F$7,'Phase II Pro Forma'!$F$156:$Z$156)+SUMIF('Phase III Pro Forma'!$F$6:$Z$6,'Official Summary'!F$7,'Phase III Pro Forma'!$F$155:$Z$155)</f>
        <v>0</v>
      </c>
      <c r="G26" s="303">
        <f>+SUMIF('Phase I Pro Forma'!$F$6:$Z$6,'Official Summary'!G$7,'Phase I Pro Forma'!$F$270:$Z$270)+SUMIF('Phase II Pro Forma'!$F$6:$Z$6,'Official Summary'!G$7,'Phase II Pro Forma'!$F$273:$Z$273)+SUMIF('Phase III Pro Forma'!$F$6:$Z$6,'Official Summary'!G$7,'Phase III Pro Forma'!$F$270:$Z$270)+SUMIF('Phase I Pro Forma'!$F$6:$Z$6,'Official Summary'!G$7,'Phase I Pro Forma'!$F$225:$Z$225)+SUMIF('Phase II Pro Forma'!$F$6:$Z$6,'Official Summary'!G$7,'Phase II Pro Forma'!$F$227:$Z$227)+SUMIF('Phase III Pro Forma'!$F$6:$Z$6,'Official Summary'!G$7,'Phase III Pro Forma'!$F$225:$Z$225)+SUMIF('Phase I Pro Forma'!$F$6:$Z$6,'Official Summary'!G$7,'Phase I Pro Forma'!$F$155:$Z$155)+SUMIF('Phase II Pro Forma'!$F$6:$Z$6,'Official Summary'!G$7,'Phase II Pro Forma'!$F$156:$Z$156)+SUMIF('Phase III Pro Forma'!$F$6:$Z$6,'Official Summary'!G$7,'Phase III Pro Forma'!$F$155:$Z$155)+SUMIF('Phase II Pro Forma'!$F$6:$Z$6,'Official Summary'!$G$7,'Phase II Pro Forma'!$F$328:$Z$328)</f>
        <v>65237394.974527918</v>
      </c>
      <c r="H26" s="306">
        <f>+SUMIF('Phase I Pro Forma'!$F$6:$Z$6,'Official Summary'!H$7,'Phase I Pro Forma'!$F$270:$Z$270)+SUMIF('Phase II Pro Forma'!$F$6:$Z$6,'Official Summary'!H$7,'Phase II Pro Forma'!$F$273:$Z$273)+SUMIF('Phase III Pro Forma'!$F$6:$Z$6,'Official Summary'!H$7,'Phase III Pro Forma'!$F$270:$Z$270)+SUMIF('Phase I Pro Forma'!$F$6:$Z$6,'Official Summary'!H$7,'Phase I Pro Forma'!$F$225:$Z$225)+SUMIF('Phase II Pro Forma'!$F$6:$Z$6,'Official Summary'!H$7,'Phase II Pro Forma'!$F$227:$Z$227)+SUMIF('Phase III Pro Forma'!$F$6:$Z$6,'Official Summary'!H$7,'Phase III Pro Forma'!$F$225:$Z$225)+SUMIF('Phase I Pro Forma'!$F$6:$Z$6,'Official Summary'!H$7,'Phase I Pro Forma'!$F$155:$Z$155)+SUMIF('Phase II Pro Forma'!$F$6:$Z$6,'Official Summary'!H$7,'Phase II Pro Forma'!$F$156:$Z$156)+SUMIF('Phase III Pro Forma'!$F$6:$Z$6,'Official Summary'!H$7,'Phase III Pro Forma'!$F$155:$Z$155)+SUMIF('Phase II Pro Forma'!$F$6:$Z$6,'Official Summary'!H$7,'Phase II Pro Forma'!F328:Z328)</f>
        <v>0</v>
      </c>
      <c r="I26" s="304">
        <f>+SUMIF('Phase I Pro Forma'!$F$6:$Z$6,'Official Summary'!I$7,'Phase I Pro Forma'!$F$270:$Z$270)+SUMIF('Phase II Pro Forma'!$F$6:$Z$6,'Official Summary'!I$7,'Phase II Pro Forma'!$F$273:$Z$273)+SUMIF('Phase III Pro Forma'!$F$6:$Z$6,'Official Summary'!I$7,'Phase III Pro Forma'!$F$270:$Z$270)+SUMIF('Phase I Pro Forma'!$F$6:$Z$6,'Official Summary'!I$7,'Phase I Pro Forma'!$F$225:$Z$225)+SUMIF('Phase II Pro Forma'!$F$6:$Z$6,'Official Summary'!I$7,'Phase II Pro Forma'!$F$227:$Z$227)+SUMIF('Phase III Pro Forma'!$F$6:$Z$6,'Official Summary'!I$7,'Phase III Pro Forma'!$F$225:$Z$225)+SUMIF('Phase I Pro Forma'!$F$6:$Z$6,'Official Summary'!I$7,'Phase I Pro Forma'!$F$155:$Z$155)+SUMIF('Phase II Pro Forma'!$F$6:$Z$6,'Official Summary'!I$7,'Phase II Pro Forma'!$F$156:$Z$156)+SUMIF('Phase III Pro Forma'!$F$6:$Z$6,'Official Summary'!I$7,'Phase III Pro Forma'!$F$155:$Z$155)</f>
        <v>0</v>
      </c>
      <c r="J26" s="306">
        <f>+SUMIF('Phase I Pro Forma'!$F$6:$Z$6,'Official Summary'!J$7,'Phase I Pro Forma'!$F$270:$Z$270)+SUMIF('Phase II Pro Forma'!$F$6:$Z$6,'Official Summary'!J$7,'Phase II Pro Forma'!$F$273:$Z$273)+SUMIF('Phase III Pro Forma'!$F$6:$Z$6,'Official Summary'!J$7,'Phase III Pro Forma'!$F$270:$Z$270)+SUMIF('Phase I Pro Forma'!$F$6:$Z$6,'Official Summary'!J$7,'Phase I Pro Forma'!$F$225:$Z$225)+SUMIF('Phase II Pro Forma'!$F$6:$Z$6,'Official Summary'!J$7,'Phase II Pro Forma'!$F$227:$Z$227)+SUMIF('Phase III Pro Forma'!$F$6:$Z$6,'Official Summary'!J$7,'Phase III Pro Forma'!$F$225:$Z$225)+SUMIF('Phase I Pro Forma'!$F$6:$Z$6,'Official Summary'!J$7,'Phase I Pro Forma'!$F$155:$Z$155)+SUMIF('Phase II Pro Forma'!$F$6:$Z$6,'Official Summary'!J$7,'Phase II Pro Forma'!$F$156:$Z$156)+SUMIF('Phase III Pro Forma'!$F$6:$Z$6,'Official Summary'!J$7,'Phase III Pro Forma'!$F$155:$Z$155)</f>
        <v>0</v>
      </c>
      <c r="K26" s="306">
        <f>+SUMIF('Phase I Pro Forma'!$F$6:$Z$6,'Official Summary'!K$7,'Phase I Pro Forma'!$F$270:$Z$270)+SUMIF('Phase II Pro Forma'!$F$6:$Z$6,'Official Summary'!K$7,'Phase II Pro Forma'!$F$273:$Z$273)+SUMIF('Phase III Pro Forma'!$F$6:$Z$6,'Official Summary'!K$7,'Phase III Pro Forma'!$F$270:$Z$270)+SUMIF('Phase I Pro Forma'!$F$6:$Z$6,'Official Summary'!K$7,'Phase I Pro Forma'!$F$225:$Z$225)+SUMIF('Phase II Pro Forma'!$F$6:$Z$6,'Official Summary'!K$7,'Phase II Pro Forma'!$F$227:$Z$227)+SUMIF('Phase III Pro Forma'!$F$6:$Z$6,'Official Summary'!K$7,'Phase III Pro Forma'!$F$225:$Z$225)+SUMIF('Phase I Pro Forma'!$F$6:$Z$6,'Official Summary'!K$7,'Phase I Pro Forma'!$F$155:$Z$155)+SUMIF('Phase II Pro Forma'!$F$6:$Z$6,'Official Summary'!K$7,'Phase II Pro Forma'!$F$156:$Z$156)+SUMIF('Phase III Pro Forma'!$F$6:$Z$6,'Official Summary'!K$7,'Phase III Pro Forma'!$F$155:$Z$155)</f>
        <v>0</v>
      </c>
      <c r="L26" s="306">
        <f>+SUMIF('Phase I Pro Forma'!$F$6:$Z$6,'Official Summary'!L$7,'Phase I Pro Forma'!$F$270:$Z$270)+SUMIF('Phase II Pro Forma'!$F$6:$Z$6,'Official Summary'!L$7,'Phase II Pro Forma'!$F$273:$Z$273)+SUMIF('Phase III Pro Forma'!$F$6:$Z$6,'Official Summary'!L$7,'Phase III Pro Forma'!$F$270:$Z$270)+SUMIF('Phase I Pro Forma'!$F$6:$Z$6,'Official Summary'!L$7,'Phase I Pro Forma'!$F$225:$Z$225)+SUMIF('Phase II Pro Forma'!$F$6:$Z$6,'Official Summary'!L$7,'Phase II Pro Forma'!$F$227:$Z$227)+SUMIF('Phase III Pro Forma'!$F$6:$Z$6,'Official Summary'!L$7,'Phase III Pro Forma'!$F$225:$Z$225)+SUMIF('Phase I Pro Forma'!$F$6:$Z$6,'Official Summary'!L$7,'Phase I Pro Forma'!$F$155:$Z$155)+SUMIF('Phase II Pro Forma'!$F$6:$Z$6,'Official Summary'!L$7,'Phase II Pro Forma'!$F$156:$Z$156)+SUMIF('Phase III Pro Forma'!$F$6:$Z$6,'Official Summary'!L$7,'Phase III Pro Forma'!$F$155:$Z$155)</f>
        <v>0</v>
      </c>
      <c r="M26" s="306">
        <f>+SUMIF('Phase I Pro Forma'!$F$6:$Z$6,'Official Summary'!M$7,'Phase I Pro Forma'!$F$270:$Z$270)+SUMIF('Phase II Pro Forma'!$F$6:$Z$6,'Official Summary'!M$7,'Phase II Pro Forma'!$F$273:$Z$273)+SUMIF('Phase III Pro Forma'!$F$6:$Z$6,'Official Summary'!M$7,'Phase III Pro Forma'!$F$270:$Z$270)+SUMIF('Phase I Pro Forma'!$F$6:$Z$6,'Official Summary'!M$7,'Phase I Pro Forma'!$F$225:$Z$225)+SUMIF('Phase II Pro Forma'!$F$6:$Z$6,'Official Summary'!M$7,'Phase II Pro Forma'!$F$227:$Z$227)+SUMIF('Phase III Pro Forma'!$F$6:$Z$6,'Official Summary'!M$7,'Phase III Pro Forma'!$F$225:$Z$225)+SUMIF('Phase I Pro Forma'!$F$6:$Z$6,'Official Summary'!M$7,'Phase I Pro Forma'!$F$155:$Z$155)+SUMIF('Phase II Pro Forma'!$F$6:$Z$6,'Official Summary'!M$7,'Phase II Pro Forma'!$F$156:$Z$156)+SUMIF('Phase III Pro Forma'!$F$6:$Z$6,'Official Summary'!M$7,'Phase III Pro Forma'!$F$155:$Z$155)</f>
        <v>0</v>
      </c>
      <c r="N26" s="305">
        <f ca="1">+SUMIF('Phase I Pro Forma'!$F$6:$Z$6,'Official Summary'!N$7,'Phase I Pro Forma'!$F$270:$Z$270)+SUMIF('Phase II Pro Forma'!$F$6:$Z$6,'Official Summary'!N$7,'Phase II Pro Forma'!$F$273:$Z$273)+SUMIF('Phase III Pro Forma'!$F$6:$Z$6,'Official Summary'!N$7,'Phase III Pro Forma'!$F$270:$Z$270)+SUMIF('Phase I Pro Forma'!$F$6:$Z$6,'Official Summary'!N$7,'Phase I Pro Forma'!$F$225:$Z$225)+SUMIF('Phase II Pro Forma'!$F$6:$Z$6,'Official Summary'!N$7,'Phase II Pro Forma'!$F$227:$Z$227)+SUMIF('Phase III Pro Forma'!$F$6:$Z$6,'Official Summary'!N$7,'Phase III Pro Forma'!$F$225:$Z$225)+SUMIF('Phase I Pro Forma'!$F$6:$Z$6,'Official Summary'!N$7,'Phase I Pro Forma'!$F$155:$Z$155)+SUMIF('Phase II Pro Forma'!$F$6:$Z$6,'Official Summary'!N$7,'Phase II Pro Forma'!$F$156:$Z$156)+SUMIF('Phase III Pro Forma'!$F$6:$Z$6,'Official Summary'!N$7,'Phase III Pro Forma'!$F$155:$Z$155)</f>
        <v>1309033651.4780469</v>
      </c>
    </row>
    <row r="27" spans="2:14" ht="19" customHeight="1">
      <c r="B27" s="301" t="s">
        <v>412</v>
      </c>
      <c r="C27" s="300"/>
      <c r="D27" s="307">
        <f>+SUMIF('Phase I Pro Forma'!$F$6:$Z$6,'Official Summary'!D$7,'Phase I Pro Forma'!$F$271:$Z$271)+SUMIF('Phase II Pro Forma'!$F$6:$Z$6,'Official Summary'!D$7,'Phase II Pro Forma'!$F$274:$Z$274)+SUMIF('Phase III Pro Forma'!$F$6:$Z$6,'Official Summary'!D$7,'Phase III Pro Forma'!$F$271:$Z$271)+SUMIF('Phase I Pro Forma'!$F$6:$Z$6,'Official Summary'!D$7,'Phase I Pro Forma'!$F$226:$Z$226)+SUMIF('Phase II Pro Forma'!$F$6:$Z$6,'Official Summary'!D$7,'Phase II Pro Forma'!$F$228:$Z$228)+SUMIF('Phase III Pro Forma'!$F$6:$Z$6,'Official Summary'!D$7,'Phase III Pro Forma'!$F$226:$Z$226)+SUMIF('Phase I Pro Forma'!$F$6:$Z$6,'Official Summary'!D$7,'Phase I Pro Forma'!$F$157:$Z$157)+SUMIF('Phase II Pro Forma'!$F$6:$Z$6,'Official Summary'!D$7,'Phase II Pro Forma'!$F$158:$Z$158)+SUMIF('Phase III Pro Forma'!$F$6:$Z$6,'Official Summary'!D$7,'Phase III Pro Forma'!$F$157:$Z$157)</f>
        <v>0</v>
      </c>
      <c r="E27" s="285">
        <f>+SUMIF('Phase I Pro Forma'!$F$6:$Z$6,'Official Summary'!E$7,'Phase I Pro Forma'!$F$271:$Z$271)+SUMIF('Phase II Pro Forma'!$F$6:$Z$6,'Official Summary'!E$7,'Phase II Pro Forma'!$F$274:$Z$274)+SUMIF('Phase III Pro Forma'!$F$6:$Z$6,'Official Summary'!E$7,'Phase III Pro Forma'!$F$271:$Z$271)+SUMIF('Phase I Pro Forma'!$F$6:$Z$6,'Official Summary'!E$7,'Phase I Pro Forma'!$F$226:$Z$226)+SUMIF('Phase II Pro Forma'!$F$6:$Z$6,'Official Summary'!E$7,'Phase II Pro Forma'!$F$228:$Z$228)+SUMIF('Phase III Pro Forma'!$F$6:$Z$6,'Official Summary'!E$7,'Phase III Pro Forma'!$F$226:$Z$226)+SUMIF('Phase I Pro Forma'!$F$6:$Z$6,'Official Summary'!E$7,'Phase I Pro Forma'!$F$157:$Z$157)+SUMIF('Phase II Pro Forma'!$F$6:$Z$6,'Official Summary'!E$7,'Phase II Pro Forma'!$F$158:$Z$158)+SUMIF('Phase III Pro Forma'!$F$6:$Z$6,'Official Summary'!E$7,'Phase III Pro Forma'!$F$157:$Z$157)</f>
        <v>0</v>
      </c>
      <c r="F27" s="307">
        <f>+SUMIF('Phase I Pro Forma'!$F$6:$Z$6,'Official Summary'!F$7,'Phase I Pro Forma'!$F$271:$Z$271)+SUMIF('Phase II Pro Forma'!$F$6:$Z$6,'Official Summary'!F$7,'Phase II Pro Forma'!$F$274:$Z$274)+SUMIF('Phase III Pro Forma'!$F$6:$Z$6,'Official Summary'!F$7,'Phase III Pro Forma'!$F$271:$Z$271)+SUMIF('Phase I Pro Forma'!$F$6:$Z$6,'Official Summary'!F$7,'Phase I Pro Forma'!$F$226:$Z$226)+SUMIF('Phase II Pro Forma'!$F$6:$Z$6,'Official Summary'!F$7,'Phase II Pro Forma'!$F$228:$Z$228)+SUMIF('Phase III Pro Forma'!$F$6:$Z$6,'Official Summary'!F$7,'Phase III Pro Forma'!$F$226:$Z$226)+SUMIF('Phase I Pro Forma'!$F$6:$Z$6,'Official Summary'!F$7,'Phase I Pro Forma'!$F$157:$Z$157)+SUMIF('Phase II Pro Forma'!$F$6:$Z$6,'Official Summary'!F$7,'Phase II Pro Forma'!$F$158:$Z$158)+SUMIF('Phase III Pro Forma'!$F$6:$Z$6,'Official Summary'!F$7,'Phase III Pro Forma'!$F$157:$Z$157)</f>
        <v>0</v>
      </c>
      <c r="G27" s="281">
        <f>+SUMIF('Phase I Pro Forma'!$F$6:$Z$6,'Official Summary'!G$7,'Phase I Pro Forma'!$F$271:$Z$271)+SUMIF('Phase II Pro Forma'!$F$6:$Z$6,'Official Summary'!G$7,'Phase II Pro Forma'!$F$274:$Z$274)+SUMIF('Phase III Pro Forma'!$F$6:$Z$6,'Official Summary'!G$7,'Phase III Pro Forma'!$F$271:$Z$271)+SUMIF('Phase I Pro Forma'!$F$6:$Z$6,'Official Summary'!G$7,'Phase I Pro Forma'!$F$226:$Z$226)+SUMIF('Phase II Pro Forma'!$F$6:$Z$6,'Official Summary'!G$7,'Phase II Pro Forma'!$F$228:$Z$228)+SUMIF('Phase III Pro Forma'!$F$6:$Z$6,'Official Summary'!G$7,'Phase III Pro Forma'!$F$226:$Z$226)+SUMIF('Phase I Pro Forma'!$F$6:$Z$6,'Official Summary'!G$7,'Phase I Pro Forma'!$F$157:$Z$157)+SUMIF('Phase II Pro Forma'!$F$6:$Z$6,'Official Summary'!G$7,'Phase II Pro Forma'!$F$158:$Z$158)+SUMIF('Phase III Pro Forma'!$F$6:$Z$6,'Official Summary'!G$7,'Phase III Pro Forma'!$F$157:$Z$157)</f>
        <v>0</v>
      </c>
      <c r="H27" s="307">
        <f>+SUMIF('Phase I Pro Forma'!$F$6:$Z$6,'Official Summary'!H$7,'Phase I Pro Forma'!$F$271:$Z$271)+SUMIF('Phase II Pro Forma'!$F$6:$Z$6,'Official Summary'!H$7,'Phase II Pro Forma'!$F$274:$Z$274)+SUMIF('Phase III Pro Forma'!$F$6:$Z$6,'Official Summary'!H$7,'Phase III Pro Forma'!$F$271:$Z$271)+SUMIF('Phase I Pro Forma'!$F$6:$Z$6,'Official Summary'!H$7,'Phase I Pro Forma'!$F$226:$Z$226)+SUMIF('Phase II Pro Forma'!$F$6:$Z$6,'Official Summary'!H$7,'Phase II Pro Forma'!$F$228:$Z$228)+SUMIF('Phase III Pro Forma'!$F$6:$Z$6,'Official Summary'!H$7,'Phase III Pro Forma'!$F$226:$Z$226)+SUMIF('Phase I Pro Forma'!$F$6:$Z$6,'Official Summary'!H$7,'Phase I Pro Forma'!$F$157:$Z$157)+SUMIF('Phase II Pro Forma'!$F$6:$Z$6,'Official Summary'!H$7,'Phase II Pro Forma'!$F$158:$Z$158)+SUMIF('Phase III Pro Forma'!$F$6:$Z$6,'Official Summary'!H$7,'Phase III Pro Forma'!$F$157:$Z$157)</f>
        <v>0</v>
      </c>
      <c r="I27" s="276">
        <f>+SUMIF('Phase I Pro Forma'!$F$6:$Z$6,'Official Summary'!I$7,'Phase I Pro Forma'!$F$271:$Z$271)+SUMIF('Phase II Pro Forma'!$F$6:$Z$6,'Official Summary'!I$7,'Phase II Pro Forma'!$F$274:$Z$274)+SUMIF('Phase III Pro Forma'!$F$6:$Z$6,'Official Summary'!I$7,'Phase III Pro Forma'!$F$271:$Z$271)+SUMIF('Phase I Pro Forma'!$F$6:$Z$6,'Official Summary'!I$7,'Phase I Pro Forma'!$F$226:$Z$226)+SUMIF('Phase II Pro Forma'!$F$6:$Z$6,'Official Summary'!I$7,'Phase II Pro Forma'!$F$228:$Z$228)+SUMIF('Phase III Pro Forma'!$F$6:$Z$6,'Official Summary'!I$7,'Phase III Pro Forma'!$F$226:$Z$226)+SUMIF('Phase I Pro Forma'!$F$6:$Z$6,'Official Summary'!I$7,'Phase I Pro Forma'!$F$157:$Z$157)+SUMIF('Phase II Pro Forma'!$F$6:$Z$6,'Official Summary'!I$7,'Phase II Pro Forma'!$F$158:$Z$158)+SUMIF('Phase III Pro Forma'!$F$6:$Z$6,'Official Summary'!I$7,'Phase III Pro Forma'!$F$157:$Z$157)</f>
        <v>0</v>
      </c>
      <c r="J27" s="307">
        <f>+SUMIF('Phase I Pro Forma'!$F$6:$Z$6,'Official Summary'!J$7,'Phase I Pro Forma'!$F$271:$Z$271)+SUMIF('Phase II Pro Forma'!$F$6:$Z$6,'Official Summary'!J$7,'Phase II Pro Forma'!$F$274:$Z$274)+SUMIF('Phase III Pro Forma'!$F$6:$Z$6,'Official Summary'!J$7,'Phase III Pro Forma'!$F$271:$Z$271)+SUMIF('Phase I Pro Forma'!$F$6:$Z$6,'Official Summary'!J$7,'Phase I Pro Forma'!$F$226:$Z$226)+SUMIF('Phase II Pro Forma'!$F$6:$Z$6,'Official Summary'!J$7,'Phase II Pro Forma'!$F$228:$Z$228)+SUMIF('Phase III Pro Forma'!$F$6:$Z$6,'Official Summary'!J$7,'Phase III Pro Forma'!$F$226:$Z$226)+SUMIF('Phase I Pro Forma'!$F$6:$Z$6,'Official Summary'!J$7,'Phase I Pro Forma'!$F$157:$Z$157)+SUMIF('Phase II Pro Forma'!$F$6:$Z$6,'Official Summary'!J$7,'Phase II Pro Forma'!$F$158:$Z$158)+SUMIF('Phase III Pro Forma'!$F$6:$Z$6,'Official Summary'!J$7,'Phase III Pro Forma'!$F$157:$Z$157)</f>
        <v>0</v>
      </c>
      <c r="K27" s="307">
        <f>+SUMIF('Phase I Pro Forma'!$F$6:$Z$6,'Official Summary'!K$7,'Phase I Pro Forma'!$F$271:$Z$271)+SUMIF('Phase II Pro Forma'!$F$6:$Z$6,'Official Summary'!K$7,'Phase II Pro Forma'!$F$274:$Z$274)+SUMIF('Phase III Pro Forma'!$F$6:$Z$6,'Official Summary'!K$7,'Phase III Pro Forma'!$F$271:$Z$271)+SUMIF('Phase I Pro Forma'!$F$6:$Z$6,'Official Summary'!K$7,'Phase I Pro Forma'!$F$226:$Z$226)+SUMIF('Phase II Pro Forma'!$F$6:$Z$6,'Official Summary'!K$7,'Phase II Pro Forma'!$F$228:$Z$228)+SUMIF('Phase III Pro Forma'!$F$6:$Z$6,'Official Summary'!K$7,'Phase III Pro Forma'!$F$226:$Z$226)+SUMIF('Phase I Pro Forma'!$F$6:$Z$6,'Official Summary'!K$7,'Phase I Pro Forma'!$F$157:$Z$157)+SUMIF('Phase II Pro Forma'!$F$6:$Z$6,'Official Summary'!K$7,'Phase II Pro Forma'!$F$158:$Z$158)+SUMIF('Phase III Pro Forma'!$F$6:$Z$6,'Official Summary'!K$7,'Phase III Pro Forma'!$F$157:$Z$157)</f>
        <v>0</v>
      </c>
      <c r="L27" s="307">
        <f>+SUMIF('Phase I Pro Forma'!$F$6:$Z$6,'Official Summary'!L$7,'Phase I Pro Forma'!$F$271:$Z$271)+SUMIF('Phase II Pro Forma'!$F$6:$Z$6,'Official Summary'!L$7,'Phase II Pro Forma'!$F$274:$Z$274)+SUMIF('Phase III Pro Forma'!$F$6:$Z$6,'Official Summary'!L$7,'Phase III Pro Forma'!$F$271:$Z$271)+SUMIF('Phase I Pro Forma'!$F$6:$Z$6,'Official Summary'!L$7,'Phase I Pro Forma'!$F$226:$Z$226)+SUMIF('Phase II Pro Forma'!$F$6:$Z$6,'Official Summary'!L$7,'Phase II Pro Forma'!$F$228:$Z$228)+SUMIF('Phase III Pro Forma'!$F$6:$Z$6,'Official Summary'!L$7,'Phase III Pro Forma'!$F$226:$Z$226)+SUMIF('Phase I Pro Forma'!$F$6:$Z$6,'Official Summary'!L$7,'Phase I Pro Forma'!$F$157:$Z$157)+SUMIF('Phase II Pro Forma'!$F$6:$Z$6,'Official Summary'!L$7,'Phase II Pro Forma'!$F$158:$Z$158)+SUMIF('Phase III Pro Forma'!$F$6:$Z$6,'Official Summary'!L$7,'Phase III Pro Forma'!$F$157:$Z$157)</f>
        <v>0</v>
      </c>
      <c r="M27" s="307">
        <f>+SUMIF('Phase I Pro Forma'!$F$6:$Z$6,'Official Summary'!M$7,'Phase I Pro Forma'!$F$271:$Z$271)+SUMIF('Phase II Pro Forma'!$F$6:$Z$6,'Official Summary'!M$7,'Phase II Pro Forma'!$F$274:$Z$274)+SUMIF('Phase III Pro Forma'!$F$6:$Z$6,'Official Summary'!M$7,'Phase III Pro Forma'!$F$271:$Z$271)+SUMIF('Phase I Pro Forma'!$F$6:$Z$6,'Official Summary'!M$7,'Phase I Pro Forma'!$F$226:$Z$226)+SUMIF('Phase II Pro Forma'!$F$6:$Z$6,'Official Summary'!M$7,'Phase II Pro Forma'!$F$228:$Z$228)+SUMIF('Phase III Pro Forma'!$F$6:$Z$6,'Official Summary'!M$7,'Phase III Pro Forma'!$F$226:$Z$226)+SUMIF('Phase I Pro Forma'!$F$6:$Z$6,'Official Summary'!M$7,'Phase I Pro Forma'!$F$157:$Z$157)+SUMIF('Phase II Pro Forma'!$F$6:$Z$6,'Official Summary'!M$7,'Phase II Pro Forma'!$F$158:$Z$158)+SUMIF('Phase III Pro Forma'!$F$6:$Z$6,'Official Summary'!M$7,'Phase III Pro Forma'!$F$157:$Z$157)</f>
        <v>0</v>
      </c>
      <c r="N27" s="290">
        <f ca="1">+SUMIF('Phase I Pro Forma'!$F$6:$Z$6,'Official Summary'!N$7,'Phase I Pro Forma'!$F$271:$Z$271)+SUMIF('Phase II Pro Forma'!$F$6:$Z$6,'Official Summary'!N$7,'Phase II Pro Forma'!$F$274:$Z$274)+SUMIF('Phase III Pro Forma'!$F$6:$Z$6,'Official Summary'!N$7,'Phase III Pro Forma'!$F$271:$Z$271)+SUMIF('Phase I Pro Forma'!$F$6:$Z$6,'Official Summary'!N$7,'Phase I Pro Forma'!$F$226:$Z$226)+SUMIF('Phase II Pro Forma'!$F$6:$Z$6,'Official Summary'!N$7,'Phase II Pro Forma'!$F$228:$Z$228)+SUMIF('Phase III Pro Forma'!$F$6:$Z$6,'Official Summary'!N$7,'Phase III Pro Forma'!$F$226:$Z$226)+SUMIF('Phase I Pro Forma'!$F$6:$Z$6,'Official Summary'!N$7,'Phase I Pro Forma'!$F$157:$Z$157)+SUMIF('Phase II Pro Forma'!$F$6:$Z$6,'Official Summary'!N$7,'Phase II Pro Forma'!$F$158:$Z$158)+SUMIF('Phase III Pro Forma'!$F$6:$Z$6,'Official Summary'!N$7,'Phase III Pro Forma'!$F$157:$Z$157)</f>
        <v>-26180673.029560935</v>
      </c>
    </row>
    <row r="28" spans="2:14" ht="19" customHeight="1">
      <c r="B28" s="295" t="s">
        <v>49</v>
      </c>
      <c r="C28" s="268"/>
      <c r="D28" s="296">
        <f ca="1">+SUM(D25:D27)</f>
        <v>-322950.11077135976</v>
      </c>
      <c r="E28" s="296">
        <f t="shared" ref="E28:N28" ca="1" si="3">+SUM(E25:E27)</f>
        <v>-2610513.3954018247</v>
      </c>
      <c r="F28" s="296">
        <f t="shared" ca="1" si="3"/>
        <v>-2712458.1704831184</v>
      </c>
      <c r="G28" s="296">
        <f ca="1">+SUM(G25:G27)</f>
        <v>78682060.199071914</v>
      </c>
      <c r="H28" s="296">
        <f t="shared" ca="1" si="3"/>
        <v>30204204.216175936</v>
      </c>
      <c r="I28" s="296">
        <f t="shared" ca="1" si="3"/>
        <v>38314243.322424792</v>
      </c>
      <c r="J28" s="296">
        <f t="shared" ca="1" si="3"/>
        <v>47869779.274947874</v>
      </c>
      <c r="K28" s="296">
        <f t="shared" ca="1" si="3"/>
        <v>48878336.542294092</v>
      </c>
      <c r="L28" s="296">
        <f t="shared" ca="1" si="3"/>
        <v>67695352.103372067</v>
      </c>
      <c r="M28" s="296">
        <f t="shared" ca="1" si="3"/>
        <v>86004019.995240822</v>
      </c>
      <c r="N28" s="296">
        <f t="shared" ca="1" si="3"/>
        <v>1371316882.0915842</v>
      </c>
    </row>
    <row r="29" spans="2:14" ht="19" customHeight="1">
      <c r="B29" s="240"/>
      <c r="C29" s="241"/>
      <c r="D29" s="243"/>
      <c r="E29" s="242"/>
      <c r="F29" s="243"/>
      <c r="G29" s="243"/>
      <c r="H29" s="243"/>
      <c r="I29" s="243"/>
      <c r="J29" s="243"/>
      <c r="K29" s="243"/>
      <c r="L29" s="243"/>
      <c r="M29" s="244"/>
      <c r="N29" s="243"/>
    </row>
    <row r="30" spans="2:14" ht="19" customHeight="1">
      <c r="B30" s="264" t="s">
        <v>2</v>
      </c>
      <c r="C30" s="264"/>
      <c r="D30" s="232"/>
      <c r="E30" s="282" t="s">
        <v>21</v>
      </c>
      <c r="G30" s="277" t="s">
        <v>357</v>
      </c>
      <c r="H30" s="265"/>
      <c r="I30" s="272" t="s">
        <v>360</v>
      </c>
      <c r="J30" s="265"/>
      <c r="K30" s="265"/>
      <c r="L30" s="265"/>
      <c r="M30" s="251"/>
      <c r="N30" s="286" t="s">
        <v>410</v>
      </c>
    </row>
    <row r="31" spans="2:14" ht="19" customHeight="1">
      <c r="B31" s="293" t="s">
        <v>56</v>
      </c>
      <c r="C31" s="266"/>
      <c r="D31" s="232"/>
      <c r="E31" s="283"/>
      <c r="G31" s="278"/>
      <c r="H31" s="238"/>
      <c r="I31" s="273"/>
      <c r="J31" s="238"/>
      <c r="K31" s="238"/>
      <c r="L31" s="238"/>
      <c r="M31" s="239"/>
      <c r="N31" s="288"/>
    </row>
    <row r="32" spans="2:14" ht="19" customHeight="1">
      <c r="B32" s="297" t="s">
        <v>1231</v>
      </c>
      <c r="C32" s="297"/>
      <c r="D32" s="735">
        <f>+(SUMIF('Phase I Pro Forma'!$F$6:$Z$6,'Official Summary'!D$7,'Phase I Pro Forma'!$F$287:$Z$287)+SUMIF('Phase II Pro Forma'!$F$6:$Z$6,'Official Summary'!D$7,'Phase II Pro Forma'!$F$290:$Z$290)+SUMIF('Phase III Pro Forma'!$F$6:$Z$6,'Official Summary'!D$7,'Phase III Pro Forma'!$F$287:$Z$287))*(SUM(Budget!$N$35:$N$44)/SUM(Budget!$M$35:$U$44))</f>
        <v>18001.677643851177</v>
      </c>
      <c r="E32" s="284">
        <f>+(SUMIF('Phase I Pro Forma'!$F$6:$Z$6,'Official Summary'!E$7,'Phase I Pro Forma'!$F$287:$Z$287)+SUMIF('Phase II Pro Forma'!$F$6:$Z$6,'Official Summary'!E$7,'Phase II Pro Forma'!$F$290:$Z$290)+SUMIF('Phase III Pro Forma'!$F$6:$Z$6,'Official Summary'!E$7,'Phase III Pro Forma'!$F$287:$Z$287))*(SUM(Budget!$N$35:$N$44)/SUM(Budget!$M$35:$U$44))</f>
        <v>34506808.865610033</v>
      </c>
      <c r="F32" s="735">
        <f>+(SUMIF('Phase I Pro Forma'!$F$6:$Z$6,'Official Summary'!F$7,'Phase I Pro Forma'!$F$287:$Z$287)+SUMIF('Phase II Pro Forma'!$F$6:$Z$6,'Official Summary'!F$7,'Phase II Pro Forma'!$F$290:$Z$290)+SUMIF('Phase III Pro Forma'!$F$6:$Z$6,'Official Summary'!F$7,'Phase III Pro Forma'!$F$287:$Z$287))*(SUM(Budget!$N$35:$N$44)/SUM(Budget!$M$35:$U$44))</f>
        <v>34515809.704431958</v>
      </c>
      <c r="G32" s="280">
        <f>+(SUMIF('Phase I Pro Forma'!$F$6:$Z$6,'Official Summary'!G$7,'Phase I Pro Forma'!$F$287:$Z$287)+SUMIF('Phase II Pro Forma'!$F$6:$Z$6,'Official Summary'!G$7,'Phase II Pro Forma'!$F$290:$Z$290)+SUMIF('Phase III Pro Forma'!$F$6:$Z$6,'Official Summary'!G$7,'Phase III Pro Forma'!$F$287:$Z$287))*(SUM(Budget!$N$35:$N$44)/SUM(Budget!$M$35:$U$44))</f>
        <v>9743197.7807360571</v>
      </c>
      <c r="H32" s="735">
        <f>+(SUMIF('Phase I Pro Forma'!$F$6:$Z$6,'Official Summary'!H$7,'Phase I Pro Forma'!$F$287:$Z$287)+SUMIF('Phase II Pro Forma'!$F$6:$Z$6,'Official Summary'!H$7,'Phase II Pro Forma'!$F$290:$Z$290)+SUMIF('Phase III Pro Forma'!$F$6:$Z$6,'Official Summary'!H$7,'Phase III Pro Forma'!$F$287:$Z$287))*(SUM(Budget!$N$35:$N$44)/SUM(Budget!$M$35:$U$44))</f>
        <v>9752198.6195579823</v>
      </c>
      <c r="I32" s="275">
        <f>+(SUMIF('Phase I Pro Forma'!$F$6:$Z$6,'Official Summary'!I$7,'Phase I Pro Forma'!$F$287:$Z$287)+SUMIF('Phase II Pro Forma'!$F$6:$Z$6,'Official Summary'!I$7,'Phase II Pro Forma'!$F$290:$Z$290)+SUMIF('Phase III Pro Forma'!$F$6:$Z$6,'Official Summary'!I$7,'Phase III Pro Forma'!$F$287:$Z$287))*(SUM(Budget!$N$35:$N$44)/SUM(Budget!$M$35:$U$44))</f>
        <v>21516727.441223893</v>
      </c>
      <c r="J32" s="267">
        <f>+(SUMIF('Phase I Pro Forma'!$F$6:$Z$6,'Official Summary'!J$7,'Phase I Pro Forma'!$F$287:$Z$287)+SUMIF('Phase II Pro Forma'!$F$6:$Z$6,'Official Summary'!J$7,'Phase II Pro Forma'!$F$290:$Z$290)+SUMIF('Phase III Pro Forma'!$F$6:$Z$6,'Official Summary'!J$7,'Phase III Pro Forma'!$F$287:$Z$287))*(SUM(Budget!$N$35:$N$44)/SUM(Budget!$M$35:$U$44))</f>
        <v>21516727.441223893</v>
      </c>
      <c r="K32" s="267">
        <f>+(SUMIF('Phase I Pro Forma'!$F$6:$Z$6,'Official Summary'!K$7,'Phase I Pro Forma'!$F$287:$Z$287)+SUMIF('Phase II Pro Forma'!$F$6:$Z$6,'Official Summary'!K$7,'Phase II Pro Forma'!$F$290:$Z$290)+SUMIF('Phase III Pro Forma'!$F$6:$Z$6,'Official Summary'!K$7,'Phase III Pro Forma'!$F$287:$Z$287))*(SUM(Budget!$N$35:$N$44)/SUM(Budget!$M$35:$U$44))</f>
        <v>21516727.441223893</v>
      </c>
      <c r="L32" s="267">
        <f>+(SUMIF('Phase I Pro Forma'!$F$6:$Z$6,'Official Summary'!L$7,'Phase I Pro Forma'!$F$287:$Z$287)+SUMIF('Phase II Pro Forma'!$F$6:$Z$6,'Official Summary'!L$7,'Phase II Pro Forma'!$F$290:$Z$290)+SUMIF('Phase III Pro Forma'!$F$6:$Z$6,'Official Summary'!L$7,'Phase III Pro Forma'!$F$287:$Z$287))*(SUM(Budget!$N$35:$N$44)/SUM(Budget!$M$35:$U$44))</f>
        <v>0</v>
      </c>
      <c r="M32" s="261">
        <f>+(SUMIF('Phase I Pro Forma'!$F$6:$Z$6,'Official Summary'!M$7,'Phase I Pro Forma'!$F$287:$Z$287)+SUMIF('Phase II Pro Forma'!$F$6:$Z$6,'Official Summary'!M$7,'Phase II Pro Forma'!$F$290:$Z$290)+SUMIF('Phase III Pro Forma'!$F$6:$Z$6,'Official Summary'!M$7,'Phase III Pro Forma'!$F$287:$Z$287))*(SUM(Budget!$N$35:$N$44)/SUM(Budget!$M$35:$U$44))</f>
        <v>0</v>
      </c>
      <c r="N32" s="290">
        <f>+(SUMIF('Phase I Pro Forma'!$F$6:$Z$6,'Official Summary'!N$7,'Phase I Pro Forma'!$F$287:$Z$287)+SUMIF('Phase II Pro Forma'!$F$6:$Z$6,'Official Summary'!N$7,'Phase II Pro Forma'!$F$290:$Z$290)+SUMIF('Phase III Pro Forma'!$F$6:$Z$6,'Official Summary'!N$7,'Phase III Pro Forma'!$F$287:$Z$287))*(SUM(Budget!$N$35:$N$44)/SUM(Budget!$M$35:$U$44))</f>
        <v>0</v>
      </c>
    </row>
    <row r="33" spans="2:14" ht="19" hidden="1" customHeight="1">
      <c r="B33" s="297" t="s">
        <v>408</v>
      </c>
      <c r="C33" s="297"/>
      <c r="D33" s="261" t="s">
        <v>467</v>
      </c>
      <c r="E33" s="285" t="s">
        <v>467</v>
      </c>
      <c r="F33" s="261" t="s">
        <v>467</v>
      </c>
      <c r="G33" s="281" t="s">
        <v>467</v>
      </c>
      <c r="H33" s="261" t="s">
        <v>467</v>
      </c>
      <c r="I33" s="276" t="s">
        <v>467</v>
      </c>
      <c r="J33" s="261" t="s">
        <v>467</v>
      </c>
      <c r="K33" s="261" t="s">
        <v>467</v>
      </c>
      <c r="L33" s="261" t="s">
        <v>467</v>
      </c>
      <c r="M33" s="261" t="s">
        <v>467</v>
      </c>
      <c r="N33" s="290" t="s">
        <v>467</v>
      </c>
    </row>
    <row r="34" spans="2:14" ht="19" hidden="1" customHeight="1">
      <c r="B34" s="297" t="s">
        <v>405</v>
      </c>
      <c r="C34" s="297"/>
      <c r="D34" s="261" t="s">
        <v>467</v>
      </c>
      <c r="E34" s="285" t="s">
        <v>467</v>
      </c>
      <c r="F34" s="261" t="s">
        <v>467</v>
      </c>
      <c r="G34" s="281" t="s">
        <v>467</v>
      </c>
      <c r="H34" s="261" t="s">
        <v>467</v>
      </c>
      <c r="I34" s="276" t="s">
        <v>467</v>
      </c>
      <c r="J34" s="261" t="s">
        <v>467</v>
      </c>
      <c r="K34" s="261" t="s">
        <v>467</v>
      </c>
      <c r="L34" s="261" t="s">
        <v>467</v>
      </c>
      <c r="M34" s="261" t="s">
        <v>467</v>
      </c>
      <c r="N34" s="290" t="s">
        <v>467</v>
      </c>
    </row>
    <row r="35" spans="2:14" ht="19" customHeight="1">
      <c r="B35" s="297" t="s">
        <v>1232</v>
      </c>
      <c r="C35" s="298"/>
      <c r="D35" s="261">
        <f>+(SUMIF('Phase I Pro Forma'!$F$6:$Z$6,'Official Summary'!D$7,'Phase I Pro Forma'!$F$287:$Z$287)+SUMIF('Phase II Pro Forma'!$F$6:$Z$6,'Official Summary'!D$7,'Phase II Pro Forma'!$F$290:$Z$290)+SUMIF('Phase III Pro Forma'!$F$6:$Z$6,'Official Summary'!D$7,'Phase III Pro Forma'!$F$287:$Z$287))*(SUM(Budget!$M$35:$M$44)/SUM(Budget!$M$35:$U$44))</f>
        <v>13374.279339384429</v>
      </c>
      <c r="E35" s="285">
        <f>+(SUMIF('Phase I Pro Forma'!$F$6:$Z$6,'Official Summary'!E$7,'Phase I Pro Forma'!$F$287:$Z$287)+SUMIF('Phase II Pro Forma'!$F$6:$Z$6,'Official Summary'!E$7,'Phase II Pro Forma'!$F$290:$Z$290)+SUMIF('Phase III Pro Forma'!$F$6:$Z$6,'Official Summary'!E$7,'Phase III Pro Forma'!$F$287:$Z$287))*(SUM(Budget!$M$35:$M$44)/SUM(Budget!$M$35:$U$44))</f>
        <v>25636705.089930952</v>
      </c>
      <c r="F35" s="261">
        <f>+(SUMIF('Phase I Pro Forma'!$F$6:$Z$6,'Official Summary'!F$7,'Phase I Pro Forma'!$F$287:$Z$287)+SUMIF('Phase II Pro Forma'!$F$6:$Z$6,'Official Summary'!F$7,'Phase II Pro Forma'!$F$290:$Z$290)+SUMIF('Phase III Pro Forma'!$F$6:$Z$6,'Official Summary'!F$7,'Phase III Pro Forma'!$F$287:$Z$287))*(SUM(Budget!$M$35:$M$44)/SUM(Budget!$M$35:$U$44))</f>
        <v>25643392.229600642</v>
      </c>
      <c r="G35" s="281">
        <f>+(SUMIF('Phase I Pro Forma'!$F$6:$Z$6,'Official Summary'!G$7,'Phase I Pro Forma'!$F$287:$Z$287)+SUMIF('Phase II Pro Forma'!$F$6:$Z$6,'Official Summary'!G$7,'Phase II Pro Forma'!$F$290:$Z$290)+SUMIF('Phase III Pro Forma'!$F$6:$Z$6,'Official Summary'!G$7,'Phase III Pro Forma'!$F$287:$Z$287))*(SUM(Budget!$M$35:$M$44)/SUM(Budget!$M$35:$U$44))</f>
        <v>7238672.4924464906</v>
      </c>
      <c r="H35" s="261">
        <f>+(SUMIF('Phase I Pro Forma'!$F$6:$Z$6,'Official Summary'!H$7,'Phase I Pro Forma'!$F$287:$Z$287)+SUMIF('Phase II Pro Forma'!$F$6:$Z$6,'Official Summary'!H$7,'Phase II Pro Forma'!$F$290:$Z$290)+SUMIF('Phase III Pro Forma'!$F$6:$Z$6,'Official Summary'!H$7,'Phase III Pro Forma'!$F$287:$Z$287))*(SUM(Budget!$M$35:$M$44)/SUM(Budget!$M$35:$U$44))</f>
        <v>7245359.6321161827</v>
      </c>
      <c r="I35" s="276">
        <f>+(SUMIF('Phase I Pro Forma'!$F$6:$Z$6,'Official Summary'!I$7,'Phase I Pro Forma'!$F$287:$Z$287)+SUMIF('Phase II Pro Forma'!$F$6:$Z$6,'Official Summary'!I$7,'Phase II Pro Forma'!$F$290:$Z$290)+SUMIF('Phase III Pro Forma'!$F$6:$Z$6,'Official Summary'!I$7,'Phase III Pro Forma'!$F$287:$Z$287))*(SUM(Budget!$M$35:$M$44)/SUM(Budget!$M$35:$U$44))</f>
        <v>15985772.490855617</v>
      </c>
      <c r="J35" s="261">
        <f>+(SUMIF('Phase I Pro Forma'!$F$6:$Z$6,'Official Summary'!J$7,'Phase I Pro Forma'!$F$287:$Z$287)+SUMIF('Phase II Pro Forma'!$F$6:$Z$6,'Official Summary'!J$7,'Phase II Pro Forma'!$F$290:$Z$290)+SUMIF('Phase III Pro Forma'!$F$6:$Z$6,'Official Summary'!J$7,'Phase III Pro Forma'!$F$287:$Z$287))*(SUM(Budget!$M$35:$M$44)/SUM(Budget!$M$35:$U$44))</f>
        <v>15985772.490855617</v>
      </c>
      <c r="K35" s="261">
        <f>+(SUMIF('Phase I Pro Forma'!$F$6:$Z$6,'Official Summary'!K$7,'Phase I Pro Forma'!$F$287:$Z$287)+SUMIF('Phase II Pro Forma'!$F$6:$Z$6,'Official Summary'!K$7,'Phase II Pro Forma'!$F$290:$Z$290)+SUMIF('Phase III Pro Forma'!$F$6:$Z$6,'Official Summary'!K$7,'Phase III Pro Forma'!$F$287:$Z$287))*(SUM(Budget!$M$35:$M$44)/SUM(Budget!$M$35:$U$44))</f>
        <v>15985772.490855617</v>
      </c>
      <c r="L35" s="261">
        <f>+(SUMIF('Phase I Pro Forma'!$F$6:$Z$6,'Official Summary'!L$7,'Phase I Pro Forma'!$F$287:$Z$287)+SUMIF('Phase II Pro Forma'!$F$6:$Z$6,'Official Summary'!L$7,'Phase II Pro Forma'!$F$290:$Z$290)+SUMIF('Phase III Pro Forma'!$F$6:$Z$6,'Official Summary'!L$7,'Phase III Pro Forma'!$F$287:$Z$287))*(SUM(Budget!$M$35:$M$44)/SUM(Budget!$M$35:$U$44))</f>
        <v>0</v>
      </c>
      <c r="M35" s="261">
        <f>+(SUMIF('Phase I Pro Forma'!$F$6:$Z$6,'Official Summary'!M$7,'Phase I Pro Forma'!$F$287:$Z$287)+SUMIF('Phase II Pro Forma'!$F$6:$Z$6,'Official Summary'!M$7,'Phase II Pro Forma'!$F$290:$Z$290)+SUMIF('Phase III Pro Forma'!$F$6:$Z$6,'Official Summary'!M$7,'Phase III Pro Forma'!$F$287:$Z$287))*(SUM(Budget!$M$35:$M$44)/SUM(Budget!$M$35:$U$44))</f>
        <v>0</v>
      </c>
      <c r="N35" s="290">
        <f>+(SUMIF('Phase I Pro Forma'!$F$6:$Z$6,'Official Summary'!N$7,'Phase I Pro Forma'!$F$287:$Z$287)+SUMIF('Phase II Pro Forma'!$F$6:$Z$6,'Official Summary'!N$7,'Phase II Pro Forma'!$F$290:$Z$290)+SUMIF('Phase III Pro Forma'!$F$6:$Z$6,'Official Summary'!N$7,'Phase III Pro Forma'!$F$287:$Z$287))*(SUM(Budget!$M$35:$M$44)/SUM(Budget!$M$35:$U$44))</f>
        <v>0</v>
      </c>
    </row>
    <row r="36" spans="2:14" ht="19" hidden="1" customHeight="1">
      <c r="B36" s="297" t="s">
        <v>407</v>
      </c>
      <c r="C36" s="298"/>
      <c r="D36" s="261" t="s">
        <v>467</v>
      </c>
      <c r="E36" s="285" t="s">
        <v>467</v>
      </c>
      <c r="F36" s="261" t="s">
        <v>467</v>
      </c>
      <c r="G36" s="281" t="s">
        <v>467</v>
      </c>
      <c r="H36" s="261" t="s">
        <v>467</v>
      </c>
      <c r="I36" s="276" t="s">
        <v>467</v>
      </c>
      <c r="J36" s="261" t="s">
        <v>467</v>
      </c>
      <c r="K36" s="261" t="s">
        <v>467</v>
      </c>
      <c r="L36" s="261" t="s">
        <v>467</v>
      </c>
      <c r="M36" s="261" t="s">
        <v>467</v>
      </c>
      <c r="N36" s="290" t="s">
        <v>467</v>
      </c>
    </row>
    <row r="37" spans="2:14" ht="19" customHeight="1">
      <c r="B37" s="339" t="s">
        <v>24</v>
      </c>
      <c r="C37" s="338"/>
      <c r="D37" s="261">
        <f>+(SUMIF('Phase I Pro Forma'!$F$6:$Z$6,'Official Summary'!D$7,'Phase I Pro Forma'!$F$287:$Z$287)+SUMIF('Phase II Pro Forma'!$F$6:$Z$6,'Official Summary'!D$7,'Phase II Pro Forma'!$F$290:$Z$290)+SUMIF('Phase III Pro Forma'!$F$6:$Z$6,'Official Summary'!D$7,'Phase III Pro Forma'!$F$287:$Z$287))*(SUM(Budget!$R$35:$R$44)/SUM(Budget!$M$35:$U$44))</f>
        <v>23579.665166825664</v>
      </c>
      <c r="E37" s="285">
        <f>+(SUMIF('Phase I Pro Forma'!$F$6:$Z$6,'Official Summary'!E$7,'Phase I Pro Forma'!$F$287:$Z$287)+SUMIF('Phase II Pro Forma'!$F$6:$Z$6,'Official Summary'!E$7,'Phase II Pro Forma'!$F$290:$Z$290)+SUMIF('Phase III Pro Forma'!$F$6:$Z$6,'Official Summary'!E$7,'Phase III Pro Forma'!$F$287:$Z$287))*(SUM(Budget!$R$35:$R$44)/SUM(Budget!$M$35:$U$44))</f>
        <v>45199065.060730986</v>
      </c>
      <c r="F37" s="261">
        <f>+(SUMIF('Phase I Pro Forma'!$F$6:$Z$6,'Official Summary'!F$7,'Phase I Pro Forma'!$F$287:$Z$287)+SUMIF('Phase II Pro Forma'!$F$6:$Z$6,'Official Summary'!F$7,'Phase II Pro Forma'!$F$290:$Z$290)+SUMIF('Phase III Pro Forma'!$F$6:$Z$6,'Official Summary'!F$7,'Phase III Pro Forma'!$F$287:$Z$287))*(SUM(Budget!$R$35:$R$44)/SUM(Budget!$M$35:$U$44))</f>
        <v>45210854.893314399</v>
      </c>
      <c r="G37" s="281">
        <f>+(SUMIF('Phase I Pro Forma'!$F$6:$Z$6,'Official Summary'!G$7,'Phase I Pro Forma'!$F$287:$Z$287)+SUMIF('Phase II Pro Forma'!$F$6:$Z$6,'Official Summary'!G$7,'Phase II Pro Forma'!$F$290:$Z$290)+SUMIF('Phase III Pro Forma'!$F$6:$Z$6,'Official Summary'!G$7,'Phase III Pro Forma'!$F$287:$Z$287))*(SUM(Budget!$R$35:$R$44)/SUM(Budget!$M$35:$U$44))</f>
        <v>12762218.381484445</v>
      </c>
      <c r="H37" s="261">
        <f>+(SUMIF('Phase I Pro Forma'!$F$6:$Z$6,'Official Summary'!H$7,'Phase I Pro Forma'!$F$287:$Z$287)+SUMIF('Phase II Pro Forma'!$F$6:$Z$6,'Official Summary'!H$7,'Phase II Pro Forma'!$F$290:$Z$290)+SUMIF('Phase III Pro Forma'!$F$6:$Z$6,'Official Summary'!H$7,'Phase III Pro Forma'!$F$287:$Z$287))*(SUM(Budget!$R$35:$R$44)/SUM(Budget!$M$35:$U$44))</f>
        <v>12774008.21406786</v>
      </c>
      <c r="I37" s="276">
        <f>+(SUMIF('Phase I Pro Forma'!$F$6:$Z$6,'Official Summary'!I$7,'Phase I Pro Forma'!$F$287:$Z$287)+SUMIF('Phase II Pro Forma'!$F$6:$Z$6,'Official Summary'!I$7,'Phase II Pro Forma'!$F$290:$Z$290)+SUMIF('Phase III Pro Forma'!$F$6:$Z$6,'Official Summary'!I$7,'Phase III Pro Forma'!$F$287:$Z$287))*(SUM(Budget!$R$35:$R$44)/SUM(Budget!$M$35:$U$44))</f>
        <v>28183885.890391257</v>
      </c>
      <c r="J37" s="261">
        <f>+(SUMIF('Phase I Pro Forma'!$F$6:$Z$6,'Official Summary'!J$7,'Phase I Pro Forma'!$F$287:$Z$287)+SUMIF('Phase II Pro Forma'!$F$6:$Z$6,'Official Summary'!J$7,'Phase II Pro Forma'!$F$290:$Z$290)+SUMIF('Phase III Pro Forma'!$F$6:$Z$6,'Official Summary'!J$7,'Phase III Pro Forma'!$F$287:$Z$287))*(SUM(Budget!$R$35:$R$44)/SUM(Budget!$M$35:$U$44))</f>
        <v>28183885.890391257</v>
      </c>
      <c r="K37" s="261">
        <f>+(SUMIF('Phase I Pro Forma'!$F$6:$Z$6,'Official Summary'!K$7,'Phase I Pro Forma'!$F$287:$Z$287)+SUMIF('Phase II Pro Forma'!$F$6:$Z$6,'Official Summary'!K$7,'Phase II Pro Forma'!$F$290:$Z$290)+SUMIF('Phase III Pro Forma'!$F$6:$Z$6,'Official Summary'!K$7,'Phase III Pro Forma'!$F$287:$Z$287))*(SUM(Budget!$R$35:$R$44)/SUM(Budget!$M$35:$U$44))</f>
        <v>28183885.890391257</v>
      </c>
      <c r="L37" s="261">
        <f>+(SUMIF('Phase I Pro Forma'!$F$6:$Z$6,'Official Summary'!L$7,'Phase I Pro Forma'!$F$287:$Z$287)+SUMIF('Phase II Pro Forma'!$F$6:$Z$6,'Official Summary'!L$7,'Phase II Pro Forma'!$F$290:$Z$290)+SUMIF('Phase III Pro Forma'!$F$6:$Z$6,'Official Summary'!L$7,'Phase III Pro Forma'!$F$287:$Z$287))*(SUM(Budget!$R$35:$R$44)/SUM(Budget!$M$35:$U$44))</f>
        <v>0</v>
      </c>
      <c r="M37" s="261">
        <f>+(SUMIF('Phase I Pro Forma'!$F$6:$Z$6,'Official Summary'!M$7,'Phase I Pro Forma'!$F$287:$Z$287)+SUMIF('Phase II Pro Forma'!$F$6:$Z$6,'Official Summary'!M$7,'Phase II Pro Forma'!$F$290:$Z$290)+SUMIF('Phase III Pro Forma'!$F$6:$Z$6,'Official Summary'!M$7,'Phase III Pro Forma'!$F$287:$Z$287))*(SUM(Budget!$R$35:$R$44)/SUM(Budget!$M$35:$U$44))</f>
        <v>0</v>
      </c>
      <c r="N37" s="290">
        <f>+(SUMIF('Phase I Pro Forma'!$F$6:$Z$6,'Official Summary'!N$7,'Phase I Pro Forma'!$F$287:$Z$287)+SUMIF('Phase II Pro Forma'!$F$6:$Z$6,'Official Summary'!N$7,'Phase II Pro Forma'!$F$290:$Z$290)+SUMIF('Phase III Pro Forma'!$F$6:$Z$6,'Official Summary'!N$7,'Phase III Pro Forma'!$F$287:$Z$287))*(SUM(Budget!$R$35:$R$44)/SUM(Budget!$M$35:$U$44))</f>
        <v>0</v>
      </c>
    </row>
    <row r="38" spans="2:14" ht="19" customHeight="1">
      <c r="B38" s="339" t="s">
        <v>25</v>
      </c>
      <c r="C38" s="339"/>
      <c r="D38" s="261">
        <f>+(SUMIF('Phase I Pro Forma'!$F$6:$Z$6,'Official Summary'!D$7,'Phase I Pro Forma'!$F$287:$Z$287)+SUMIF('Phase II Pro Forma'!$F$6:$Z$6,'Official Summary'!D$7,'Phase II Pro Forma'!$F$290:$Z$290)+SUMIF('Phase III Pro Forma'!$F$6:$Z$6,'Official Summary'!D$7,'Phase III Pro Forma'!$F$287:$Z$287))*(SUM(Budget!$O$35:$O$44)/SUM(Budget!$M$35:$U$44))</f>
        <v>9653.3915679590737</v>
      </c>
      <c r="E38" s="285">
        <f>+(SUMIF('Phase I Pro Forma'!$F$6:$Z$6,'Official Summary'!E$7,'Phase I Pro Forma'!$F$287:$Z$287)+SUMIF('Phase II Pro Forma'!$F$6:$Z$6,'Official Summary'!E$7,'Phase II Pro Forma'!$F$290:$Z$290)+SUMIF('Phase III Pro Forma'!$F$6:$Z$6,'Official Summary'!E$7,'Phase III Pro Forma'!$F$287:$Z$287))*(SUM(Budget!$O$35:$O$44)/SUM(Budget!$M$35:$U$44))</f>
        <v>18504260.787840221</v>
      </c>
      <c r="F38" s="261">
        <f>+(SUMIF('Phase I Pro Forma'!$F$6:$Z$6,'Official Summary'!F$7,'Phase I Pro Forma'!$F$287:$Z$287)+SUMIF('Phase II Pro Forma'!$F$6:$Z$6,'Official Summary'!F$7,'Phase II Pro Forma'!$F$290:$Z$290)+SUMIF('Phase III Pro Forma'!$F$6:$Z$6,'Official Summary'!F$7,'Phase III Pro Forma'!$F$287:$Z$287))*(SUM(Budget!$O$35:$O$44)/SUM(Budget!$M$35:$U$44))</f>
        <v>18509087.483624198</v>
      </c>
      <c r="G38" s="281">
        <f>+(SUMIF('Phase I Pro Forma'!$F$6:$Z$6,'Official Summary'!G$7,'Phase I Pro Forma'!$F$287:$Z$287)+SUMIF('Phase II Pro Forma'!$F$6:$Z$6,'Official Summary'!G$7,'Phase II Pro Forma'!$F$290:$Z$290)+SUMIF('Phase III Pro Forma'!$F$6:$Z$6,'Official Summary'!G$7,'Phase III Pro Forma'!$F$287:$Z$287))*(SUM(Budget!$O$35:$O$44)/SUM(Budget!$M$35:$U$44))</f>
        <v>5224785.4429079443</v>
      </c>
      <c r="H38" s="261">
        <f>+(SUMIF('Phase I Pro Forma'!$F$6:$Z$6,'Official Summary'!H$7,'Phase I Pro Forma'!$F$287:$Z$287)+SUMIF('Phase II Pro Forma'!$F$6:$Z$6,'Official Summary'!H$7,'Phase II Pro Forma'!$F$290:$Z$290)+SUMIF('Phase III Pro Forma'!$F$6:$Z$6,'Official Summary'!H$7,'Phase III Pro Forma'!$F$287:$Z$287))*(SUM(Budget!$O$35:$O$44)/SUM(Budget!$M$35:$U$44))</f>
        <v>5229612.1386919236</v>
      </c>
      <c r="I38" s="276">
        <f>+(SUMIF('Phase I Pro Forma'!$F$6:$Z$6,'Official Summary'!I$7,'Phase I Pro Forma'!$F$287:$Z$287)+SUMIF('Phase II Pro Forma'!$F$6:$Z$6,'Official Summary'!I$7,'Phase II Pro Forma'!$F$290:$Z$290)+SUMIF('Phase III Pro Forma'!$F$6:$Z$6,'Official Summary'!I$7,'Phase III Pro Forma'!$F$287:$Z$287))*(SUM(Budget!$O$35:$O$44)/SUM(Budget!$M$35:$U$44))</f>
        <v>11538335.446315002</v>
      </c>
      <c r="J38" s="261">
        <f>+(SUMIF('Phase I Pro Forma'!$F$6:$Z$6,'Official Summary'!J$7,'Phase I Pro Forma'!$F$287:$Z$287)+SUMIF('Phase II Pro Forma'!$F$6:$Z$6,'Official Summary'!J$7,'Phase II Pro Forma'!$F$290:$Z$290)+SUMIF('Phase III Pro Forma'!$F$6:$Z$6,'Official Summary'!J$7,'Phase III Pro Forma'!$F$287:$Z$287))*(SUM(Budget!$O$35:$O$44)/SUM(Budget!$M$35:$U$44))</f>
        <v>11538335.446315002</v>
      </c>
      <c r="K38" s="261">
        <f>+(SUMIF('Phase I Pro Forma'!$F$6:$Z$6,'Official Summary'!K$7,'Phase I Pro Forma'!$F$287:$Z$287)+SUMIF('Phase II Pro Forma'!$F$6:$Z$6,'Official Summary'!K$7,'Phase II Pro Forma'!$F$290:$Z$290)+SUMIF('Phase III Pro Forma'!$F$6:$Z$6,'Official Summary'!K$7,'Phase III Pro Forma'!$F$287:$Z$287))*(SUM(Budget!$O$35:$O$44)/SUM(Budget!$M$35:$U$44))</f>
        <v>11538335.446315002</v>
      </c>
      <c r="L38" s="261">
        <f>+(SUMIF('Phase I Pro Forma'!$F$6:$Z$6,'Official Summary'!L$7,'Phase I Pro Forma'!$F$287:$Z$287)+SUMIF('Phase II Pro Forma'!$F$6:$Z$6,'Official Summary'!L$7,'Phase II Pro Forma'!$F$290:$Z$290)+SUMIF('Phase III Pro Forma'!$F$6:$Z$6,'Official Summary'!L$7,'Phase III Pro Forma'!$F$287:$Z$287))*(SUM(Budget!$O$35:$O$44)/SUM(Budget!$M$35:$U$44))</f>
        <v>0</v>
      </c>
      <c r="M38" s="261">
        <f>+(SUMIF('Phase I Pro Forma'!$F$6:$Z$6,'Official Summary'!M$7,'Phase I Pro Forma'!$F$287:$Z$287)+SUMIF('Phase II Pro Forma'!$F$6:$Z$6,'Official Summary'!M$7,'Phase II Pro Forma'!$F$290:$Z$290)+SUMIF('Phase III Pro Forma'!$F$6:$Z$6,'Official Summary'!M$7,'Phase III Pro Forma'!$F$287:$Z$287))*(SUM(Budget!$O$35:$O$44)/SUM(Budget!$M$35:$U$44))</f>
        <v>0</v>
      </c>
      <c r="N38" s="290">
        <f>+(SUMIF('Phase I Pro Forma'!$F$6:$Z$6,'Official Summary'!N$7,'Phase I Pro Forma'!$F$287:$Z$287)+SUMIF('Phase II Pro Forma'!$F$6:$Z$6,'Official Summary'!N$7,'Phase II Pro Forma'!$F$290:$Z$290)+SUMIF('Phase III Pro Forma'!$F$6:$Z$6,'Official Summary'!N$7,'Phase III Pro Forma'!$F$287:$Z$287))*(SUM(Budget!$O$35:$O$44)/SUM(Budget!$M$35:$U$44))</f>
        <v>0</v>
      </c>
    </row>
    <row r="39" spans="2:14" ht="19" customHeight="1">
      <c r="B39" s="298" t="s">
        <v>827</v>
      </c>
      <c r="C39" s="299"/>
      <c r="D39" s="261">
        <f>+(SUMIF('Phase I Pro Forma'!$F$6:$Z$6,'Official Summary'!D$7,'Phase I Pro Forma'!$F$287:$Z$287)+SUMIF('Phase II Pro Forma'!$F$6:$Z$6,'Official Summary'!D$7,'Phase II Pro Forma'!$F$290:$Z$290)+SUMIF('Phase III Pro Forma'!$F$6:$Z$6,'Official Summary'!D$7,'Phase III Pro Forma'!$F$287:$Z$287))*(SUM(Budget!$Q$35:$Q$44)/SUM(Budget!$M$35:$U$44))</f>
        <v>8127.2499096723413</v>
      </c>
      <c r="E39" s="285">
        <f>+(SUMIF('Phase I Pro Forma'!$F$6:$Z$6,'Official Summary'!E$7,'Phase I Pro Forma'!$F$287:$Z$287)+SUMIF('Phase II Pro Forma'!$F$6:$Z$6,'Official Summary'!E$7,'Phase II Pro Forma'!$F$290:$Z$290)+SUMIF('Phase III Pro Forma'!$F$6:$Z$6,'Official Summary'!E$7,'Phase III Pro Forma'!$F$287:$Z$287))*(SUM(Budget!$Q$35:$Q$44)/SUM(Budget!$M$35:$U$44))</f>
        <v>15578851.304000629</v>
      </c>
      <c r="F39" s="261">
        <f>+(SUMIF('Phase I Pro Forma'!$F$6:$Z$6,'Official Summary'!F$7,'Phase I Pro Forma'!$F$287:$Z$287)+SUMIF('Phase II Pro Forma'!$F$6:$Z$6,'Official Summary'!F$7,'Phase II Pro Forma'!$F$290:$Z$290)+SUMIF('Phase III Pro Forma'!$F$6:$Z$6,'Official Summary'!F$7,'Phase III Pro Forma'!$F$287:$Z$287))*(SUM(Budget!$Q$35:$Q$44)/SUM(Budget!$M$35:$U$44))</f>
        <v>15582914.928955466</v>
      </c>
      <c r="G39" s="281">
        <f>+(SUMIF('Phase I Pro Forma'!$F$6:$Z$6,'Official Summary'!G$7,'Phase I Pro Forma'!$F$287:$Z$287)+SUMIF('Phase II Pro Forma'!$F$6:$Z$6,'Official Summary'!G$7,'Phase II Pro Forma'!$F$290:$Z$290)+SUMIF('Phase III Pro Forma'!$F$6:$Z$6,'Official Summary'!G$7,'Phase III Pro Forma'!$F$287:$Z$287))*(SUM(Budget!$Q$35:$Q$44)/SUM(Budget!$M$35:$U$44))</f>
        <v>4398779.0943725845</v>
      </c>
      <c r="H39" s="261">
        <f>+(SUMIF('Phase I Pro Forma'!$F$6:$Z$6,'Official Summary'!H$7,'Phase I Pro Forma'!$F$287:$Z$287)+SUMIF('Phase II Pro Forma'!$F$6:$Z$6,'Official Summary'!H$7,'Phase II Pro Forma'!$F$290:$Z$290)+SUMIF('Phase III Pro Forma'!$F$6:$Z$6,'Official Summary'!H$7,'Phase III Pro Forma'!$F$287:$Z$287))*(SUM(Budget!$Q$35:$Q$44)/SUM(Budget!$M$35:$U$44))</f>
        <v>4402842.7193274209</v>
      </c>
      <c r="I39" s="276">
        <f>+(SUMIF('Phase I Pro Forma'!$F$6:$Z$6,'Official Summary'!I$7,'Phase I Pro Forma'!$F$287:$Z$287)+SUMIF('Phase II Pro Forma'!$F$6:$Z$6,'Official Summary'!I$7,'Phase II Pro Forma'!$F$290:$Z$290)+SUMIF('Phase III Pro Forma'!$F$6:$Z$6,'Official Summary'!I$7,'Phase III Pro Forma'!$F$287:$Z$287))*(SUM(Budget!$Q$35:$Q$44)/SUM(Budget!$M$35:$U$44))</f>
        <v>9714195.7884609811</v>
      </c>
      <c r="J39" s="261">
        <f>+(SUMIF('Phase I Pro Forma'!$F$6:$Z$6,'Official Summary'!J$7,'Phase I Pro Forma'!$F$287:$Z$287)+SUMIF('Phase II Pro Forma'!$F$6:$Z$6,'Official Summary'!J$7,'Phase II Pro Forma'!$F$290:$Z$290)+SUMIF('Phase III Pro Forma'!$F$6:$Z$6,'Official Summary'!J$7,'Phase III Pro Forma'!$F$287:$Z$287))*(SUM(Budget!$Q$35:$Q$44)/SUM(Budget!$M$35:$U$44))</f>
        <v>9714195.7884609811</v>
      </c>
      <c r="K39" s="261">
        <f>+(SUMIF('Phase I Pro Forma'!$F$6:$Z$6,'Official Summary'!K$7,'Phase I Pro Forma'!$F$287:$Z$287)+SUMIF('Phase II Pro Forma'!$F$6:$Z$6,'Official Summary'!K$7,'Phase II Pro Forma'!$F$290:$Z$290)+SUMIF('Phase III Pro Forma'!$F$6:$Z$6,'Official Summary'!K$7,'Phase III Pro Forma'!$F$287:$Z$287))*(SUM(Budget!$Q$35:$Q$44)/SUM(Budget!$M$35:$U$44))</f>
        <v>9714195.7884609811</v>
      </c>
      <c r="L39" s="261">
        <f>+(SUMIF('Phase I Pro Forma'!$F$6:$Z$6,'Official Summary'!L$7,'Phase I Pro Forma'!$F$287:$Z$287)+SUMIF('Phase II Pro Forma'!$F$6:$Z$6,'Official Summary'!L$7,'Phase II Pro Forma'!$F$290:$Z$290)+SUMIF('Phase III Pro Forma'!$F$6:$Z$6,'Official Summary'!L$7,'Phase III Pro Forma'!$F$287:$Z$287))*(SUM(Budget!$Q$35:$Q$44)/SUM(Budget!$M$35:$U$44))</f>
        <v>0</v>
      </c>
      <c r="M39" s="261">
        <f>+(SUMIF('Phase I Pro Forma'!$F$6:$Z$6,'Official Summary'!M$7,'Phase I Pro Forma'!$F$287:$Z$287)+SUMIF('Phase II Pro Forma'!$F$6:$Z$6,'Official Summary'!M$7,'Phase II Pro Forma'!$F$290:$Z$290)+SUMIF('Phase III Pro Forma'!$F$6:$Z$6,'Official Summary'!M$7,'Phase III Pro Forma'!$F$287:$Z$287))*(SUM(Budget!$Q$35:$Q$44)/SUM(Budget!$M$35:$U$44))</f>
        <v>0</v>
      </c>
      <c r="N39" s="290">
        <f>+(SUMIF('Phase I Pro Forma'!$F$6:$Z$6,'Official Summary'!N$7,'Phase I Pro Forma'!$F$287:$Z$287)+SUMIF('Phase II Pro Forma'!$F$6:$Z$6,'Official Summary'!N$7,'Phase II Pro Forma'!$F$290:$Z$290)+SUMIF('Phase III Pro Forma'!$F$6:$Z$6,'Official Summary'!N$7,'Phase III Pro Forma'!$F$287:$Z$287))*(SUM(Budget!$Q$35:$Q$44)/SUM(Budget!$M$35:$U$44))</f>
        <v>0</v>
      </c>
    </row>
    <row r="40" spans="2:14" ht="19" hidden="1" customHeight="1">
      <c r="B40" s="298" t="s">
        <v>26</v>
      </c>
      <c r="C40" s="298"/>
      <c r="D40" s="261">
        <f>+(SUMIF('Phase I Pro Forma'!$F$6:$Z$6,'Official Summary'!D$7,'Phase I Pro Forma'!$F$287:$Z$287)+SUMIF('Phase II Pro Forma'!$F$6:$Z$6,'Official Summary'!D$7,'Phase II Pro Forma'!$F$290:$Z$290)+SUMIF('Phase III Pro Forma'!$F$6:$Z$6,'Official Summary'!D$7,'Phase III Pro Forma'!$F$287:$Z$287))*(SUM(Budget!$P$35:$P$44)/SUM(Budget!$M$35:$U$44))</f>
        <v>1.4956775370602009E-4</v>
      </c>
      <c r="E40" s="285">
        <f>+(SUMIF('Phase I Pro Forma'!$F$6:$Z$6,'Official Summary'!E$7,'Phase I Pro Forma'!$F$287:$Z$287)+SUMIF('Phase II Pro Forma'!$F$6:$Z$6,'Official Summary'!E$7,'Phase II Pro Forma'!$F$290:$Z$290)+SUMIF('Phase III Pro Forma'!$F$6:$Z$6,'Official Summary'!E$7,'Phase III Pro Forma'!$F$287:$Z$287))*(SUM(Budget!$P$35:$P$44)/SUM(Budget!$M$35:$U$44))</f>
        <v>0.28670138370993148</v>
      </c>
      <c r="F40" s="261">
        <f>+(SUMIF('Phase I Pro Forma'!$F$6:$Z$6,'Official Summary'!F$7,'Phase I Pro Forma'!$F$287:$Z$287)+SUMIF('Phase II Pro Forma'!$F$6:$Z$6,'Official Summary'!F$7,'Phase II Pro Forma'!$F$290:$Z$290)+SUMIF('Phase III Pro Forma'!$F$6:$Z$6,'Official Summary'!F$7,'Phase III Pro Forma'!$F$287:$Z$287))*(SUM(Budget!$P$35:$P$44)/SUM(Budget!$M$35:$U$44))</f>
        <v>0.28677616758678448</v>
      </c>
      <c r="G40" s="281">
        <f>+(SUMIF('Phase I Pro Forma'!$F$6:$Z$6,'Official Summary'!G$7,'Phase I Pro Forma'!$F$287:$Z$287)+SUMIF('Phase II Pro Forma'!$F$6:$Z$6,'Official Summary'!G$7,'Phase II Pro Forma'!$F$290:$Z$290)+SUMIF('Phase III Pro Forma'!$F$6:$Z$6,'Official Summary'!G$7,'Phase III Pro Forma'!$F$287:$Z$287))*(SUM(Budget!$P$35:$P$44)/SUM(Budget!$M$35:$U$44))</f>
        <v>8.095179987160421E-2</v>
      </c>
      <c r="H40" s="261">
        <f>+(SUMIF('Phase I Pro Forma'!$F$6:$Z$6,'Official Summary'!H$7,'Phase I Pro Forma'!$F$287:$Z$287)+SUMIF('Phase II Pro Forma'!$F$6:$Z$6,'Official Summary'!H$7,'Phase II Pro Forma'!$F$290:$Z$290)+SUMIF('Phase III Pro Forma'!$F$6:$Z$6,'Official Summary'!H$7,'Phase III Pro Forma'!$F$287:$Z$287))*(SUM(Budget!$P$35:$P$44)/SUM(Budget!$M$35:$U$44))</f>
        <v>8.1026583748457212E-2</v>
      </c>
      <c r="I40" s="276">
        <f>+(SUMIF('Phase I Pro Forma'!$F$6:$Z$6,'Official Summary'!I$7,'Phase I Pro Forma'!$F$287:$Z$287)+SUMIF('Phase II Pro Forma'!$F$6:$Z$6,'Official Summary'!I$7,'Phase II Pro Forma'!$F$290:$Z$290)+SUMIF('Phase III Pro Forma'!$F$6:$Z$6,'Official Summary'!I$7,'Phase III Pro Forma'!$F$287:$Z$287))*(SUM(Budget!$P$35:$P$44)/SUM(Budget!$M$35:$U$44))</f>
        <v>0.17877270408670942</v>
      </c>
      <c r="J40" s="261">
        <f>+(SUMIF('Phase I Pro Forma'!$F$6:$Z$6,'Official Summary'!J$7,'Phase I Pro Forma'!$F$287:$Z$287)+SUMIF('Phase II Pro Forma'!$F$6:$Z$6,'Official Summary'!J$7,'Phase II Pro Forma'!$F$290:$Z$290)+SUMIF('Phase III Pro Forma'!$F$6:$Z$6,'Official Summary'!J$7,'Phase III Pro Forma'!$F$287:$Z$287))*(SUM(Budget!$P$35:$P$44)/SUM(Budget!$M$35:$U$44))</f>
        <v>0.17877270408670942</v>
      </c>
      <c r="K40" s="261">
        <f>+(SUMIF('Phase I Pro Forma'!$F$6:$Z$6,'Official Summary'!K$7,'Phase I Pro Forma'!$F$287:$Z$287)+SUMIF('Phase II Pro Forma'!$F$6:$Z$6,'Official Summary'!K$7,'Phase II Pro Forma'!$F$290:$Z$290)+SUMIF('Phase III Pro Forma'!$F$6:$Z$6,'Official Summary'!K$7,'Phase III Pro Forma'!$F$287:$Z$287))*(SUM(Budget!$P$35:$P$44)/SUM(Budget!$M$35:$U$44))</f>
        <v>0.17877270408670942</v>
      </c>
      <c r="L40" s="261">
        <f>+(SUMIF('Phase I Pro Forma'!$F$6:$Z$6,'Official Summary'!L$7,'Phase I Pro Forma'!$F$287:$Z$287)+SUMIF('Phase II Pro Forma'!$F$6:$Z$6,'Official Summary'!L$7,'Phase II Pro Forma'!$F$290:$Z$290)+SUMIF('Phase III Pro Forma'!$F$6:$Z$6,'Official Summary'!L$7,'Phase III Pro Forma'!$F$287:$Z$287))*(SUM(Budget!$P$35:$P$44)/SUM(Budget!$M$35:$U$44))</f>
        <v>0</v>
      </c>
      <c r="M40" s="261">
        <f>+(SUMIF('Phase I Pro Forma'!$F$6:$Z$6,'Official Summary'!M$7,'Phase I Pro Forma'!$F$287:$Z$287)+SUMIF('Phase II Pro Forma'!$F$6:$Z$6,'Official Summary'!M$7,'Phase II Pro Forma'!$F$290:$Z$290)+SUMIF('Phase III Pro Forma'!$F$6:$Z$6,'Official Summary'!M$7,'Phase III Pro Forma'!$F$287:$Z$287))*(SUM(Budget!$P$35:$P$44)/SUM(Budget!$M$35:$U$44))</f>
        <v>0</v>
      </c>
      <c r="N40" s="290">
        <f>+(SUMIF('Phase I Pro Forma'!$F$6:$Z$6,'Official Summary'!N$7,'Phase I Pro Forma'!$F$287:$Z$287)+SUMIF('Phase II Pro Forma'!$F$6:$Z$6,'Official Summary'!N$7,'Phase II Pro Forma'!$F$290:$Z$290)+SUMIF('Phase III Pro Forma'!$F$6:$Z$6,'Official Summary'!N$7,'Phase III Pro Forma'!$F$287:$Z$287))*(SUM(Budget!$P$35:$P$44)/SUM(Budget!$M$35:$U$44))</f>
        <v>0</v>
      </c>
    </row>
    <row r="41" spans="2:14" ht="19" customHeight="1">
      <c r="B41" s="298" t="s">
        <v>27</v>
      </c>
      <c r="C41" s="298"/>
      <c r="D41" s="261">
        <f>+(SUMIF('Phase I Pro Forma'!$F$6:$Z$6,'Official Summary'!D$7,'Phase I Pro Forma'!$F$287:$Z$287)+SUMIF('Phase II Pro Forma'!$F$6:$Z$6,'Official Summary'!D$7,'Phase II Pro Forma'!$F$290:$Z$290)+SUMIF('Phase III Pro Forma'!$F$6:$Z$6,'Official Summary'!D$7,'Phase III Pro Forma'!$F$287:$Z$287))*(SUM(Budget!$T$35:$T$44)/SUM(Budget!$M$35:$U$44))</f>
        <v>5205.3631626856923</v>
      </c>
      <c r="E41" s="285">
        <f>+(SUMIF('Phase I Pro Forma'!$F$6:$Z$6,'Official Summary'!E$7,'Phase I Pro Forma'!$F$287:$Z$287)+SUMIF('Phase II Pro Forma'!$F$6:$Z$6,'Official Summary'!E$7,'Phase II Pro Forma'!$F$290:$Z$290)+SUMIF('Phase III Pro Forma'!$F$6:$Z$6,'Official Summary'!E$7,'Phase III Pro Forma'!$F$287:$Z$287))*(SUM(Budget!$T$35:$T$44)/SUM(Budget!$M$35:$U$44))</f>
        <v>9977985.1236384828</v>
      </c>
      <c r="F41" s="261">
        <f>+(SUMIF('Phase I Pro Forma'!$F$6:$Z$6,'Official Summary'!F$7,'Phase I Pro Forma'!$F$287:$Z$287)+SUMIF('Phase II Pro Forma'!$F$6:$Z$6,'Official Summary'!F$7,'Phase II Pro Forma'!$F$290:$Z$290)+SUMIF('Phase III Pro Forma'!$F$6:$Z$6,'Official Summary'!F$7,'Phase III Pro Forma'!$F$287:$Z$287))*(SUM(Budget!$T$35:$T$44)/SUM(Budget!$M$35:$U$44))</f>
        <v>9980587.8052198254</v>
      </c>
      <c r="G41" s="281">
        <f>+(SUMIF('Phase I Pro Forma'!$F$6:$Z$6,'Official Summary'!G$7,'Phase I Pro Forma'!$F$287:$Z$287)+SUMIF('Phase II Pro Forma'!$F$6:$Z$6,'Official Summary'!G$7,'Phase II Pro Forma'!$F$290:$Z$290)+SUMIF('Phase III Pro Forma'!$F$6:$Z$6,'Official Summary'!G$7,'Phase III Pro Forma'!$F$287:$Z$287))*(SUM(Budget!$T$35:$T$44)/SUM(Budget!$M$35:$U$44))</f>
        <v>2817342.0176717695</v>
      </c>
      <c r="H41" s="261">
        <f>+(SUMIF('Phase I Pro Forma'!$F$6:$Z$6,'Official Summary'!H$7,'Phase I Pro Forma'!$F$287:$Z$287)+SUMIF('Phase II Pro Forma'!$F$6:$Z$6,'Official Summary'!H$7,'Phase II Pro Forma'!$F$290:$Z$290)+SUMIF('Phase III Pro Forma'!$F$6:$Z$6,'Official Summary'!H$7,'Phase III Pro Forma'!$F$287:$Z$287))*(SUM(Budget!$T$35:$T$44)/SUM(Budget!$M$35:$U$44))</f>
        <v>2819944.6992531121</v>
      </c>
      <c r="I41" s="276">
        <f>+(SUMIF('Phase I Pro Forma'!$F$6:$Z$6,'Official Summary'!I$7,'Phase I Pro Forma'!$F$287:$Z$287)+SUMIF('Phase II Pro Forma'!$F$6:$Z$6,'Official Summary'!I$7,'Phase II Pro Forma'!$F$290:$Z$290)+SUMIF('Phase III Pro Forma'!$F$6:$Z$6,'Official Summary'!I$7,'Phase III Pro Forma'!$F$287:$Z$287))*(SUM(Budget!$T$35:$T$44)/SUM(Budget!$M$35:$U$44))</f>
        <v>6221774.5823457642</v>
      </c>
      <c r="J41" s="261">
        <f>+(SUMIF('Phase I Pro Forma'!$F$6:$Z$6,'Official Summary'!J$7,'Phase I Pro Forma'!$F$287:$Z$287)+SUMIF('Phase II Pro Forma'!$F$6:$Z$6,'Official Summary'!J$7,'Phase II Pro Forma'!$F$290:$Z$290)+SUMIF('Phase III Pro Forma'!$F$6:$Z$6,'Official Summary'!J$7,'Phase III Pro Forma'!$F$287:$Z$287))*(SUM(Budget!$T$35:$T$44)/SUM(Budget!$M$35:$U$44))</f>
        <v>6221774.5823457642</v>
      </c>
      <c r="K41" s="261">
        <f>+(SUMIF('Phase I Pro Forma'!$F$6:$Z$6,'Official Summary'!K$7,'Phase I Pro Forma'!$F$287:$Z$287)+SUMIF('Phase II Pro Forma'!$F$6:$Z$6,'Official Summary'!K$7,'Phase II Pro Forma'!$F$290:$Z$290)+SUMIF('Phase III Pro Forma'!$F$6:$Z$6,'Official Summary'!K$7,'Phase III Pro Forma'!$F$287:$Z$287))*(SUM(Budget!$T$35:$T$44)/SUM(Budget!$M$35:$U$44))</f>
        <v>6221774.5823457642</v>
      </c>
      <c r="L41" s="261">
        <f>+(SUMIF('Phase I Pro Forma'!$F$6:$Z$6,'Official Summary'!L$7,'Phase I Pro Forma'!$F$287:$Z$287)+SUMIF('Phase II Pro Forma'!$F$6:$Z$6,'Official Summary'!L$7,'Phase II Pro Forma'!$F$290:$Z$290)+SUMIF('Phase III Pro Forma'!$F$6:$Z$6,'Official Summary'!L$7,'Phase III Pro Forma'!$F$287:$Z$287))*(SUM(Budget!$T$35:$T$44)/SUM(Budget!$M$35:$U$44))</f>
        <v>0</v>
      </c>
      <c r="M41" s="261">
        <f>+(SUMIF('Phase I Pro Forma'!$F$6:$Z$6,'Official Summary'!M$7,'Phase I Pro Forma'!$F$287:$Z$287)+SUMIF('Phase II Pro Forma'!$F$6:$Z$6,'Official Summary'!M$7,'Phase II Pro Forma'!$F$290:$Z$290)+SUMIF('Phase III Pro Forma'!$F$6:$Z$6,'Official Summary'!M$7,'Phase III Pro Forma'!$F$287:$Z$287))*(SUM(Budget!$T$35:$T$44)/SUM(Budget!$M$35:$U$44))</f>
        <v>0</v>
      </c>
      <c r="N41" s="290">
        <f>+(SUMIF('Phase I Pro Forma'!$F$6:$Z$6,'Official Summary'!N$7,'Phase I Pro Forma'!$F$287:$Z$287)+SUMIF('Phase II Pro Forma'!$F$6:$Z$6,'Official Summary'!N$7,'Phase II Pro Forma'!$F$290:$Z$290)+SUMIF('Phase III Pro Forma'!$F$6:$Z$6,'Official Summary'!N$7,'Phase III Pro Forma'!$F$287:$Z$287))*(SUM(Budget!$T$35:$T$44)/SUM(Budget!$M$35:$U$44))</f>
        <v>0</v>
      </c>
    </row>
    <row r="42" spans="2:14" ht="19" customHeight="1">
      <c r="B42" s="339" t="s">
        <v>28</v>
      </c>
      <c r="C42" s="381"/>
      <c r="D42" s="261">
        <f>+(SUMIF('Phase I Pro Forma'!$F$6:$Z$6,'Official Summary'!D$7,'Phase I Pro Forma'!$F$287:$Z$287)+SUMIF('Phase II Pro Forma'!$F$6:$Z$6,'Official Summary'!D$7,'Phase II Pro Forma'!$F$290:$Z$290)+SUMIF('Phase III Pro Forma'!$F$6:$Z$6,'Official Summary'!D$7,'Phase III Pro Forma'!$F$287:$Z$287))*(SUM(Budget!$U$35:$U$44)/SUM(Budget!$M$35:$U$44))</f>
        <v>0</v>
      </c>
      <c r="E42" s="285">
        <f>+(SUMIF('Phase I Pro Forma'!$F$6:$Z$6,'Official Summary'!E$7,'Phase I Pro Forma'!$F$287:$Z$287)+SUMIF('Phase II Pro Forma'!$F$6:$Z$6,'Official Summary'!E$7,'Phase II Pro Forma'!$F$290:$Z$290)+SUMIF('Phase III Pro Forma'!$F$6:$Z$6,'Official Summary'!E$7,'Phase III Pro Forma'!$F$287:$Z$287))*(SUM(Budget!$U$35:$U$44)/SUM(Budget!$M$35:$U$44))</f>
        <v>0</v>
      </c>
      <c r="F42" s="261">
        <f>+(SUMIF('Phase I Pro Forma'!$F$6:$Z$6,'Official Summary'!F$7,'Phase I Pro Forma'!$F$287:$Z$287)+SUMIF('Phase II Pro Forma'!$F$6:$Z$6,'Official Summary'!F$7,'Phase II Pro Forma'!$F$290:$Z$290)+SUMIF('Phase III Pro Forma'!$F$6:$Z$6,'Official Summary'!F$7,'Phase III Pro Forma'!$F$287:$Z$287))*(SUM(Budget!$U$35:$U$44)/SUM(Budget!$M$35:$U$44))</f>
        <v>0</v>
      </c>
      <c r="G42" s="281">
        <f>+(SUMIF('Phase I Pro Forma'!$F$6:$Z$6,'Official Summary'!G$7,'Phase I Pro Forma'!$F$287:$Z$287)+SUMIF('Phase II Pro Forma'!$F$6:$Z$6,'Official Summary'!G$7,'Phase II Pro Forma'!$F$290:$Z$290)+SUMIF('Phase III Pro Forma'!$F$6:$Z$6,'Official Summary'!G$7,'Phase III Pro Forma'!$F$287:$Z$287))*(SUM(Budget!$U$35:$U$44)/SUM(Budget!$M$35:$U$44))</f>
        <v>0</v>
      </c>
      <c r="H42" s="261">
        <f>+(SUMIF('Phase I Pro Forma'!$F$6:$Z$6,'Official Summary'!H$7,'Phase I Pro Forma'!$F$287:$Z$287)+SUMIF('Phase II Pro Forma'!$F$6:$Z$6,'Official Summary'!H$7,'Phase II Pro Forma'!$F$290:$Z$290)+SUMIF('Phase III Pro Forma'!$F$6:$Z$6,'Official Summary'!H$7,'Phase III Pro Forma'!$F$287:$Z$287))*(SUM(Budget!$U$35:$U$44)/SUM(Budget!$M$35:$U$44))</f>
        <v>0</v>
      </c>
      <c r="I42" s="276">
        <f>+(SUMIF('Phase I Pro Forma'!$F$6:$Z$6,'Official Summary'!I$7,'Phase I Pro Forma'!$F$287:$Z$287)+SUMIF('Phase II Pro Forma'!$F$6:$Z$6,'Official Summary'!I$7,'Phase II Pro Forma'!$F$290:$Z$290)+SUMIF('Phase III Pro Forma'!$F$6:$Z$6,'Official Summary'!I$7,'Phase III Pro Forma'!$F$287:$Z$287))*(SUM(Budget!$U$35:$U$44)/SUM(Budget!$M$35:$U$44))</f>
        <v>0</v>
      </c>
      <c r="J42" s="261">
        <f>+(SUMIF('Phase I Pro Forma'!$F$6:$Z$6,'Official Summary'!J$7,'Phase I Pro Forma'!$F$287:$Z$287)+SUMIF('Phase II Pro Forma'!$F$6:$Z$6,'Official Summary'!J$7,'Phase II Pro Forma'!$F$290:$Z$290)+SUMIF('Phase III Pro Forma'!$F$6:$Z$6,'Official Summary'!J$7,'Phase III Pro Forma'!$F$287:$Z$287))*(SUM(Budget!$U$35:$U$44)/SUM(Budget!$M$35:$U$44))</f>
        <v>0</v>
      </c>
      <c r="K42" s="261">
        <f>+(SUMIF('Phase I Pro Forma'!$F$6:$Z$6,'Official Summary'!K$7,'Phase I Pro Forma'!$F$287:$Z$287)+SUMIF('Phase II Pro Forma'!$F$6:$Z$6,'Official Summary'!K$7,'Phase II Pro Forma'!$F$290:$Z$290)+SUMIF('Phase III Pro Forma'!$F$6:$Z$6,'Official Summary'!K$7,'Phase III Pro Forma'!$F$287:$Z$287))*(SUM(Budget!$U$35:$U$44)/SUM(Budget!$M$35:$U$44))</f>
        <v>0</v>
      </c>
      <c r="L42" s="261">
        <f>+(SUMIF('Phase I Pro Forma'!$F$6:$Z$6,'Official Summary'!L$7,'Phase I Pro Forma'!$F$287:$Z$287)+SUMIF('Phase II Pro Forma'!$F$6:$Z$6,'Official Summary'!L$7,'Phase II Pro Forma'!$F$290:$Z$290)+SUMIF('Phase III Pro Forma'!$F$6:$Z$6,'Official Summary'!L$7,'Phase III Pro Forma'!$F$287:$Z$287))*(SUM(Budget!$U$35:$U$44)/SUM(Budget!$M$35:$U$44))</f>
        <v>0</v>
      </c>
      <c r="M42" s="261">
        <f>+(SUMIF('Phase I Pro Forma'!$F$6:$Z$6,'Official Summary'!M$7,'Phase I Pro Forma'!$F$287:$Z$287)+SUMIF('Phase II Pro Forma'!$F$6:$Z$6,'Official Summary'!M$7,'Phase II Pro Forma'!$F$290:$Z$290)+SUMIF('Phase III Pro Forma'!$F$6:$Z$6,'Official Summary'!M$7,'Phase III Pro Forma'!$F$287:$Z$287))*(SUM(Budget!$U$35:$U$44)/SUM(Budget!$M$35:$U$44))</f>
        <v>0</v>
      </c>
      <c r="N42" s="290">
        <f>+(SUMIF('Phase I Pro Forma'!$F$6:$Z$6,'Official Summary'!N$7,'Phase I Pro Forma'!$F$287:$Z$287)+SUMIF('Phase II Pro Forma'!$F$6:$Z$6,'Official Summary'!N$7,'Phase II Pro Forma'!$F$290:$Z$290)+SUMIF('Phase III Pro Forma'!$F$6:$Z$6,'Official Summary'!N$7,'Phase III Pro Forma'!$F$287:$Z$287))*(SUM(Budget!$U$35:$U$44)/SUM(Budget!$M$35:$U$44))</f>
        <v>0</v>
      </c>
    </row>
    <row r="43" spans="2:14" ht="19" hidden="1" customHeight="1">
      <c r="B43" s="298" t="s">
        <v>48</v>
      </c>
      <c r="C43" s="298"/>
      <c r="D43" s="261" t="s">
        <v>467</v>
      </c>
      <c r="E43" s="285" t="s">
        <v>467</v>
      </c>
      <c r="F43" s="261" t="s">
        <v>467</v>
      </c>
      <c r="G43" s="281" t="s">
        <v>467</v>
      </c>
      <c r="H43" s="261" t="s">
        <v>467</v>
      </c>
      <c r="I43" s="276" t="s">
        <v>467</v>
      </c>
      <c r="J43" s="261" t="s">
        <v>467</v>
      </c>
      <c r="K43" s="261" t="s">
        <v>467</v>
      </c>
      <c r="L43" s="261" t="s">
        <v>467</v>
      </c>
      <c r="M43" s="261" t="s">
        <v>467</v>
      </c>
      <c r="N43" s="290" t="s">
        <v>467</v>
      </c>
    </row>
    <row r="44" spans="2:14" ht="19" customHeight="1">
      <c r="B44" s="298" t="s">
        <v>710</v>
      </c>
      <c r="C44" s="298"/>
      <c r="D44" s="261">
        <f>+(SUMIF('Phase I Pro Forma'!$F$6:$Z$6,'Official Summary'!D$7,'Phase I Pro Forma'!$F$287:$Z$287)+SUMIF('Phase II Pro Forma'!$F$6:$Z$6,'Official Summary'!D$7,'Phase II Pro Forma'!$F$290:$Z$290)+SUMIF('Phase III Pro Forma'!$F$6:$Z$6,'Official Summary'!D$7,'Phase III Pro Forma'!$F$287:$Z$287))*(SUM(Budget!$S$35:$S$44)/SUM(Budget!$M$35:$U$44))</f>
        <v>2058.3730600538488</v>
      </c>
      <c r="E44" s="285">
        <f>+(SUMIF('Phase I Pro Forma'!$F$6:$Z$6,'Official Summary'!E$7,'Phase I Pro Forma'!$F$287:$Z$287)+SUMIF('Phase II Pro Forma'!$F$6:$Z$6,'Official Summary'!E$7,'Phase II Pro Forma'!$F$290:$Z$290)+SUMIF('Phase III Pro Forma'!$F$6:$Z$6,'Official Summary'!E$7,'Phase III Pro Forma'!$F$287:$Z$287))*(SUM(Budget!$S$35:$S$44)/SUM(Budget!$M$35:$U$44))</f>
        <v>3945625.9112416646</v>
      </c>
      <c r="F44" s="261">
        <f>+(SUMIF('Phase I Pro Forma'!$F$6:$Z$6,'Official Summary'!F$7,'Phase I Pro Forma'!$F$287:$Z$287)+SUMIF('Phase II Pro Forma'!$F$6:$Z$6,'Official Summary'!F$7,'Phase II Pro Forma'!$F$290:$Z$290)+SUMIF('Phase III Pro Forma'!$F$6:$Z$6,'Official Summary'!F$7,'Phase III Pro Forma'!$F$287:$Z$287))*(SUM(Budget!$S$35:$S$44)/SUM(Budget!$M$35:$U$44))</f>
        <v>3946655.0977716912</v>
      </c>
      <c r="G44" s="281">
        <f>+(SUMIF('Phase I Pro Forma'!$F$6:$Z$6,'Official Summary'!G$7,'Phase I Pro Forma'!$F$287:$Z$287)+SUMIF('Phase II Pro Forma'!$F$6:$Z$6,'Official Summary'!G$7,'Phase II Pro Forma'!$F$290:$Z$290)+SUMIF('Phase III Pro Forma'!$F$6:$Z$6,'Official Summary'!G$7,'Phase III Pro Forma'!$F$287:$Z$287))*(SUM(Budget!$S$35:$S$44)/SUM(Budget!$M$35:$U$44))</f>
        <v>1114070.3787401598</v>
      </c>
      <c r="H44" s="261">
        <f>+(SUMIF('Phase I Pro Forma'!$F$6:$Z$6,'Official Summary'!H$7,'Phase I Pro Forma'!$F$287:$Z$287)+SUMIF('Phase II Pro Forma'!$F$6:$Z$6,'Official Summary'!H$7,'Phase II Pro Forma'!$F$290:$Z$290)+SUMIF('Phase III Pro Forma'!$F$6:$Z$6,'Official Summary'!H$7,'Phase III Pro Forma'!$F$287:$Z$287))*(SUM(Budget!$S$35:$S$44)/SUM(Budget!$M$35:$U$44))</f>
        <v>1115099.5652701866</v>
      </c>
      <c r="I44" s="276">
        <f>+(SUMIF('Phase I Pro Forma'!$F$6:$Z$6,'Official Summary'!I$7,'Phase I Pro Forma'!$F$287:$Z$287)+SUMIF('Phase II Pro Forma'!$F$6:$Z$6,'Official Summary'!I$7,'Phase II Pro Forma'!$F$290:$Z$290)+SUMIF('Phase III Pro Forma'!$F$6:$Z$6,'Official Summary'!I$7,'Phase III Pro Forma'!$F$287:$Z$287))*(SUM(Budget!$S$35:$S$44)/SUM(Budget!$M$35:$U$44))</f>
        <v>2460295.8114109198</v>
      </c>
      <c r="J44" s="261">
        <f>+(SUMIF('Phase I Pro Forma'!$F$6:$Z$6,'Official Summary'!J$7,'Phase I Pro Forma'!$F$287:$Z$287)+SUMIF('Phase II Pro Forma'!$F$6:$Z$6,'Official Summary'!J$7,'Phase II Pro Forma'!$F$290:$Z$290)+SUMIF('Phase III Pro Forma'!$F$6:$Z$6,'Official Summary'!J$7,'Phase III Pro Forma'!$F$287:$Z$287))*(SUM(Budget!$S$35:$S$44)/SUM(Budget!$M$35:$U$44))</f>
        <v>2460295.8114109198</v>
      </c>
      <c r="K44" s="261">
        <f>+(SUMIF('Phase I Pro Forma'!$F$6:$Z$6,'Official Summary'!K$7,'Phase I Pro Forma'!$F$287:$Z$287)+SUMIF('Phase II Pro Forma'!$F$6:$Z$6,'Official Summary'!K$7,'Phase II Pro Forma'!$F$290:$Z$290)+SUMIF('Phase III Pro Forma'!$F$6:$Z$6,'Official Summary'!K$7,'Phase III Pro Forma'!$F$287:$Z$287))*(SUM(Budget!$S$35:$S$44)/SUM(Budget!$M$35:$U$44))</f>
        <v>2460295.8114109198</v>
      </c>
      <c r="L44" s="261">
        <f>+(SUMIF('Phase I Pro Forma'!$F$6:$Z$6,'Official Summary'!L$7,'Phase I Pro Forma'!$F$287:$Z$287)+SUMIF('Phase II Pro Forma'!$F$6:$Z$6,'Official Summary'!L$7,'Phase II Pro Forma'!$F$290:$Z$290)+SUMIF('Phase III Pro Forma'!$F$6:$Z$6,'Official Summary'!L$7,'Phase III Pro Forma'!$F$287:$Z$287))*(SUM(Budget!$S$35:$S$44)/SUM(Budget!$M$35:$U$44))</f>
        <v>0</v>
      </c>
      <c r="M44" s="261">
        <f>+(SUMIF('Phase I Pro Forma'!$F$6:$Z$6,'Official Summary'!M$7,'Phase I Pro Forma'!$F$287:$Z$287)+SUMIF('Phase II Pro Forma'!$F$6:$Z$6,'Official Summary'!M$7,'Phase II Pro Forma'!$F$290:$Z$290)+SUMIF('Phase III Pro Forma'!$F$6:$Z$6,'Official Summary'!M$7,'Phase III Pro Forma'!$F$287:$Z$287))*(SUM(Budget!$S$35:$S$44)/SUM(Budget!$M$35:$U$44))</f>
        <v>0</v>
      </c>
      <c r="N44" s="290">
        <f>+(SUMIF('Phase I Pro Forma'!$F$6:$Z$6,'Official Summary'!N$7,'Phase I Pro Forma'!$F$287:$Z$287)+SUMIF('Phase II Pro Forma'!$F$6:$Z$6,'Official Summary'!N$7,'Phase II Pro Forma'!$F$290:$Z$290)+SUMIF('Phase III Pro Forma'!$F$6:$Z$6,'Official Summary'!N$7,'Phase III Pro Forma'!$F$287:$Z$287))*(SUM(Budget!$S$35:$S$44)/SUM(Budget!$M$35:$U$44))</f>
        <v>0</v>
      </c>
    </row>
    <row r="45" spans="2:14" ht="19" customHeight="1">
      <c r="B45" s="293" t="s">
        <v>47</v>
      </c>
      <c r="D45" s="261">
        <f>+(SUMIF('Phase I Pro Forma'!$F$6:$Z$6,'Official Summary'!D$7,'Phase I Pro Forma'!$F$285:$Z$285)+SUMIF('Phase II Pro Forma'!$F$6:$Z$6,'Official Summary'!D$7,'Phase II Pro Forma'!$F$288:$Z$288)+SUMIF('Phase III Pro Forma'!$F$6:$Z$6,'Official Summary'!D$7,'Phase III Pro Forma'!$F$285:$Z$285))</f>
        <v>23250525.361561798</v>
      </c>
      <c r="E45" s="285">
        <f>+(SUMIF('Phase I Pro Forma'!$F$6:$Z$6,'Official Summary'!E$7,'Phase I Pro Forma'!$F$285:$Z$285)+SUMIF('Phase II Pro Forma'!$F$6:$Z$6,'Official Summary'!E$7,'Phase II Pro Forma'!$F$288:$Z$288)+SUMIF('Phase III Pro Forma'!$F$6:$Z$6,'Official Summary'!E$7,'Phase III Pro Forma'!$F$285:$Z$285))</f>
        <v>0</v>
      </c>
      <c r="F45" s="261">
        <f>+(SUMIF('Phase I Pro Forma'!$F$6:$Z$6,'Official Summary'!F$7,'Phase I Pro Forma'!$F$285:$Z$285)+SUMIF('Phase II Pro Forma'!$F$6:$Z$6,'Official Summary'!F$7,'Phase II Pro Forma'!$F$288:$Z$288)+SUMIF('Phase III Pro Forma'!$F$6:$Z$6,'Official Summary'!F$7,'Phase III Pro Forma'!$F$285:$Z$285))</f>
        <v>81611947</v>
      </c>
      <c r="G45" s="281">
        <f>+(SUMIF('Phase I Pro Forma'!$F$6:$Z$6,'Official Summary'!G$7,'Phase I Pro Forma'!$F$285:$Z$285)+SUMIF('Phase II Pro Forma'!$F$6:$Z$6,'Official Summary'!G$7,'Phase II Pro Forma'!$F$288:$Z$288)+SUMIF('Phase III Pro Forma'!$F$6:$Z$6,'Official Summary'!G$7,'Phase III Pro Forma'!$F$285:$Z$285))</f>
        <v>0</v>
      </c>
      <c r="H45" s="261">
        <f>+(SUMIF('Phase I Pro Forma'!$F$6:$Z$6,'Official Summary'!H$7,'Phase I Pro Forma'!$F$285:$Z$285)+SUMIF('Phase II Pro Forma'!$F$6:$Z$6,'Official Summary'!H$7,'Phase II Pro Forma'!$F$288:$Z$288)+SUMIF('Phase III Pro Forma'!$F$6:$Z$6,'Official Summary'!H$7,'Phase III Pro Forma'!$F$285:$Z$285))</f>
        <v>58166088.88800668</v>
      </c>
      <c r="I45" s="276">
        <f>+(SUMIF('Phase I Pro Forma'!$F$6:$Z$6,'Official Summary'!I$7,'Phase I Pro Forma'!$F$285:$Z$285)+SUMIF('Phase II Pro Forma'!$F$6:$Z$6,'Official Summary'!I$7,'Phase II Pro Forma'!$F$288:$Z$288)+SUMIF('Phase III Pro Forma'!$F$6:$Z$6,'Official Summary'!I$7,'Phase III Pro Forma'!$F$285:$Z$285))</f>
        <v>0</v>
      </c>
      <c r="J45" s="261">
        <f>+(SUMIF('Phase I Pro Forma'!$F$6:$Z$6,'Official Summary'!J$7,'Phase I Pro Forma'!$F$285:$Z$285)+SUMIF('Phase II Pro Forma'!$F$6:$Z$6,'Official Summary'!J$7,'Phase II Pro Forma'!$F$288:$Z$288)+SUMIF('Phase III Pro Forma'!$F$6:$Z$6,'Official Summary'!J$7,'Phase III Pro Forma'!$F$285:$Z$285))</f>
        <v>0</v>
      </c>
      <c r="K45" s="261">
        <f>+(SUMIF('Phase I Pro Forma'!$F$6:$Z$6,'Official Summary'!K$7,'Phase I Pro Forma'!$F$285:$Z$285)+SUMIF('Phase II Pro Forma'!$F$6:$Z$6,'Official Summary'!K$7,'Phase II Pro Forma'!$F$288:$Z$288)+SUMIF('Phase III Pro Forma'!$F$6:$Z$6,'Official Summary'!K$7,'Phase III Pro Forma'!$F$285:$Z$285))</f>
        <v>0</v>
      </c>
      <c r="L45" s="261">
        <f>+(SUMIF('Phase I Pro Forma'!$F$6:$Z$6,'Official Summary'!L$7,'Phase I Pro Forma'!$F$285:$Z$285)+SUMIF('Phase II Pro Forma'!$F$6:$Z$6,'Official Summary'!L$7,'Phase II Pro Forma'!$F$288:$Z$288)+SUMIF('Phase III Pro Forma'!$F$6:$Z$6,'Official Summary'!L$7,'Phase III Pro Forma'!$F$285:$Z$285))</f>
        <v>0</v>
      </c>
      <c r="M45" s="261">
        <f>+(SUMIF('Phase I Pro Forma'!$F$6:$Z$6,'Official Summary'!M$7,'Phase I Pro Forma'!$F$285:$Z$285)+SUMIF('Phase II Pro Forma'!$F$6:$Z$6,'Official Summary'!M$7,'Phase II Pro Forma'!$F$288:$Z$288)+SUMIF('Phase III Pro Forma'!$F$6:$Z$6,'Official Summary'!M$7,'Phase III Pro Forma'!$F$285:$Z$285))</f>
        <v>0</v>
      </c>
      <c r="N45" s="290">
        <f>+(SUMIF('Phase I Pro Forma'!$F$6:$Z$6,'Official Summary'!N$7,'Phase I Pro Forma'!$F$285:$Z$285)+SUMIF('Phase II Pro Forma'!$F$6:$Z$6,'Official Summary'!N$7,'Phase II Pro Forma'!$F$288:$Z$288)+SUMIF('Phase III Pro Forma'!$F$6:$Z$6,'Official Summary'!N$7,'Phase III Pro Forma'!$F$285:$Z$285))</f>
        <v>0</v>
      </c>
    </row>
    <row r="46" spans="2:14" ht="19" customHeight="1">
      <c r="B46" s="293" t="s">
        <v>42</v>
      </c>
      <c r="C46" s="262"/>
      <c r="D46" s="261">
        <f>+(SUMIF('Phase I Pro Forma'!$F$6:$Z$6,'Official Summary'!D$7,'Phase I Pro Forma'!$F$286:$Z$286)+SUMIF('Phase II Pro Forma'!$F$6:$Z$6,'Official Summary'!D$7,'Phase II Pro Forma'!$F$289:$Z$289)+SUMIF('Phase III Pro Forma'!$F$6:$Z$6,'Official Summary'!D$7,'Phase III Pro Forma'!$F$286:$Z$286))</f>
        <v>25343149.042553194</v>
      </c>
      <c r="E46" s="285">
        <f>+(SUMIF('Phase I Pro Forma'!$F$6:$Z$6,'Official Summary'!E$7,'Phase I Pro Forma'!$F$286:$Z$286)+SUMIF('Phase II Pro Forma'!$F$6:$Z$6,'Official Summary'!E$7,'Phase II Pro Forma'!$F$289:$Z$289)+SUMIF('Phase III Pro Forma'!$F$6:$Z$6,'Official Summary'!E$7,'Phase III Pro Forma'!$F$286:$Z$286))</f>
        <v>0</v>
      </c>
      <c r="F46" s="261">
        <f>+(SUMIF('Phase I Pro Forma'!$F$6:$Z$6,'Official Summary'!F$7,'Phase I Pro Forma'!$F$286:$Z$286)+SUMIF('Phase II Pro Forma'!$F$6:$Z$6,'Official Summary'!F$7,'Phase II Pro Forma'!$F$289:$Z$289)+SUMIF('Phase III Pro Forma'!$F$6:$Z$6,'Official Summary'!F$7,'Phase III Pro Forma'!$F$286:$Z$286))</f>
        <v>13924805.425531914</v>
      </c>
      <c r="G46" s="281">
        <f>+(SUMIF('Phase I Pro Forma'!$F$6:$Z$6,'Official Summary'!G$7,'Phase I Pro Forma'!$F$286:$Z$286)+SUMIF('Phase II Pro Forma'!$F$6:$Z$6,'Official Summary'!G$7,'Phase II Pro Forma'!$F$289:$Z$289)+SUMIF('Phase III Pro Forma'!$F$6:$Z$6,'Official Summary'!G$7,'Phase III Pro Forma'!$F$286:$Z$286))</f>
        <v>0</v>
      </c>
      <c r="H46" s="261">
        <f>+(SUMIF('Phase I Pro Forma'!$F$6:$Z$6,'Official Summary'!H$7,'Phase I Pro Forma'!$F$286:$Z$286)+SUMIF('Phase II Pro Forma'!$F$6:$Z$6,'Official Summary'!H$7,'Phase II Pro Forma'!$F$289:$Z$289)+SUMIF('Phase III Pro Forma'!$F$6:$Z$6,'Official Summary'!H$7,'Phase III Pro Forma'!$F$286:$Z$286))</f>
        <v>7755425.4255319145</v>
      </c>
      <c r="I46" s="276">
        <f>+(SUMIF('Phase I Pro Forma'!$F$6:$Z$6,'Official Summary'!I$7,'Phase I Pro Forma'!$F$286:$Z$286)+SUMIF('Phase II Pro Forma'!$F$6:$Z$6,'Official Summary'!I$7,'Phase II Pro Forma'!$F$289:$Z$289)+SUMIF('Phase III Pro Forma'!$F$6:$Z$6,'Official Summary'!I$7,'Phase III Pro Forma'!$F$286:$Z$286))</f>
        <v>0</v>
      </c>
      <c r="J46" s="261">
        <f>+(SUMIF('Phase I Pro Forma'!$F$6:$Z$6,'Official Summary'!J$7,'Phase I Pro Forma'!$F$286:$Z$286)+SUMIF('Phase II Pro Forma'!$F$6:$Z$6,'Official Summary'!J$7,'Phase II Pro Forma'!$F$289:$Z$289)+SUMIF('Phase III Pro Forma'!$F$6:$Z$6,'Official Summary'!J$7,'Phase III Pro Forma'!$F$286:$Z$286))</f>
        <v>0</v>
      </c>
      <c r="K46" s="261">
        <f>+(SUMIF('Phase I Pro Forma'!$F$6:$Z$6,'Official Summary'!K$7,'Phase I Pro Forma'!$F$286:$Z$286)+SUMIF('Phase II Pro Forma'!$F$6:$Z$6,'Official Summary'!K$7,'Phase II Pro Forma'!$F$289:$Z$289)+SUMIF('Phase III Pro Forma'!$F$6:$Z$6,'Official Summary'!K$7,'Phase III Pro Forma'!$F$286:$Z$286))</f>
        <v>0</v>
      </c>
      <c r="L46" s="261">
        <f>+(SUMIF('Phase I Pro Forma'!$F$6:$Z$6,'Official Summary'!L$7,'Phase I Pro Forma'!$F$286:$Z$286)+SUMIF('Phase II Pro Forma'!$F$6:$Z$6,'Official Summary'!L$7,'Phase II Pro Forma'!$F$289:$Z$289)+SUMIF('Phase III Pro Forma'!$F$6:$Z$6,'Official Summary'!L$7,'Phase III Pro Forma'!$F$286:$Z$286))</f>
        <v>0</v>
      </c>
      <c r="M46" s="261">
        <f>+(SUMIF('Phase I Pro Forma'!$F$6:$Z$6,'Official Summary'!M$7,'Phase I Pro Forma'!$F$286:$Z$286)+SUMIF('Phase II Pro Forma'!$F$6:$Z$6,'Official Summary'!M$7,'Phase II Pro Forma'!$F$289:$Z$289)+SUMIF('Phase III Pro Forma'!$F$6:$Z$6,'Official Summary'!M$7,'Phase III Pro Forma'!$F$286:$Z$286))</f>
        <v>0</v>
      </c>
      <c r="N46" s="290">
        <f>+(SUMIF('Phase I Pro Forma'!$F$6:$Z$6,'Official Summary'!N$7,'Phase I Pro Forma'!$F$286:$Z$286)+SUMIF('Phase II Pro Forma'!$F$6:$Z$6,'Official Summary'!N$7,'Phase II Pro Forma'!$F$289:$Z$289)+SUMIF('Phase III Pro Forma'!$F$6:$Z$6,'Official Summary'!N$7,'Phase III Pro Forma'!$F$286:$Z$286))</f>
        <v>0</v>
      </c>
    </row>
    <row r="47" spans="2:14" ht="19" customHeight="1">
      <c r="B47" s="293" t="s">
        <v>411</v>
      </c>
      <c r="C47" s="262"/>
      <c r="D47" s="261">
        <f>+(SUMIF('Phase I Pro Forma'!$F$6:$Z$6,'Official Summary'!D$7,'Phase I Pro Forma'!$F$288:$Z$288)+SUMIF('Phase II Pro Forma'!$F$6:$Z$6,'Official Summary'!D$7,'Phase II Pro Forma'!$F$291:$Z$291)+SUMIF('Phase III Pro Forma'!$F$6:$Z$6,'Official Summary'!D$7,'Phase III Pro Forma'!$F$288:$Z$288))+(SUMIF('Phase I Pro Forma'!$F$6:$Z$6,'Official Summary'!D$7,'Phase I Pro Forma'!$F$290:$Z$290)+SUMIF('Phase II Pro Forma'!$F$6:$Z$6,'Official Summary'!D$7,'Phase II Pro Forma'!$F$293:$Z$293)+SUMIF('Phase III Pro Forma'!$F$6:$Z$6,'Official Summary'!D$7,'Phase III Pro Forma'!$F$290:$Z$290))</f>
        <v>13861260.518399568</v>
      </c>
      <c r="E47" s="285">
        <f>+(SUMIF('Phase I Pro Forma'!$F$6:$Z$6,'Official Summary'!E$7,'Phase I Pro Forma'!$F$288:$Z$288)+SUMIF('Phase II Pro Forma'!$F$6:$Z$6,'Official Summary'!E$7,'Phase II Pro Forma'!$F$291:$Z$291)+SUMIF('Phase III Pro Forma'!$F$6:$Z$6,'Official Summary'!E$7,'Phase III Pro Forma'!$F$288:$Z$288))+(SUMIF('Phase I Pro Forma'!$F$6:$Z$6,'Official Summary'!E$7,'Phase I Pro Forma'!$F$290:$Z$290)+SUMIF('Phase II Pro Forma'!$F$6:$Z$6,'Official Summary'!E$7,'Phase II Pro Forma'!$F$293:$Z$293)+SUMIF('Phase III Pro Forma'!$F$6:$Z$6,'Official Summary'!E$7,'Phase III Pro Forma'!$F$290:$Z$290))</f>
        <v>6425220.996140236</v>
      </c>
      <c r="F47" s="261">
        <f>+(SUMIF('Phase I Pro Forma'!$F$6:$Z$6,'Official Summary'!F$7,'Phase I Pro Forma'!$F$288:$Z$288)+SUMIF('Phase II Pro Forma'!$F$6:$Z$6,'Official Summary'!F$7,'Phase II Pro Forma'!$F$291:$Z$291)+SUMIF('Phase III Pro Forma'!$F$6:$Z$6,'Official Summary'!F$7,'Phase III Pro Forma'!$F$288:$Z$288))+(SUMIF('Phase I Pro Forma'!$F$6:$Z$6,'Official Summary'!F$7,'Phase I Pro Forma'!$F$290:$Z$290)+SUMIF('Phase II Pro Forma'!$F$6:$Z$6,'Official Summary'!F$7,'Phase II Pro Forma'!$F$293:$Z$293)+SUMIF('Phase III Pro Forma'!$F$6:$Z$6,'Official Summary'!F$7,'Phase III Pro Forma'!$F$290:$Z$290))</f>
        <v>10898701.110795865</v>
      </c>
      <c r="G47" s="281">
        <f>+(SUMIF('Phase I Pro Forma'!$F$6:$Z$6,'Official Summary'!G$7,'Phase I Pro Forma'!$F$288:$Z$288)+SUMIF('Phase II Pro Forma'!$F$6:$Z$6,'Official Summary'!G$7,'Phase II Pro Forma'!$F$291:$Z$291)+SUMIF('Phase III Pro Forma'!$F$6:$Z$6,'Official Summary'!G$7,'Phase III Pro Forma'!$F$288:$Z$288))+(SUMIF('Phase I Pro Forma'!$F$6:$Z$6,'Official Summary'!G$7,'Phase I Pro Forma'!$F$290:$Z$290)+SUMIF('Phase II Pro Forma'!$F$6:$Z$6,'Official Summary'!G$7,'Phase II Pro Forma'!$F$293:$Z$293)+SUMIF('Phase III Pro Forma'!$F$6:$Z$6,'Official Summary'!G$7,'Phase III Pro Forma'!$F$290:$Z$290))</f>
        <v>4117777.7168692811</v>
      </c>
      <c r="H47" s="261">
        <f>+(SUMIF('Phase I Pro Forma'!$F$6:$Z$6,'Official Summary'!H$7,'Phase I Pro Forma'!$F$288:$Z$288)+SUMIF('Phase II Pro Forma'!$F$6:$Z$6,'Official Summary'!H$7,'Phase II Pro Forma'!$F$291:$Z$291)+SUMIF('Phase III Pro Forma'!$F$6:$Z$6,'Official Summary'!H$7,'Phase III Pro Forma'!$F$288:$Z$288))+(SUMIF('Phase I Pro Forma'!$F$6:$Z$6,'Official Summary'!H$7,'Phase I Pro Forma'!$F$290:$Z$290)+SUMIF('Phase II Pro Forma'!$F$6:$Z$6,'Official Summary'!H$7,'Phase II Pro Forma'!$F$293:$Z$293)+SUMIF('Phase III Pro Forma'!$F$6:$Z$6,'Official Summary'!H$7,'Phase III Pro Forma'!$F$290:$Z$290))</f>
        <v>17783614.974078845</v>
      </c>
      <c r="I47" s="276">
        <f>+(SUMIF('Phase I Pro Forma'!$F$6:$Z$6,'Official Summary'!I$7,'Phase I Pro Forma'!$F$288:$Z$288)+SUMIF('Phase II Pro Forma'!$F$6:$Z$6,'Official Summary'!I$7,'Phase II Pro Forma'!$F$291:$Z$291)+SUMIF('Phase III Pro Forma'!$F$6:$Z$6,'Official Summary'!I$7,'Phase III Pro Forma'!$F$288:$Z$288))+(SUMIF('Phase I Pro Forma'!$F$6:$Z$6,'Official Summary'!I$7,'Phase I Pro Forma'!$F$290:$Z$290)+SUMIF('Phase II Pro Forma'!$F$6:$Z$6,'Official Summary'!I$7,'Phase II Pro Forma'!$F$293:$Z$293)+SUMIF('Phase III Pro Forma'!$F$6:$Z$6,'Official Summary'!I$7,'Phase III Pro Forma'!$F$290:$Z$290))</f>
        <v>5405979.4663717002</v>
      </c>
      <c r="J47" s="261">
        <f>+(SUMIF('Phase I Pro Forma'!$F$6:$Z$6,'Official Summary'!J$7,'Phase I Pro Forma'!$F$288:$Z$288)+SUMIF('Phase II Pro Forma'!$F$6:$Z$6,'Official Summary'!J$7,'Phase II Pro Forma'!$F$291:$Z$291)+SUMIF('Phase III Pro Forma'!$F$6:$Z$6,'Official Summary'!J$7,'Phase III Pro Forma'!$F$288:$Z$288))+(SUMIF('Phase I Pro Forma'!$F$6:$Z$6,'Official Summary'!J$7,'Phase I Pro Forma'!$F$290:$Z$290)+SUMIF('Phase II Pro Forma'!$F$6:$Z$6,'Official Summary'!J$7,'Phase II Pro Forma'!$F$293:$Z$293)+SUMIF('Phase III Pro Forma'!$F$6:$Z$6,'Official Summary'!J$7,'Phase III Pro Forma'!$F$290:$Z$290))</f>
        <v>5405979.4663717002</v>
      </c>
      <c r="K47" s="261">
        <f>+(SUMIF('Phase I Pro Forma'!$F$6:$Z$6,'Official Summary'!K$7,'Phase I Pro Forma'!$F$288:$Z$288)+SUMIF('Phase II Pro Forma'!$F$6:$Z$6,'Official Summary'!K$7,'Phase II Pro Forma'!$F$291:$Z$291)+SUMIF('Phase III Pro Forma'!$F$6:$Z$6,'Official Summary'!K$7,'Phase III Pro Forma'!$F$288:$Z$288))+(SUMIF('Phase I Pro Forma'!$F$6:$Z$6,'Official Summary'!K$7,'Phase I Pro Forma'!$F$290:$Z$290)+SUMIF('Phase II Pro Forma'!$F$6:$Z$6,'Official Summary'!K$7,'Phase II Pro Forma'!$F$293:$Z$293)+SUMIF('Phase III Pro Forma'!$F$6:$Z$6,'Official Summary'!K$7,'Phase III Pro Forma'!$F$290:$Z$290))</f>
        <v>5405979.4663717002</v>
      </c>
      <c r="L47" s="261">
        <f>+(SUMIF('Phase I Pro Forma'!$F$6:$Z$6,'Official Summary'!L$7,'Phase I Pro Forma'!$F$288:$Z$288)+SUMIF('Phase II Pro Forma'!$F$6:$Z$6,'Official Summary'!L$7,'Phase II Pro Forma'!$F$291:$Z$291)+SUMIF('Phase III Pro Forma'!$F$6:$Z$6,'Official Summary'!L$7,'Phase III Pro Forma'!$F$288:$Z$288))+(SUMIF('Phase I Pro Forma'!$F$6:$Z$6,'Official Summary'!L$7,'Phase I Pro Forma'!$F$290:$Z$290)+SUMIF('Phase II Pro Forma'!$F$6:$Z$6,'Official Summary'!L$7,'Phase II Pro Forma'!$F$293:$Z$293)+SUMIF('Phase III Pro Forma'!$F$6:$Z$6,'Official Summary'!L$7,'Phase III Pro Forma'!$F$290:$Z$290))</f>
        <v>0</v>
      </c>
      <c r="M47" s="261">
        <f>+(SUMIF('Phase I Pro Forma'!$F$6:$Z$6,'Official Summary'!M$7,'Phase I Pro Forma'!$F$288:$Z$288)+SUMIF('Phase II Pro Forma'!$F$6:$Z$6,'Official Summary'!M$7,'Phase II Pro Forma'!$F$291:$Z$291)+SUMIF('Phase III Pro Forma'!$F$6:$Z$6,'Official Summary'!M$7,'Phase III Pro Forma'!$F$288:$Z$288))+(SUMIF('Phase I Pro Forma'!$F$6:$Z$6,'Official Summary'!M$7,'Phase I Pro Forma'!$F$290:$Z$290)+SUMIF('Phase II Pro Forma'!$F$6:$Z$6,'Official Summary'!M$7,'Phase II Pro Forma'!$F$293:$Z$293)+SUMIF('Phase III Pro Forma'!$F$6:$Z$6,'Official Summary'!M$7,'Phase III Pro Forma'!$F$290:$Z$290))</f>
        <v>0</v>
      </c>
      <c r="N47" s="290">
        <f>+(SUMIF('Phase I Pro Forma'!$F$6:$Z$6,'Official Summary'!N$7,'Phase I Pro Forma'!$F$288:$Z$288)+SUMIF('Phase II Pro Forma'!$F$6:$Z$6,'Official Summary'!N$7,'Phase II Pro Forma'!$F$291:$Z$291)+SUMIF('Phase III Pro Forma'!$F$6:$Z$6,'Official Summary'!N$7,'Phase III Pro Forma'!$F$288:$Z$288))+(SUMIF('Phase I Pro Forma'!$F$6:$Z$6,'Official Summary'!N$7,'Phase I Pro Forma'!$F$290:$Z$290)+SUMIF('Phase II Pro Forma'!$F$6:$Z$6,'Official Summary'!N$7,'Phase II Pro Forma'!$F$293:$Z$293)+SUMIF('Phase III Pro Forma'!$F$6:$Z$6,'Official Summary'!N$7,'Phase III Pro Forma'!$F$290:$Z$290))</f>
        <v>0</v>
      </c>
    </row>
    <row r="48" spans="2:14" ht="19" customHeight="1">
      <c r="B48" s="310" t="s">
        <v>413</v>
      </c>
      <c r="C48" s="311"/>
      <c r="D48" s="312">
        <f t="shared" ref="D48:N48" si="4">+SUM(D32:D47)</f>
        <v>62534934.922514558</v>
      </c>
      <c r="E48" s="312">
        <f t="shared" si="4"/>
        <v>159774523.42583457</v>
      </c>
      <c r="F48" s="312">
        <f t="shared" si="4"/>
        <v>259824755.96602213</v>
      </c>
      <c r="G48" s="312">
        <f t="shared" si="4"/>
        <v>47416843.386180535</v>
      </c>
      <c r="H48" s="312">
        <f t="shared" si="4"/>
        <v>127044194.95692869</v>
      </c>
      <c r="I48" s="312">
        <f t="shared" si="4"/>
        <v>101026967.09614785</v>
      </c>
      <c r="J48" s="312">
        <f t="shared" si="4"/>
        <v>101026967.09614785</v>
      </c>
      <c r="K48" s="312">
        <f t="shared" si="4"/>
        <v>101026967.09614785</v>
      </c>
      <c r="L48" s="312">
        <f t="shared" si="4"/>
        <v>0</v>
      </c>
      <c r="M48" s="312">
        <f t="shared" si="4"/>
        <v>0</v>
      </c>
      <c r="N48" s="312">
        <f t="shared" si="4"/>
        <v>0</v>
      </c>
    </row>
    <row r="49" spans="2:16" ht="19" customHeight="1">
      <c r="B49" s="293" t="s">
        <v>421</v>
      </c>
      <c r="C49" s="262"/>
      <c r="D49" s="261">
        <f ca="1">-SUMIF('Phase I Pro Forma'!$F$6:$Z$6,'Official Summary'!D$7,'Phase I Pro Forma'!$F$304:$Z$304)-SUMIF('Phase II Pro Forma'!$F$6:$Z$6,'Official Summary'!D$7,'Phase II Pro Forma'!$F$307:$Z$307)-SUMIF('Phase III Pro Forma'!$F$6:$Z$6,'Official Summary'!D$7,'Phase III Pro Forma'!$F$304:$Z$304)</f>
        <v>0</v>
      </c>
      <c r="E49" s="285">
        <f ca="1">-SUMIF('Phase I Pro Forma'!$F$6:$Z$6,'Official Summary'!E$7,'Phase I Pro Forma'!$F$304:$Z$304)-SUMIF('Phase II Pro Forma'!$F$6:$Z$6,'Official Summary'!E$7,'Phase II Pro Forma'!$F$307:$Z$307)-SUMIF('Phase III Pro Forma'!$F$6:$Z$6,'Official Summary'!E$7,'Phase III Pro Forma'!$F$304:$Z$304)</f>
        <v>-41558501.233497478</v>
      </c>
      <c r="F49" s="261">
        <f ca="1">-SUMIF('Phase I Pro Forma'!$F$6:$Z$6,'Official Summary'!F$7,'Phase I Pro Forma'!$F$304:$Z$304)-SUMIF('Phase II Pro Forma'!$F$6:$Z$6,'Official Summary'!F$7,'Phase II Pro Forma'!$F$307:$Z$307)-SUMIF('Phase III Pro Forma'!$F$6:$Z$6,'Official Summary'!F$7,'Phase III Pro Forma'!$F$304:$Z$304)</f>
        <v>-79056492.24854511</v>
      </c>
      <c r="G49" s="281">
        <f ca="1">-SUMIF('Phase I Pro Forma'!$F$6:$Z$6,'Official Summary'!G$7,'Phase I Pro Forma'!$F$304:$Z$304)-SUMIF('Phase II Pro Forma'!$F$6:$Z$6,'Official Summary'!G$7,'Phase II Pro Forma'!$F$307:$Z$307)-SUMIF('Phase III Pro Forma'!$F$6:$Z$6,'Official Summary'!G$7,'Phase III Pro Forma'!$F$304:$Z$304)</f>
        <v>-2610513.3954018247</v>
      </c>
      <c r="H49" s="261">
        <f ca="1">-SUMIF('Phase I Pro Forma'!$F$6:$Z$6,'Official Summary'!H$7,'Phase I Pro Forma'!$F$304:$Z$304)-SUMIF('Phase II Pro Forma'!$F$6:$Z$6,'Official Summary'!H$7,'Phase II Pro Forma'!$F$307:$Z$307)-SUMIF('Phase III Pro Forma'!$F$6:$Z$6,'Official Summary'!H$7,'Phase III Pro Forma'!$F$304:$Z$304)</f>
        <v>-19282955.862386186</v>
      </c>
      <c r="I49" s="276">
        <f ca="1">-SUMIF('Phase I Pro Forma'!$F$6:$Z$6,'Official Summary'!I$7,'Phase I Pro Forma'!$F$304:$Z$304)-SUMIF('Phase II Pro Forma'!$F$6:$Z$6,'Official Summary'!I$7,'Phase II Pro Forma'!$F$307:$Z$307)-SUMIF('Phase III Pro Forma'!$F$6:$Z$6,'Official Summary'!I$7,'Phase III Pro Forma'!$F$304:$Z$304)</f>
        <v>-30888701.278148986</v>
      </c>
      <c r="J49" s="261">
        <f ca="1">-SUMIF('Phase I Pro Forma'!$F$6:$Z$6,'Official Summary'!J$7,'Phase I Pro Forma'!$F$304:$Z$304)-SUMIF('Phase II Pro Forma'!$F$6:$Z$6,'Official Summary'!J$7,'Phase II Pro Forma'!$F$307:$Z$307)-SUMIF('Phase III Pro Forma'!$F$6:$Z$6,'Official Summary'!J$7,'Phase III Pro Forma'!$F$304:$Z$304)</f>
        <v>-824053.59857378714</v>
      </c>
      <c r="K49" s="261">
        <f ca="1">-SUMIF('Phase I Pro Forma'!$F$6:$Z$6,'Official Summary'!K$7,'Phase I Pro Forma'!$F$304:$Z$304)-SUMIF('Phase II Pro Forma'!$F$6:$Z$6,'Official Summary'!K$7,'Phase II Pro Forma'!$F$307:$Z$307)-SUMIF('Phase III Pro Forma'!$F$6:$Z$6,'Official Summary'!K$7,'Phase III Pro Forma'!$F$304:$Z$304)</f>
        <v>-80140004.424229845</v>
      </c>
      <c r="L49" s="261">
        <f ca="1">-SUMIF('Phase I Pro Forma'!$F$6:$Z$6,'Official Summary'!L$7,'Phase I Pro Forma'!$F$304:$Z$304)-SUMIF('Phase II Pro Forma'!$F$6:$Z$6,'Official Summary'!L$7,'Phase II Pro Forma'!$F$307:$Z$307)-SUMIF('Phase III Pro Forma'!$F$6:$Z$6,'Official Summary'!L$7,'Phase III Pro Forma'!$F$304:$Z$304)</f>
        <v>-1888835.3943122972</v>
      </c>
      <c r="M49" s="261">
        <f ca="1">-SUMIF('Phase I Pro Forma'!$F$6:$Z$6,'Official Summary'!M$7,'Phase I Pro Forma'!$F$304:$Z$304)-SUMIF('Phase II Pro Forma'!$F$6:$Z$6,'Official Summary'!M$7,'Phase II Pro Forma'!$F$307:$Z$307)-SUMIF('Phase III Pro Forma'!$F$6:$Z$6,'Official Summary'!M$7,'Phase III Pro Forma'!$F$304:$Z$304)</f>
        <v>-1888835.3943122972</v>
      </c>
      <c r="N49" s="290">
        <f ca="1">-SUMIF('Phase I Pro Forma'!$F$6:$Z$6,'Official Summary'!N$7,'Phase I Pro Forma'!$F$304:$Z$304)-SUMIF('Phase II Pro Forma'!$F$6:$Z$6,'Official Summary'!N$7,'Phase II Pro Forma'!$F$307:$Z$307)-SUMIF('Phase III Pro Forma'!$F$6:$Z$6,'Official Summary'!N$7,'Phase III Pro Forma'!$F$304:$Z$304)</f>
        <v>0</v>
      </c>
    </row>
    <row r="50" spans="2:16" ht="19" customHeight="1">
      <c r="B50" s="310" t="s">
        <v>418</v>
      </c>
      <c r="C50" s="311"/>
      <c r="D50" s="312">
        <f ca="1">+D48+D49</f>
        <v>62534934.922514558</v>
      </c>
      <c r="E50" s="312">
        <f t="shared" ref="E50:N50" ca="1" si="5">+E48+E49</f>
        <v>118216022.1923371</v>
      </c>
      <c r="F50" s="312">
        <f t="shared" ca="1" si="5"/>
        <v>180768263.71747702</v>
      </c>
      <c r="G50" s="312">
        <f t="shared" ca="1" si="5"/>
        <v>44806329.990778707</v>
      </c>
      <c r="H50" s="312">
        <f t="shared" ca="1" si="5"/>
        <v>107761239.0945425</v>
      </c>
      <c r="I50" s="312">
        <f t="shared" ca="1" si="5"/>
        <v>70138265.817998856</v>
      </c>
      <c r="J50" s="312">
        <f t="shared" ca="1" si="5"/>
        <v>100202913.49757406</v>
      </c>
      <c r="K50" s="312">
        <f t="shared" ca="1" si="5"/>
        <v>20886962.671918005</v>
      </c>
      <c r="L50" s="312">
        <f t="shared" ca="1" si="5"/>
        <v>-1888835.3943122972</v>
      </c>
      <c r="M50" s="312">
        <f t="shared" ca="1" si="5"/>
        <v>-1888835.3943122972</v>
      </c>
      <c r="N50" s="312">
        <f t="shared" ca="1" si="5"/>
        <v>0</v>
      </c>
    </row>
    <row r="51" spans="2:16" ht="19" customHeight="1">
      <c r="B51" s="293" t="s">
        <v>79</v>
      </c>
      <c r="D51" s="261">
        <f>+(SUMIF('Phase I Pro Forma'!$F$6:$Z$6,'Official Summary'!D$7,'Phase I Pro Forma'!$F$289:$Z$289)+SUMIF('Phase II Pro Forma'!$F$6:$Z$6,'Official Summary'!D$7,'Phase II Pro Forma'!$F$292:$Z$292)+SUMIF('Phase III Pro Forma'!$F$6:$Z$6,'Official Summary'!D$7,'Phase III Pro Forma'!$F$289:$Z$289))</f>
        <v>0</v>
      </c>
      <c r="E51" s="285">
        <f ca="1">+(SUMIF('Phase I Pro Forma'!$F$6:$Z$6,'Official Summary'!E$7,'Phase I Pro Forma'!$F$289:$Z$289)+SUMIF('Phase II Pro Forma'!$F$6:$Z$6,'Official Summary'!E$7,'Phase II Pro Forma'!$F$292:$Z$292)+SUMIF('Phase III Pro Forma'!$F$6:$Z$6,'Official Summary'!E$7,'Phase III Pro Forma'!$F$289:$Z$289))</f>
        <v>11841349.533166181</v>
      </c>
      <c r="F51" s="261">
        <f ca="1">+(SUMIF('Phase I Pro Forma'!$F$6:$Z$6,'Official Summary'!F$7,'Phase I Pro Forma'!$F$289:$Z$289)+SUMIF('Phase II Pro Forma'!$F$6:$Z$6,'Official Summary'!F$7,'Phase II Pro Forma'!$F$292:$Z$292)+SUMIF('Phase III Pro Forma'!$F$6:$Z$6,'Official Summary'!F$7,'Phase III Pro Forma'!$F$289:$Z$289))</f>
        <v>11841349.533166181</v>
      </c>
      <c r="G51" s="281">
        <f ca="1">+(SUMIF('Phase I Pro Forma'!$F$6:$Z$6,'Official Summary'!G$7,'Phase I Pro Forma'!$F$289:$Z$289)+SUMIF('Phase II Pro Forma'!$F$6:$Z$6,'Official Summary'!G$7,'Phase II Pro Forma'!$F$292:$Z$292)+SUMIF('Phase III Pro Forma'!$F$6:$Z$6,'Official Summary'!G$7,'Phase III Pro Forma'!$F$289:$Z$289))</f>
        <v>4719405.5152670061</v>
      </c>
      <c r="H51" s="261">
        <f ca="1">+(SUMIF('Phase I Pro Forma'!$F$6:$Z$6,'Official Summary'!H$7,'Phase I Pro Forma'!$F$289:$Z$289)+SUMIF('Phase II Pro Forma'!$F$6:$Z$6,'Official Summary'!H$7,'Phase II Pro Forma'!$F$292:$Z$292)+SUMIF('Phase III Pro Forma'!$F$6:$Z$6,'Official Summary'!H$7,'Phase III Pro Forma'!$F$289:$Z$289))</f>
        <v>4719405.5152670061</v>
      </c>
      <c r="I51" s="276">
        <f ca="1">+(SUMIF('Phase I Pro Forma'!$F$6:$Z$6,'Official Summary'!I$7,'Phase I Pro Forma'!$F$289:$Z$289)+SUMIF('Phase II Pro Forma'!$F$6:$Z$6,'Official Summary'!I$7,'Phase II Pro Forma'!$F$292:$Z$292)+SUMIF('Phase III Pro Forma'!$F$6:$Z$6,'Official Summary'!I$7,'Phase III Pro Forma'!$F$289:$Z$289))</f>
        <v>12307985.099806974</v>
      </c>
      <c r="J51" s="261">
        <f ca="1">+(SUMIF('Phase I Pro Forma'!$F$6:$Z$6,'Official Summary'!J$7,'Phase I Pro Forma'!$F$289:$Z$289)+SUMIF('Phase II Pro Forma'!$F$6:$Z$6,'Official Summary'!J$7,'Phase II Pro Forma'!$F$292:$Z$292)+SUMIF('Phase III Pro Forma'!$F$6:$Z$6,'Official Summary'!J$7,'Phase III Pro Forma'!$F$289:$Z$289))</f>
        <v>12307985.099806974</v>
      </c>
      <c r="K51" s="261">
        <f ca="1">+(SUMIF('Phase I Pro Forma'!$F$6:$Z$6,'Official Summary'!K$7,'Phase I Pro Forma'!$F$289:$Z$289)+SUMIF('Phase II Pro Forma'!$F$6:$Z$6,'Official Summary'!K$7,'Phase II Pro Forma'!$F$292:$Z$292)+SUMIF('Phase III Pro Forma'!$F$6:$Z$6,'Official Summary'!K$7,'Phase III Pro Forma'!$F$289:$Z$289))</f>
        <v>12307985.099806974</v>
      </c>
      <c r="L51" s="261">
        <f>+(SUMIF('Phase I Pro Forma'!$F$6:$Z$6,'Official Summary'!L$7,'Phase I Pro Forma'!$F$289:$Z$289)+SUMIF('Phase II Pro Forma'!$F$6:$Z$6,'Official Summary'!L$7,'Phase II Pro Forma'!$F$292:$Z$292)+SUMIF('Phase III Pro Forma'!$F$6:$Z$6,'Official Summary'!L$7,'Phase III Pro Forma'!$F$289:$Z$289))</f>
        <v>0</v>
      </c>
      <c r="M51" s="261">
        <f>+(SUMIF('Phase I Pro Forma'!$F$6:$Z$6,'Official Summary'!M$7,'Phase I Pro Forma'!$F$289:$Z$289)+SUMIF('Phase II Pro Forma'!$F$6:$Z$6,'Official Summary'!M$7,'Phase II Pro Forma'!$F$292:$Z$292)+SUMIF('Phase III Pro Forma'!$F$6:$Z$6,'Official Summary'!M$7,'Phase III Pro Forma'!$F$289:$Z$289))</f>
        <v>0</v>
      </c>
      <c r="N51" s="290">
        <f>+(SUMIF('Phase I Pro Forma'!$F$6:$Z$6,'Official Summary'!N$7,'Phase I Pro Forma'!$F$289:$Z$289)+SUMIF('Phase II Pro Forma'!$F$6:$Z$6,'Official Summary'!N$7,'Phase II Pro Forma'!$F$292:$Z$292)+SUMIF('Phase III Pro Forma'!$F$6:$Z$6,'Official Summary'!N$7,'Phase III Pro Forma'!$F$289:$Z$289))</f>
        <v>0</v>
      </c>
    </row>
    <row r="52" spans="2:16" ht="19" customHeight="1">
      <c r="B52" s="295" t="s">
        <v>420</v>
      </c>
      <c r="C52" s="268"/>
      <c r="D52" s="296">
        <f t="shared" ref="D52:N52" ca="1" si="6">+D50+D51</f>
        <v>62534934.922514558</v>
      </c>
      <c r="E52" s="296">
        <f t="shared" ca="1" si="6"/>
        <v>130057371.72550328</v>
      </c>
      <c r="F52" s="296">
        <f t="shared" ca="1" si="6"/>
        <v>192609613.25064319</v>
      </c>
      <c r="G52" s="296">
        <f t="shared" ca="1" si="6"/>
        <v>49525735.506045714</v>
      </c>
      <c r="H52" s="296">
        <f t="shared" ca="1" si="6"/>
        <v>112480644.6098095</v>
      </c>
      <c r="I52" s="296">
        <f t="shared" ca="1" si="6"/>
        <v>82446250.917805836</v>
      </c>
      <c r="J52" s="296">
        <f t="shared" ca="1" si="6"/>
        <v>112510898.59738104</v>
      </c>
      <c r="K52" s="296">
        <f t="shared" ca="1" si="6"/>
        <v>33194947.771724977</v>
      </c>
      <c r="L52" s="296">
        <f t="shared" ca="1" si="6"/>
        <v>-1888835.3943122972</v>
      </c>
      <c r="M52" s="296">
        <f t="shared" ca="1" si="6"/>
        <v>-1888835.3943122972</v>
      </c>
      <c r="N52" s="296">
        <f t="shared" ca="1" si="6"/>
        <v>0</v>
      </c>
    </row>
    <row r="53" spans="2:16" ht="19" customHeight="1">
      <c r="B53" s="245"/>
      <c r="C53" s="245"/>
      <c r="D53" s="247"/>
      <c r="E53" s="246"/>
      <c r="F53" s="247"/>
      <c r="G53" s="247"/>
      <c r="H53" s="247"/>
      <c r="I53" s="247"/>
      <c r="J53" s="247"/>
      <c r="K53" s="247"/>
      <c r="L53" s="247"/>
      <c r="M53" s="248"/>
      <c r="N53" s="247"/>
    </row>
    <row r="54" spans="2:16" ht="19" customHeight="1">
      <c r="B54" s="264" t="s">
        <v>4</v>
      </c>
      <c r="C54" s="264"/>
      <c r="D54" s="265"/>
      <c r="E54" s="265"/>
      <c r="F54" s="265"/>
      <c r="G54" s="265"/>
      <c r="H54" s="265"/>
      <c r="I54" s="265"/>
      <c r="J54" s="265"/>
      <c r="K54" s="265"/>
      <c r="L54" s="265"/>
      <c r="M54" s="251"/>
      <c r="N54" s="265"/>
    </row>
    <row r="55" spans="2:16" ht="19" customHeight="1">
      <c r="B55" s="262" t="s">
        <v>5</v>
      </c>
      <c r="C55" s="262"/>
      <c r="D55" s="735">
        <f ca="1">+D25</f>
        <v>-322950.11077135976</v>
      </c>
      <c r="E55" s="284">
        <f t="shared" ref="E55:N55" ca="1" si="7">+E25</f>
        <v>-2610513.3954018247</v>
      </c>
      <c r="F55" s="735">
        <f t="shared" ca="1" si="7"/>
        <v>-2712458.1704831184</v>
      </c>
      <c r="G55" s="279">
        <f t="shared" ca="1" si="7"/>
        <v>13444665.224543992</v>
      </c>
      <c r="H55" s="735">
        <f t="shared" ca="1" si="7"/>
        <v>30204204.216175936</v>
      </c>
      <c r="I55" s="275">
        <f t="shared" ca="1" si="7"/>
        <v>38314243.322424792</v>
      </c>
      <c r="J55" s="267">
        <f t="shared" ca="1" si="7"/>
        <v>47869779.274947874</v>
      </c>
      <c r="K55" s="267">
        <f t="shared" ca="1" si="7"/>
        <v>48878336.542294092</v>
      </c>
      <c r="L55" s="267">
        <f t="shared" ca="1" si="7"/>
        <v>67695352.103372067</v>
      </c>
      <c r="M55" s="267">
        <f t="shared" ca="1" si="7"/>
        <v>86004019.995240822</v>
      </c>
      <c r="N55" s="289">
        <f t="shared" ca="1" si="7"/>
        <v>88463903.643098354</v>
      </c>
    </row>
    <row r="56" spans="2:16" ht="19" customHeight="1">
      <c r="B56" s="270" t="s">
        <v>45</v>
      </c>
      <c r="C56" s="257"/>
      <c r="D56" s="261">
        <f>+D26</f>
        <v>0</v>
      </c>
      <c r="E56" s="285">
        <f t="shared" ref="E56:N56" si="8">+E26</f>
        <v>0</v>
      </c>
      <c r="F56" s="261">
        <f t="shared" si="8"/>
        <v>0</v>
      </c>
      <c r="G56" s="280">
        <f t="shared" si="8"/>
        <v>65237394.974527918</v>
      </c>
      <c r="H56" s="261">
        <f t="shared" si="8"/>
        <v>0</v>
      </c>
      <c r="I56" s="276">
        <f t="shared" si="8"/>
        <v>0</v>
      </c>
      <c r="J56" s="261">
        <f t="shared" si="8"/>
        <v>0</v>
      </c>
      <c r="K56" s="261">
        <f t="shared" si="8"/>
        <v>0</v>
      </c>
      <c r="L56" s="261">
        <f t="shared" si="8"/>
        <v>0</v>
      </c>
      <c r="M56" s="261">
        <f t="shared" si="8"/>
        <v>0</v>
      </c>
      <c r="N56" s="290">
        <f t="shared" ca="1" si="8"/>
        <v>1309033651.4780469</v>
      </c>
      <c r="P56" s="390">
        <f ca="1">+N55/N56</f>
        <v>6.7579548885708635E-2</v>
      </c>
    </row>
    <row r="57" spans="2:16" ht="19" customHeight="1">
      <c r="B57" s="262" t="s">
        <v>11</v>
      </c>
      <c r="C57" s="262"/>
      <c r="D57" s="261">
        <f>+D27</f>
        <v>0</v>
      </c>
      <c r="E57" s="285">
        <f t="shared" ref="E57:N57" si="9">+E27</f>
        <v>0</v>
      </c>
      <c r="F57" s="261">
        <f t="shared" si="9"/>
        <v>0</v>
      </c>
      <c r="G57" s="281">
        <f t="shared" si="9"/>
        <v>0</v>
      </c>
      <c r="H57" s="261">
        <f t="shared" si="9"/>
        <v>0</v>
      </c>
      <c r="I57" s="276">
        <f t="shared" si="9"/>
        <v>0</v>
      </c>
      <c r="J57" s="261">
        <f t="shared" si="9"/>
        <v>0</v>
      </c>
      <c r="K57" s="261">
        <f t="shared" si="9"/>
        <v>0</v>
      </c>
      <c r="L57" s="261">
        <f t="shared" si="9"/>
        <v>0</v>
      </c>
      <c r="M57" s="261">
        <f t="shared" si="9"/>
        <v>0</v>
      </c>
      <c r="N57" s="290">
        <f t="shared" ca="1" si="9"/>
        <v>-26180673.029560935</v>
      </c>
    </row>
    <row r="58" spans="2:16" ht="19" customHeight="1">
      <c r="B58" s="262" t="s">
        <v>1234</v>
      </c>
      <c r="C58" s="262"/>
      <c r="D58" s="261">
        <f ca="1">-D50</f>
        <v>-62534934.922514558</v>
      </c>
      <c r="E58" s="285">
        <f t="shared" ref="E58:N58" ca="1" si="10">-E50</f>
        <v>-118216022.1923371</v>
      </c>
      <c r="F58" s="261">
        <f t="shared" ca="1" si="10"/>
        <v>-180768263.71747702</v>
      </c>
      <c r="G58" s="281">
        <f t="shared" ca="1" si="10"/>
        <v>-44806329.990778707</v>
      </c>
      <c r="H58" s="261">
        <f t="shared" ca="1" si="10"/>
        <v>-107761239.0945425</v>
      </c>
      <c r="I58" s="276">
        <f t="shared" ca="1" si="10"/>
        <v>-70138265.817998856</v>
      </c>
      <c r="J58" s="261">
        <f t="shared" ca="1" si="10"/>
        <v>-100202913.49757406</v>
      </c>
      <c r="K58" s="261">
        <f t="shared" ca="1" si="10"/>
        <v>-20886962.671918005</v>
      </c>
      <c r="L58" s="261">
        <f t="shared" ca="1" si="10"/>
        <v>1888835.3943122972</v>
      </c>
      <c r="M58" s="261">
        <f t="shared" ca="1" si="10"/>
        <v>1888835.3943122972</v>
      </c>
      <c r="N58" s="290">
        <f t="shared" ca="1" si="10"/>
        <v>0</v>
      </c>
    </row>
    <row r="59" spans="2:16" ht="19" customHeight="1">
      <c r="B59" s="938" t="s">
        <v>422</v>
      </c>
      <c r="C59" s="938"/>
      <c r="D59" s="291">
        <f ca="1">+SUM(D55:D58)</f>
        <v>-62857885.033285916</v>
      </c>
      <c r="E59" s="291">
        <f t="shared" ref="E59:N59" ca="1" si="11">+SUM(E55:E58)</f>
        <v>-120826535.58773892</v>
      </c>
      <c r="F59" s="291">
        <f t="shared" ca="1" si="11"/>
        <v>-183480721.88796014</v>
      </c>
      <c r="G59" s="291">
        <f t="shared" ca="1" si="11"/>
        <v>33875730.208293207</v>
      </c>
      <c r="H59" s="291">
        <f t="shared" ca="1" si="11"/>
        <v>-77557034.87836656</v>
      </c>
      <c r="I59" s="291">
        <f t="shared" ca="1" si="11"/>
        <v>-31824022.495574065</v>
      </c>
      <c r="J59" s="291">
        <f t="shared" ca="1" si="11"/>
        <v>-52333134.222626187</v>
      </c>
      <c r="K59" s="291">
        <f t="shared" ca="1" si="11"/>
        <v>27991373.870376088</v>
      </c>
      <c r="L59" s="291">
        <f t="shared" ca="1" si="11"/>
        <v>69584187.49768436</v>
      </c>
      <c r="M59" s="291">
        <f t="shared" ca="1" si="11"/>
        <v>87892855.389553115</v>
      </c>
      <c r="N59" s="291">
        <f t="shared" ca="1" si="11"/>
        <v>1371316882.0915842</v>
      </c>
    </row>
    <row r="60" spans="2:16" ht="19" customHeight="1">
      <c r="B60" s="293" t="s">
        <v>417</v>
      </c>
      <c r="C60" s="269"/>
      <c r="D60" s="261">
        <f>-D51</f>
        <v>0</v>
      </c>
      <c r="E60" s="285">
        <f t="shared" ref="E60:N60" ca="1" si="12">-E51</f>
        <v>-11841349.533166181</v>
      </c>
      <c r="F60" s="261">
        <f t="shared" ca="1" si="12"/>
        <v>-11841349.533166181</v>
      </c>
      <c r="G60" s="281">
        <f t="shared" ca="1" si="12"/>
        <v>-4719405.5152670061</v>
      </c>
      <c r="H60" s="261">
        <f t="shared" ca="1" si="12"/>
        <v>-4719405.5152670061</v>
      </c>
      <c r="I60" s="276">
        <f t="shared" ca="1" si="12"/>
        <v>-12307985.099806974</v>
      </c>
      <c r="J60" s="261">
        <f t="shared" ca="1" si="12"/>
        <v>-12307985.099806974</v>
      </c>
      <c r="K60" s="261">
        <f t="shared" ca="1" si="12"/>
        <v>-12307985.099806974</v>
      </c>
      <c r="L60" s="261">
        <f t="shared" si="12"/>
        <v>0</v>
      </c>
      <c r="M60" s="261">
        <f t="shared" si="12"/>
        <v>0</v>
      </c>
      <c r="N60" s="290">
        <f t="shared" si="12"/>
        <v>0</v>
      </c>
    </row>
    <row r="61" spans="2:16" ht="19" customHeight="1">
      <c r="B61" s="293" t="s">
        <v>478</v>
      </c>
      <c r="C61" s="269"/>
      <c r="D61" s="261">
        <f ca="1">+SUMIF('Phase I Pro Forma'!$F$6:$Z$6,'Official Summary'!D$7,'Phase I Pro Forma'!$F279:$Z279)+SUMIF('Phase II Pro Forma'!$F$6:$Z$6,'Official Summary'!D$7,'Phase II Pro Forma'!$F282:$Z282)+SUMIF('Phase III Pro Forma'!$F$6:$Z$6,'Official Summary'!D$7,'Phase III Pro Forma'!$F279:$Z279)</f>
        <v>0</v>
      </c>
      <c r="E61" s="285">
        <f ca="1">+SUMIF('Phase I Pro Forma'!$F$6:$Z$6,'Official Summary'!E$7,'Phase I Pro Forma'!$F279:$Z279)+SUMIF('Phase II Pro Forma'!$F$6:$Z$6,'Official Summary'!E$7,'Phase II Pro Forma'!$F282:$Z282)+SUMIF('Phase III Pro Forma'!$F$6:$Z$6,'Official Summary'!E$7,'Phase III Pro Forma'!$F279:$Z279)</f>
        <v>108036780.78563273</v>
      </c>
      <c r="F61" s="261">
        <f ca="1">+SUMIF('Phase I Pro Forma'!$F$6:$Z$6,'Official Summary'!F$7,'Phase I Pro Forma'!$F279:$Z279)+SUMIF('Phase II Pro Forma'!$F$6:$Z$6,'Official Summary'!F$7,'Phase II Pro Forma'!$F282:$Z282)+SUMIF('Phase III Pro Forma'!$F$6:$Z$6,'Official Summary'!F$7,'Phase III Pro Forma'!$F279:$Z279)</f>
        <v>130804214.03980945</v>
      </c>
      <c r="G61" s="281">
        <f ca="1">+SUMIF('Phase I Pro Forma'!$F$6:$Z$6,'Official Summary'!G$7,'Phase I Pro Forma'!$F279:$Z279)+SUMIF('Phase II Pro Forma'!$F$6:$Z$6,'Official Summary'!G$7,'Phase II Pro Forma'!$F282:$Z282)+SUMIF('Phase III Pro Forma'!$F$6:$Z$6,'Official Summary'!G$7,'Phase III Pro Forma'!$F279:$Z279)</f>
        <v>135283254.63824821</v>
      </c>
      <c r="H61" s="261">
        <f ca="1">+SUMIF('Phase I Pro Forma'!$F$6:$Z$6,'Official Summary'!H$7,'Phase I Pro Forma'!$F279:$Z279)+SUMIF('Phase II Pro Forma'!$F$6:$Z$6,'Official Summary'!H$7,'Phase II Pro Forma'!$F282:$Z282)+SUMIF('Phase III Pro Forma'!$F$6:$Z$6,'Official Summary'!H$7,'Phase III Pro Forma'!$F279:$Z279)</f>
        <v>38598706.44046437</v>
      </c>
      <c r="I61" s="276">
        <f ca="1">+SUMIF('Phase I Pro Forma'!$F$6:$Z$6,'Official Summary'!I$7,'Phase I Pro Forma'!$F279:$Z279)+SUMIF('Phase II Pro Forma'!$F$6:$Z$6,'Official Summary'!I$7,'Phase II Pro Forma'!$F282:$Z282)+SUMIF('Phase III Pro Forma'!$F$6:$Z$6,'Official Summary'!I$7,'Phase III Pro Forma'!$F279:$Z279)</f>
        <v>85159139.766435146</v>
      </c>
      <c r="J61" s="261">
        <f ca="1">+SUMIF('Phase I Pro Forma'!$F$6:$Z$6,'Official Summary'!J$7,'Phase I Pro Forma'!$F279:$Z279)+SUMIF('Phase II Pro Forma'!$F$6:$Z$6,'Official Summary'!J$7,'Phase II Pro Forma'!$F282:$Z282)+SUMIF('Phase III Pro Forma'!$F$6:$Z$6,'Official Summary'!J$7,'Phase III Pro Forma'!$F279:$Z279)</f>
        <v>115223787.59026714</v>
      </c>
      <c r="K61" s="261">
        <f ca="1">+SUMIF('Phase I Pro Forma'!$F$6:$Z$6,'Official Summary'!K$7,'Phase I Pro Forma'!$F279:$Z279)+SUMIF('Phase II Pro Forma'!$F$6:$Z$6,'Official Summary'!K$7,'Phase II Pro Forma'!$F282:$Z282)+SUMIF('Phase III Pro Forma'!$F$6:$Z$6,'Official Summary'!K$7,'Phase III Pro Forma'!$F279:$Z279)</f>
        <v>35083783.166037291</v>
      </c>
      <c r="L61" s="261">
        <f ca="1">+SUMIF('Phase I Pro Forma'!$F$6:$Z$6,'Official Summary'!L$7,'Phase I Pro Forma'!$F279:$Z279)+SUMIF('Phase II Pro Forma'!$F$6:$Z$6,'Official Summary'!L$7,'Phase II Pro Forma'!$F282:$Z282)+SUMIF('Phase III Pro Forma'!$F$6:$Z$6,'Official Summary'!L$7,'Phase III Pro Forma'!$F279:$Z279)</f>
        <v>97569052.667740464</v>
      </c>
      <c r="M61" s="261">
        <f ca="1">+SUMIF('Phase I Pro Forma'!$F$6:$Z$6,'Official Summary'!M$7,'Phase I Pro Forma'!$F279:$Z279)+SUMIF('Phase II Pro Forma'!$F$6:$Z$6,'Official Summary'!M$7,'Phase II Pro Forma'!$F282:$Z282)+SUMIF('Phase III Pro Forma'!$F$6:$Z$6,'Official Summary'!M$7,'Phase III Pro Forma'!$F279:$Z279)</f>
        <v>0</v>
      </c>
      <c r="N61" s="290">
        <f ca="1">+SUMIF('Phase I Pro Forma'!$F$6:$Z$6,'Official Summary'!N$7,'Phase I Pro Forma'!$F279:$Z279)+SUMIF('Phase II Pro Forma'!$F$6:$Z$6,'Official Summary'!N$7,'Phase II Pro Forma'!$F282:$Z282)+SUMIF('Phase III Pro Forma'!$F$6:$Z$6,'Official Summary'!N$7,'Phase III Pro Forma'!$F279:$Z279)</f>
        <v>0</v>
      </c>
    </row>
    <row r="62" spans="2:16" ht="19" customHeight="1">
      <c r="B62" s="293" t="s">
        <v>477</v>
      </c>
      <c r="C62" s="269"/>
      <c r="D62" s="261">
        <f ca="1">-SUMIF('Phase I Pro Forma'!$F$6:$Z$6,'Official Summary'!D$7,'Phase I Pro Forma'!$F280:$Z280)-SUMIF('Phase II Pro Forma'!$F$6:$Z$6,'Official Summary'!D$7,'Phase II Pro Forma'!$F283:$Z283)-SUMIF('Phase III Pro Forma'!$F$6:$Z$6,'Official Summary'!D$7,'Phase III Pro Forma'!$F280:$Z280)</f>
        <v>0</v>
      </c>
      <c r="E62" s="285">
        <f ca="1">-SUMIF('Phase I Pro Forma'!$F$6:$Z$6,'Official Summary'!E$7,'Phase I Pro Forma'!$F$280:$Z$280)-SUMIF('Phase II Pro Forma'!$F$6:$Z$6,'Official Summary'!E$7,'Phase II Pro Forma'!$F$283:$Z$283)-SUMIF('Phase III Pro Forma'!$F$6:$Z$6,'Official Summary'!E$7,'Phase III Pro Forma'!$F$280:$Z$280)</f>
        <v>0</v>
      </c>
      <c r="F62" s="261">
        <f ca="1">-SUMIF('Phase I Pro Forma'!$F$6:$Z$6,'Official Summary'!F$7,'Phase I Pro Forma'!$F$280:$Z$280)-SUMIF('Phase II Pro Forma'!$F$6:$Z$6,'Official Summary'!F$7,'Phase II Pro Forma'!$F$283:$Z$283)-SUMIF('Phase III Pro Forma'!$F$6:$Z$6,'Official Summary'!F$7,'Phase III Pro Forma'!$F$280:$Z$280)</f>
        <v>0</v>
      </c>
      <c r="G62" s="281">
        <f ca="1">-SUMIF('Phase I Pro Forma'!$F$6:$Z$6,'Official Summary'!G$7,'Phase I Pro Forma'!$F$280:$Z$280)-SUMIF('Phase II Pro Forma'!$F$6:$Z$6,'Official Summary'!G$7,'Phase II Pro Forma'!$F$283:$Z$283)-SUMIF('Phase III Pro Forma'!$F$6:$Z$6,'Official Summary'!G$7,'Phase III Pro Forma'!$F$280:$Z$280)</f>
        <v>-27534426.844617717</v>
      </c>
      <c r="H62" s="261">
        <f ca="1">-SUMIF('Phase I Pro Forma'!$F$6:$Z$6,'Official Summary'!H$7,'Phase I Pro Forma'!$F$280:$Z$280)-SUMIF('Phase II Pro Forma'!$F$6:$Z$6,'Official Summary'!H$7,'Phase II Pro Forma'!$F$283:$Z$283)-SUMIF('Phase III Pro Forma'!$F$6:$Z$6,'Official Summary'!H$7,'Phase III Pro Forma'!$F$280:$Z$280)</f>
        <v>-24354103.410436079</v>
      </c>
      <c r="I62" s="276">
        <f ca="1">-SUMIF('Phase I Pro Forma'!$F$6:$Z$6,'Official Summary'!I$7,'Phase I Pro Forma'!$F$280:$Z$280)-SUMIF('Phase II Pro Forma'!$F$6:$Z$6,'Official Summary'!I$7,'Phase II Pro Forma'!$F$283:$Z$283)-SUMIF('Phase III Pro Forma'!$F$6:$Z$6,'Official Summary'!I$7,'Phase III Pro Forma'!$F$280:$Z$280)</f>
        <v>-31749100.357065346</v>
      </c>
      <c r="J62" s="261">
        <f ca="1">-SUMIF('Phase I Pro Forma'!$F$6:$Z$6,'Official Summary'!J$7,'Phase I Pro Forma'!$F$280:$Z$280)-SUMIF('Phase II Pro Forma'!$F$6:$Z$6,'Official Summary'!J$7,'Phase II Pro Forma'!$F$283:$Z$283)-SUMIF('Phase III Pro Forma'!$F$6:$Z$6,'Official Summary'!J$7,'Phase III Pro Forma'!$F$280:$Z$280)</f>
        <v>-30873334.508648008</v>
      </c>
      <c r="K62" s="261">
        <f ca="1">-SUMIF('Phase I Pro Forma'!$F$6:$Z$6,'Official Summary'!K$7,'Phase I Pro Forma'!$F$280:$Z$280)-SUMIF('Phase II Pro Forma'!$F$6:$Z$6,'Official Summary'!K$7,'Phase II Pro Forma'!$F$283:$Z$283)-SUMIF('Phase III Pro Forma'!$F$6:$Z$6,'Official Summary'!K$7,'Phase III Pro Forma'!$F$280:$Z$280)</f>
        <v>-30873334.508648008</v>
      </c>
      <c r="L62" s="261">
        <f ca="1">-SUMIF('Phase I Pro Forma'!$F$6:$Z$6,'Official Summary'!L$7,'Phase I Pro Forma'!$F$280:$Z$280)-SUMIF('Phase II Pro Forma'!$F$6:$Z$6,'Official Summary'!L$7,'Phase II Pro Forma'!$F$283:$Z$283)-SUMIF('Phase III Pro Forma'!$F$6:$Z$6,'Official Summary'!L$7,'Phase III Pro Forma'!$F$280:$Z$280)</f>
        <v>-59706719.07458394</v>
      </c>
      <c r="M62" s="261">
        <f ca="1">-SUMIF('Phase I Pro Forma'!$F$6:$Z$6,'Official Summary'!M$7,'Phase I Pro Forma'!$F$280:$Z$280)-SUMIF('Phase II Pro Forma'!$F$6:$Z$6,'Official Summary'!M$7,'Phase II Pro Forma'!$F$283:$Z$283)-SUMIF('Phase III Pro Forma'!$F$6:$Z$6,'Official Summary'!M$7,'Phase III Pro Forma'!$F$280:$Z$280)</f>
        <v>-56376361.44123657</v>
      </c>
      <c r="N62" s="290">
        <f ca="1">-SUMIF('Phase I Pro Forma'!$F$6:$Z$6,'Official Summary'!N$7,'Phase I Pro Forma'!$F$280:$Z$280)-SUMIF('Phase II Pro Forma'!$F$6:$Z$6,'Official Summary'!N$7,'Phase II Pro Forma'!$F$283:$Z$283)-SUMIF('Phase III Pro Forma'!$F$6:$Z$6,'Official Summary'!N$7,'Phase III Pro Forma'!$F$280:$Z$280)</f>
        <v>-746852942.24981689</v>
      </c>
    </row>
    <row r="63" spans="2:16" ht="19" customHeight="1">
      <c r="B63" s="295" t="s">
        <v>414</v>
      </c>
      <c r="C63" s="268"/>
      <c r="D63" s="296">
        <f ca="1">+SUM(D59:D62)</f>
        <v>-62857885.033285916</v>
      </c>
      <c r="E63" s="296">
        <f t="shared" ref="E63:N63" ca="1" si="13">+SUM(E59:E62)</f>
        <v>-24631104.335272372</v>
      </c>
      <c r="F63" s="296">
        <f t="shared" ca="1" si="13"/>
        <v>-64517857.381316856</v>
      </c>
      <c r="G63" s="296">
        <f t="shared" ca="1" si="13"/>
        <v>136905152.48665667</v>
      </c>
      <c r="H63" s="296">
        <f t="shared" ca="1" si="13"/>
        <v>-68031837.363605261</v>
      </c>
      <c r="I63" s="296">
        <f t="shared" ca="1" si="13"/>
        <v>9278031.8139887638</v>
      </c>
      <c r="J63" s="296">
        <f t="shared" ca="1" si="13"/>
        <v>19709333.75918597</v>
      </c>
      <c r="K63" s="296">
        <f t="shared" ca="1" si="13"/>
        <v>19893837.427958399</v>
      </c>
      <c r="L63" s="296">
        <f t="shared" ca="1" si="13"/>
        <v>107446521.09084088</v>
      </c>
      <c r="M63" s="296">
        <f t="shared" ca="1" si="13"/>
        <v>31516493.948316544</v>
      </c>
      <c r="N63" s="296">
        <f t="shared" ca="1" si="13"/>
        <v>624463939.84176731</v>
      </c>
    </row>
    <row r="64" spans="2:16" ht="19" hidden="1" customHeight="1" outlineLevel="1">
      <c r="B64" s="393" t="s">
        <v>451</v>
      </c>
      <c r="C64" s="390"/>
      <c r="D64" s="394">
        <f ca="1">+D63-'Cash Flow Roll-up'!F6</f>
        <v>0</v>
      </c>
      <c r="E64" s="394">
        <f ca="1">+E63-'Cash Flow Roll-up'!G6</f>
        <v>0</v>
      </c>
      <c r="F64" s="394">
        <f ca="1">+F63-'Cash Flow Roll-up'!H6</f>
        <v>1.3411045074462891E-7</v>
      </c>
      <c r="G64" s="394">
        <f ca="1">+G63-'Cash Flow Roll-up'!I6</f>
        <v>0</v>
      </c>
      <c r="H64" s="394">
        <f ca="1">+H63-'Cash Flow Roll-up'!J6</f>
        <v>0</v>
      </c>
      <c r="I64" s="394">
        <f ca="1">+I63-'Cash Flow Roll-up'!K6</f>
        <v>2.7939677238464355E-8</v>
      </c>
      <c r="J64" s="394">
        <f ca="1">+J63-'Cash Flow Roll-up'!L6</f>
        <v>0</v>
      </c>
      <c r="K64" s="394">
        <f ca="1">+K63-'Cash Flow Roll-up'!M6</f>
        <v>0</v>
      </c>
      <c r="L64" s="394">
        <f ca="1">+L63-'Cash Flow Roll-up'!N6</f>
        <v>0</v>
      </c>
      <c r="M64" s="394">
        <f ca="1">+M63-'Cash Flow Roll-up'!O6</f>
        <v>0</v>
      </c>
      <c r="N64" s="394">
        <f ca="1">+N63-'Cash Flow Roll-up'!P6</f>
        <v>0</v>
      </c>
    </row>
    <row r="65" spans="2:14" ht="19" customHeight="1" collapsed="1">
      <c r="B65" s="300"/>
      <c r="C65" s="390"/>
      <c r="D65" s="391"/>
      <c r="E65" s="391"/>
      <c r="F65" s="391"/>
      <c r="G65" s="391"/>
      <c r="H65" s="391"/>
      <c r="I65" s="391"/>
      <c r="J65" s="391"/>
      <c r="K65" s="391"/>
      <c r="L65" s="391"/>
      <c r="M65" s="391"/>
      <c r="N65" s="391"/>
    </row>
    <row r="66" spans="2:14" ht="19" customHeight="1">
      <c r="B66" s="266" t="s">
        <v>10</v>
      </c>
      <c r="C66" s="313">
        <v>0.13500000000000001</v>
      </c>
      <c r="D66" s="314">
        <f ca="1">+NPV(C66,D63:N63)</f>
        <v>145773043.87801322</v>
      </c>
      <c r="E66" s="238"/>
      <c r="F66" s="238"/>
      <c r="G66" s="238"/>
      <c r="H66" s="257"/>
      <c r="I66" s="238"/>
      <c r="J66" s="238"/>
      <c r="K66" s="238"/>
      <c r="L66" s="238"/>
      <c r="M66" s="239"/>
      <c r="N66" s="238"/>
    </row>
    <row r="67" spans="2:14" ht="19" customHeight="1">
      <c r="B67" s="237" t="s">
        <v>479</v>
      </c>
      <c r="C67" s="266"/>
      <c r="D67" s="315">
        <f ca="1">+('S&amp;U'!$Q$17*Assumptions!$N$149+'S&amp;U'!$Q$18*Assumptions!$N$155+'S&amp;U'!Q19*Assumptions!$N$161)/SUM('S&amp;U'!$Q$17:$Q$19)</f>
        <v>0.6</v>
      </c>
      <c r="E67" s="238"/>
      <c r="F67" s="238"/>
      <c r="J67" s="238"/>
      <c r="K67" s="238"/>
      <c r="L67" s="238"/>
      <c r="M67" s="239"/>
      <c r="N67" s="238"/>
    </row>
    <row r="68" spans="2:14" ht="19" customHeight="1">
      <c r="B68" s="266" t="s">
        <v>416</v>
      </c>
      <c r="C68" s="266"/>
      <c r="D68" s="315">
        <f ca="1">+Assumptions!$E$4</f>
        <v>0.15581331388884045</v>
      </c>
      <c r="E68" s="238"/>
      <c r="F68" s="238"/>
      <c r="G68" s="308" t="s">
        <v>424</v>
      </c>
      <c r="H68" s="238"/>
      <c r="I68" s="238"/>
      <c r="J68" s="543">
        <f ca="1">+Budget!G24+'Public Benefits'!F10</f>
        <v>223286386.06763539</v>
      </c>
      <c r="K68" s="238"/>
      <c r="L68" s="238"/>
      <c r="M68" s="239"/>
      <c r="N68" s="238"/>
    </row>
    <row r="69" spans="2:14" ht="19" customHeight="1">
      <c r="B69" s="266" t="s">
        <v>415</v>
      </c>
      <c r="C69" s="266"/>
      <c r="D69" s="315">
        <f ca="1">+Assumptions!$E$3</f>
        <v>0.28068633693696654</v>
      </c>
    </row>
    <row r="70" spans="2:14" ht="19" customHeight="1">
      <c r="B70" s="250" t="s">
        <v>1236</v>
      </c>
      <c r="C70" s="717"/>
      <c r="D70" s="316">
        <f ca="1">+Assumptions!M3</f>
        <v>0.39367920567822079</v>
      </c>
      <c r="E70" s="236"/>
      <c r="F70" s="236"/>
      <c r="G70" s="309" t="s">
        <v>46</v>
      </c>
      <c r="H70" s="236"/>
      <c r="I70" s="236"/>
      <c r="J70" s="318">
        <f ca="1">+N56</f>
        <v>1309033651.4780469</v>
      </c>
      <c r="K70" s="319"/>
      <c r="L70" s="236"/>
      <c r="M70" s="263"/>
      <c r="N70" s="236"/>
    </row>
    <row r="71" spans="2:14" ht="47" customHeight="1">
      <c r="B71" s="935" t="s">
        <v>1246</v>
      </c>
      <c r="C71" s="935"/>
      <c r="D71" s="935"/>
      <c r="E71" s="935"/>
      <c r="F71" s="935"/>
      <c r="G71" s="935"/>
      <c r="H71" s="935"/>
      <c r="I71" s="935"/>
      <c r="J71" s="935"/>
      <c r="K71" s="935"/>
      <c r="L71" s="935"/>
      <c r="M71" s="935"/>
      <c r="N71" s="935"/>
    </row>
    <row r="72" spans="2:14" ht="38" customHeight="1">
      <c r="B72" s="935" t="s">
        <v>1247</v>
      </c>
      <c r="C72" s="935"/>
      <c r="D72" s="935"/>
      <c r="E72" s="935"/>
      <c r="F72" s="935"/>
      <c r="G72" s="935"/>
      <c r="H72" s="935"/>
      <c r="I72" s="935"/>
      <c r="J72" s="935"/>
      <c r="K72" s="935"/>
      <c r="L72" s="935"/>
      <c r="M72" s="935"/>
      <c r="N72" s="935"/>
    </row>
    <row r="73" spans="2:14" ht="11" customHeight="1">
      <c r="N73" s="253"/>
    </row>
    <row r="74" spans="2:14" s="573" customFormat="1" ht="19" customHeight="1">
      <c r="B74" s="37" t="s">
        <v>23</v>
      </c>
      <c r="C74" s="38"/>
      <c r="D74" s="38"/>
      <c r="E74" s="37"/>
      <c r="F74" s="46"/>
      <c r="G74" s="46"/>
      <c r="H74" s="46"/>
      <c r="I74" s="934"/>
      <c r="J74" s="934"/>
      <c r="K74" s="934"/>
      <c r="L74" s="934"/>
      <c r="M74" s="934"/>
      <c r="N74" s="934"/>
    </row>
    <row r="75" spans="2:14" ht="19" customHeight="1">
      <c r="D75" s="407"/>
      <c r="E75" s="941" t="s">
        <v>18</v>
      </c>
      <c r="F75" s="941"/>
      <c r="G75" s="941"/>
      <c r="H75" s="941"/>
      <c r="I75" s="941"/>
      <c r="J75" s="941"/>
      <c r="K75" s="941"/>
      <c r="L75" s="941"/>
      <c r="M75" s="941"/>
      <c r="N75" s="941"/>
    </row>
    <row r="76" spans="2:14" s="733" customFormat="1" ht="19" customHeight="1">
      <c r="B76" s="233"/>
      <c r="C76" s="233"/>
      <c r="D76" s="249" t="s">
        <v>12</v>
      </c>
      <c r="E76" s="405">
        <f>+E6</f>
        <v>2022</v>
      </c>
      <c r="F76" s="405">
        <f t="shared" ref="F76:L76" si="14">E76+1</f>
        <v>2023</v>
      </c>
      <c r="G76" s="405">
        <f t="shared" si="14"/>
        <v>2024</v>
      </c>
      <c r="H76" s="405">
        <f t="shared" si="14"/>
        <v>2025</v>
      </c>
      <c r="I76" s="405">
        <f t="shared" si="14"/>
        <v>2026</v>
      </c>
      <c r="J76" s="405">
        <f t="shared" si="14"/>
        <v>2027</v>
      </c>
      <c r="K76" s="405">
        <f t="shared" si="14"/>
        <v>2028</v>
      </c>
      <c r="L76" s="405">
        <f t="shared" si="14"/>
        <v>2029</v>
      </c>
      <c r="M76" s="405">
        <f>L76+1</f>
        <v>2030</v>
      </c>
      <c r="N76" s="405">
        <f>M76+1</f>
        <v>2031</v>
      </c>
    </row>
    <row r="77" spans="2:14" ht="19" customHeight="1">
      <c r="B77" s="264" t="s">
        <v>6</v>
      </c>
      <c r="C77" s="264"/>
      <c r="D77" s="320"/>
      <c r="E77" s="231"/>
      <c r="F77" s="231"/>
      <c r="G77" s="231"/>
      <c r="H77" s="231"/>
      <c r="I77" s="231"/>
      <c r="J77" s="231"/>
      <c r="K77" s="231"/>
      <c r="L77" s="231"/>
      <c r="M77" s="321"/>
      <c r="N77" s="231"/>
    </row>
    <row r="78" spans="2:14" ht="19" customHeight="1">
      <c r="B78" s="292" t="s">
        <v>409</v>
      </c>
      <c r="C78" s="260"/>
      <c r="D78" s="234" t="s">
        <v>13</v>
      </c>
      <c r="E78" s="261">
        <f>+SUMIF('Phase I Pro Forma'!$F$6:$Z$6,'Official Summary'!E$7,'Phase I Pro Forma'!$F$33:$Z$33)+SUMIF('Phase II Pro Forma'!$F$6:$Z$6,'Official Summary'!E$7,'Phase II Pro Forma'!$F$33:$Z$33)+SUMIF('Phase III Pro Forma'!$F$6:$Z$6,'Official Summary'!E$7,'Phase III Pro Forma'!$F$33:$Z$33)</f>
        <v>0</v>
      </c>
      <c r="F78" s="261">
        <f>+SUMIF('Phase I Pro Forma'!$F$6:$Z$6,'Official Summary'!F$7,'Phase I Pro Forma'!$F$33:$Z$33)+SUMIF('Phase II Pro Forma'!$F$6:$Z$6,'Official Summary'!F$7,'Phase II Pro Forma'!$F$33:$Z$33)+SUMIF('Phase III Pro Forma'!$F$6:$Z$6,'Official Summary'!F$7,'Phase III Pro Forma'!$F$33:$Z$33)</f>
        <v>0</v>
      </c>
      <c r="G78" s="261">
        <f>+SUMIF('Phase I Pro Forma'!$F$6:$Z$6,'Official Summary'!G$7,'Phase I Pro Forma'!$F$33:$Z$33)+SUMIF('Phase II Pro Forma'!$F$6:$Z$6,'Official Summary'!G$7,'Phase II Pro Forma'!$F$33:$Z$33)+SUMIF('Phase III Pro Forma'!$F$6:$Z$6,'Official Summary'!G$7,'Phase III Pro Forma'!$F$33:$Z$33)</f>
        <v>153.5000005</v>
      </c>
      <c r="H78" s="261">
        <f>+SUMIF('Phase I Pro Forma'!$F$6:$Z$6,'Official Summary'!H$7,'Phase I Pro Forma'!$F$33:$Z$33)+SUMIF('Phase II Pro Forma'!$F$6:$Z$6,'Official Summary'!H$7,'Phase II Pro Forma'!$F$33:$Z$33)+SUMIF('Phase III Pro Forma'!$F$6:$Z$6,'Official Summary'!H$7,'Phase III Pro Forma'!$F$33:$Z$33)</f>
        <v>153.5000005</v>
      </c>
      <c r="I78" s="261">
        <f>+SUMIF('Phase I Pro Forma'!$F$6:$Z$6,'Official Summary'!I$7,'Phase I Pro Forma'!$F$33:$Z$33)+SUMIF('Phase II Pro Forma'!$F$6:$Z$6,'Official Summary'!I$7,'Phase II Pro Forma'!$F$33:$Z$33)+SUMIF('Phase III Pro Forma'!$F$6:$Z$6,'Official Summary'!I$7,'Phase III Pro Forma'!$F$33:$Z$33)</f>
        <v>5.5000000000000007E-6</v>
      </c>
      <c r="J78" s="261">
        <f>+SUMIF('Phase I Pro Forma'!$F$6:$Z$6,'Official Summary'!J$7,'Phase I Pro Forma'!$F$33:$Z$33)+SUMIF('Phase II Pro Forma'!$F$6:$Z$6,'Official Summary'!J$7,'Phase II Pro Forma'!$F$33:$Z$33)+SUMIF('Phase III Pro Forma'!$F$6:$Z$6,'Official Summary'!J$7,'Phase III Pro Forma'!$F$33:$Z$33)</f>
        <v>5.5000000000000007E-6</v>
      </c>
      <c r="K78" s="261">
        <f>+SUMIF('Phase I Pro Forma'!$F$6:$Z$6,'Official Summary'!K$7,'Phase I Pro Forma'!$F$33:$Z$33)+SUMIF('Phase II Pro Forma'!$F$6:$Z$6,'Official Summary'!K$7,'Phase II Pro Forma'!$F$33:$Z$33)+SUMIF('Phase III Pro Forma'!$F$6:$Z$6,'Official Summary'!K$7,'Phase III Pro Forma'!$F$33:$Z$33)</f>
        <v>0</v>
      </c>
      <c r="L78" s="261">
        <f>+SUMIF('Phase I Pro Forma'!$F$6:$Z$6,'Official Summary'!L$7,'Phase I Pro Forma'!$F$33:$Z$33)+SUMIF('Phase II Pro Forma'!$F$6:$Z$6,'Official Summary'!L$7,'Phase II Pro Forma'!$F$33:$Z$33)+SUMIF('Phase III Pro Forma'!$F$6:$Z$6,'Official Summary'!L$7,'Phase III Pro Forma'!$F$33:$Z$33)</f>
        <v>249.5</v>
      </c>
      <c r="M78" s="261">
        <f>+SUMIF('Phase I Pro Forma'!$F$6:$Z$6,'Official Summary'!M$7,'Phase I Pro Forma'!$F$33:$Z$33)+SUMIF('Phase II Pro Forma'!$F$6:$Z$6,'Official Summary'!M$7,'Phase II Pro Forma'!$F$33:$Z$33)+SUMIF('Phase III Pro Forma'!$F$6:$Z$6,'Official Summary'!M$7,'Phase III Pro Forma'!$F$33:$Z$33)</f>
        <v>249.5</v>
      </c>
      <c r="N78" s="261">
        <f>+SUMIF('Phase I Pro Forma'!$F$6:$Z$6,'Official Summary'!N$7,'Phase I Pro Forma'!$F$33:$Z$33)+SUMIF('Phase II Pro Forma'!$F$6:$Z$6,'Official Summary'!N$7,'Phase II Pro Forma'!$F$33:$Z$33)+SUMIF('Phase III Pro Forma'!$F$6:$Z$6,'Official Summary'!N$7,'Phase III Pro Forma'!$F$33:$Z$33)</f>
        <v>0</v>
      </c>
    </row>
    <row r="79" spans="2:14" ht="19" hidden="1" customHeight="1">
      <c r="B79" s="292" t="s">
        <v>408</v>
      </c>
      <c r="C79" s="260"/>
      <c r="D79" s="234" t="s">
        <v>13</v>
      </c>
      <c r="E79" s="261" t="s">
        <v>467</v>
      </c>
      <c r="F79" s="261" t="s">
        <v>467</v>
      </c>
      <c r="G79" s="261" t="s">
        <v>467</v>
      </c>
      <c r="H79" s="261" t="s">
        <v>467</v>
      </c>
      <c r="I79" s="261" t="s">
        <v>467</v>
      </c>
      <c r="J79" s="261" t="s">
        <v>467</v>
      </c>
      <c r="K79" s="261" t="s">
        <v>467</v>
      </c>
      <c r="L79" s="261" t="s">
        <v>467</v>
      </c>
      <c r="M79" s="261" t="s">
        <v>467</v>
      </c>
      <c r="N79" s="261" t="s">
        <v>467</v>
      </c>
    </row>
    <row r="80" spans="2:14" ht="19" hidden="1" customHeight="1">
      <c r="B80" s="292" t="s">
        <v>405</v>
      </c>
      <c r="C80" s="336"/>
      <c r="D80" s="234" t="s">
        <v>13</v>
      </c>
      <c r="E80" s="261" t="s">
        <v>467</v>
      </c>
      <c r="F80" s="261" t="s">
        <v>467</v>
      </c>
      <c r="G80" s="261" t="s">
        <v>467</v>
      </c>
      <c r="H80" s="261" t="s">
        <v>467</v>
      </c>
      <c r="I80" s="261" t="s">
        <v>467</v>
      </c>
      <c r="J80" s="261" t="s">
        <v>467</v>
      </c>
      <c r="K80" s="261" t="s">
        <v>467</v>
      </c>
      <c r="L80" s="261" t="s">
        <v>467</v>
      </c>
      <c r="M80" s="261" t="s">
        <v>467</v>
      </c>
      <c r="N80" s="261" t="s">
        <v>467</v>
      </c>
    </row>
    <row r="81" spans="2:14" ht="19" customHeight="1">
      <c r="B81" s="292" t="s">
        <v>1232</v>
      </c>
      <c r="C81" s="260"/>
      <c r="D81" s="234" t="s">
        <v>13</v>
      </c>
      <c r="E81" s="261">
        <f>+SUMIF('Phase I Pro Forma'!$F$6:$Z$6,'Official Summary'!E$7,'Phase I Pro Forma'!$F$10:$Z$10)+SUMIF('Phase II Pro Forma'!$F$6:$Z$6,'Official Summary'!E$7,'Phase II Pro Forma'!$F$10:$Z$10)+SUMIF('Phase III Pro Forma'!$F$6:$Z$6,'Official Summary'!E$7,'Phase III Pro Forma'!$F$10:$Z$10)</f>
        <v>0</v>
      </c>
      <c r="F81" s="261">
        <f>+SUMIF('Phase I Pro Forma'!$F$6:$Z$6,'Official Summary'!F$7,'Phase I Pro Forma'!$F$10:$Z$10)+SUMIF('Phase II Pro Forma'!$F$6:$Z$6,'Official Summary'!F$7,'Phase II Pro Forma'!$F$10:$Z$10)+SUMIF('Phase III Pro Forma'!$F$6:$Z$6,'Official Summary'!F$7,'Phase III Pro Forma'!$F$10:$Z$10)</f>
        <v>0</v>
      </c>
      <c r="G81" s="261">
        <f>+SUMIF('Phase I Pro Forma'!$F$6:$Z$6,'Official Summary'!G$7,'Phase I Pro Forma'!$F$10:$Z$10)+SUMIF('Phase II Pro Forma'!$F$6:$Z$6,'Official Summary'!G$7,'Phase II Pro Forma'!$F$10:$Z$10)+SUMIF('Phase III Pro Forma'!$F$6:$Z$6,'Official Summary'!G$7,'Phase III Pro Forma'!$F$10:$Z$10)</f>
        <v>377.5</v>
      </c>
      <c r="H81" s="261">
        <f>+SUMIF('Phase I Pro Forma'!$F$6:$Z$6,'Official Summary'!H$7,'Phase I Pro Forma'!$F$10:$Z$10)+SUMIF('Phase II Pro Forma'!$F$6:$Z$6,'Official Summary'!H$7,'Phase II Pro Forma'!$F$10:$Z$10)+SUMIF('Phase III Pro Forma'!$F$6:$Z$6,'Official Summary'!H$7,'Phase III Pro Forma'!$F$10:$Z$10)</f>
        <v>377.5</v>
      </c>
      <c r="I81" s="261">
        <f>+SUMIF('Phase I Pro Forma'!$F$6:$Z$6,'Official Summary'!I$7,'Phase I Pro Forma'!$F$10:$Z$10)+SUMIF('Phase II Pro Forma'!$F$6:$Z$6,'Official Summary'!I$7,'Phase II Pro Forma'!$F$10:$Z$10)+SUMIF('Phase III Pro Forma'!$F$6:$Z$6,'Official Summary'!I$7,'Phase III Pro Forma'!$F$10:$Z$10)</f>
        <v>5.5000000000000007E-6</v>
      </c>
      <c r="J81" s="261">
        <f>+SUMIF('Phase I Pro Forma'!$F$6:$Z$6,'Official Summary'!J$7,'Phase I Pro Forma'!$F$10:$Z$10)+SUMIF('Phase II Pro Forma'!$F$6:$Z$6,'Official Summary'!J$7,'Phase II Pro Forma'!$F$10:$Z$10)+SUMIF('Phase III Pro Forma'!$F$6:$Z$6,'Official Summary'!J$7,'Phase III Pro Forma'!$F$10:$Z$10)</f>
        <v>5.5000000000000007E-6</v>
      </c>
      <c r="K81" s="261">
        <f>+SUMIF('Phase I Pro Forma'!$F$6:$Z$6,'Official Summary'!K$7,'Phase I Pro Forma'!$F$10:$Z$10)+SUMIF('Phase II Pro Forma'!$F$6:$Z$6,'Official Summary'!K$7,'Phase II Pro Forma'!$F$10:$Z$10)+SUMIF('Phase III Pro Forma'!$F$6:$Z$6,'Official Summary'!K$7,'Phase III Pro Forma'!$F$10:$Z$10)</f>
        <v>0</v>
      </c>
      <c r="L81" s="261">
        <f>+SUMIF('Phase I Pro Forma'!$F$6:$Z$6,'Official Summary'!L$7,'Phase I Pro Forma'!$F$10:$Z$10)+SUMIF('Phase II Pro Forma'!$F$6:$Z$6,'Official Summary'!L$7,'Phase II Pro Forma'!$F$10:$Z$10)+SUMIF('Phase III Pro Forma'!$F$6:$Z$6,'Official Summary'!L$7,'Phase III Pro Forma'!$F$10:$Z$10)</f>
        <v>5.5000000000000007E-6</v>
      </c>
      <c r="M81" s="261">
        <f>+SUMIF('Phase I Pro Forma'!$F$6:$Z$6,'Official Summary'!M$7,'Phase I Pro Forma'!$F$10:$Z$10)+SUMIF('Phase II Pro Forma'!$F$6:$Z$6,'Official Summary'!M$7,'Phase II Pro Forma'!$F$10:$Z$10)+SUMIF('Phase III Pro Forma'!$F$6:$Z$6,'Official Summary'!M$7,'Phase III Pro Forma'!$F$10:$Z$10)</f>
        <v>5.5000000000000007E-6</v>
      </c>
      <c r="N81" s="261">
        <f>+SUMIF('Phase I Pro Forma'!$F$6:$Z$6,'Official Summary'!N$7,'Phase I Pro Forma'!$F$10:$Z$10)+SUMIF('Phase II Pro Forma'!$F$6:$Z$6,'Official Summary'!N$7,'Phase II Pro Forma'!$F$10:$Z$10)+SUMIF('Phase III Pro Forma'!$F$6:$Z$6,'Official Summary'!N$7,'Phase III Pro Forma'!$F$10:$Z$10)</f>
        <v>0</v>
      </c>
    </row>
    <row r="82" spans="2:14" ht="19" hidden="1" customHeight="1">
      <c r="B82" s="292" t="s">
        <v>407</v>
      </c>
      <c r="C82" s="260"/>
      <c r="D82" s="234" t="s">
        <v>13</v>
      </c>
      <c r="E82" s="261" t="s">
        <v>467</v>
      </c>
      <c r="F82" s="261" t="s">
        <v>467</v>
      </c>
      <c r="G82" s="261" t="s">
        <v>467</v>
      </c>
      <c r="H82" s="261" t="s">
        <v>467</v>
      </c>
      <c r="I82" s="261" t="s">
        <v>467</v>
      </c>
      <c r="J82" s="261" t="s">
        <v>467</v>
      </c>
      <c r="K82" s="261" t="s">
        <v>467</v>
      </c>
      <c r="L82" s="261" t="s">
        <v>467</v>
      </c>
      <c r="M82" s="261" t="s">
        <v>467</v>
      </c>
      <c r="N82" s="261" t="s">
        <v>467</v>
      </c>
    </row>
    <row r="83" spans="2:14" ht="19" customHeight="1">
      <c r="B83" s="338" t="s">
        <v>24</v>
      </c>
      <c r="C83" s="336"/>
      <c r="D83" s="234" t="s">
        <v>465</v>
      </c>
      <c r="E83" s="380" t="s">
        <v>467</v>
      </c>
      <c r="F83" s="380" t="s">
        <v>467</v>
      </c>
      <c r="G83" s="380" t="s">
        <v>467</v>
      </c>
      <c r="H83" s="380" t="s">
        <v>467</v>
      </c>
      <c r="I83" s="380" t="s">
        <v>467</v>
      </c>
      <c r="J83" s="380" t="s">
        <v>467</v>
      </c>
      <c r="K83" s="380" t="s">
        <v>467</v>
      </c>
      <c r="L83" s="380" t="s">
        <v>467</v>
      </c>
      <c r="M83" s="380" t="s">
        <v>467</v>
      </c>
      <c r="N83" s="380" t="s">
        <v>467</v>
      </c>
    </row>
    <row r="84" spans="2:14" ht="19" customHeight="1">
      <c r="B84" s="338" t="s">
        <v>25</v>
      </c>
      <c r="C84" s="336"/>
      <c r="D84" s="234" t="s">
        <v>465</v>
      </c>
      <c r="E84" s="380" t="s">
        <v>467</v>
      </c>
      <c r="F84" s="380" t="s">
        <v>467</v>
      </c>
      <c r="G84" s="380" t="s">
        <v>467</v>
      </c>
      <c r="H84" s="380" t="s">
        <v>467</v>
      </c>
      <c r="I84" s="380" t="s">
        <v>467</v>
      </c>
      <c r="J84" s="380" t="s">
        <v>467</v>
      </c>
      <c r="K84" s="380" t="s">
        <v>467</v>
      </c>
      <c r="L84" s="380" t="s">
        <v>467</v>
      </c>
      <c r="M84" s="380" t="s">
        <v>467</v>
      </c>
      <c r="N84" s="380" t="s">
        <v>467</v>
      </c>
    </row>
    <row r="85" spans="2:14" ht="19" customHeight="1">
      <c r="B85" s="338" t="s">
        <v>827</v>
      </c>
      <c r="C85" s="336"/>
      <c r="D85" s="234" t="s">
        <v>465</v>
      </c>
      <c r="E85" s="380" t="s">
        <v>467</v>
      </c>
      <c r="F85" s="380" t="s">
        <v>467</v>
      </c>
      <c r="G85" s="380" t="s">
        <v>467</v>
      </c>
      <c r="H85" s="380" t="s">
        <v>467</v>
      </c>
      <c r="I85" s="380" t="s">
        <v>467</v>
      </c>
      <c r="J85" s="380" t="s">
        <v>467</v>
      </c>
      <c r="K85" s="380" t="s">
        <v>467</v>
      </c>
      <c r="L85" s="380" t="s">
        <v>467</v>
      </c>
      <c r="M85" s="380" t="s">
        <v>467</v>
      </c>
      <c r="N85" s="380" t="s">
        <v>467</v>
      </c>
    </row>
    <row r="86" spans="2:14" ht="19" customHeight="1">
      <c r="B86" s="338" t="s">
        <v>26</v>
      </c>
      <c r="C86" s="339"/>
      <c r="D86" s="234" t="s">
        <v>15</v>
      </c>
      <c r="E86" s="261">
        <f>+SUMIF('Phase I Pro Forma'!$F$6:$Z$6,'Official Summary'!E$7,'Phase I Pro Forma'!$F$167:$Z$167)+SUMIF('Phase II Pro Forma'!$F$6:$Z$6,'Official Summary'!E$7,'Phase II Pro Forma'!$F$168:$Z$168)+SUMIF('Phase III Pro Forma'!$F$6:$Z$6,'Official Summary'!E$7,'Phase III Pro Forma'!$F$167:$Z$167)</f>
        <v>0</v>
      </c>
      <c r="F86" s="261">
        <f>+SUMIF('Phase I Pro Forma'!$F$6:$Z$6,'Official Summary'!F$7,'Phase I Pro Forma'!$F$167:$Z$167)+SUMIF('Phase II Pro Forma'!$F$6:$Z$6,'Official Summary'!F$7,'Phase II Pro Forma'!$F$168:$Z$168)+SUMIF('Phase III Pro Forma'!$F$6:$Z$6,'Official Summary'!F$7,'Phase III Pro Forma'!$F$167:$Z$167)</f>
        <v>0</v>
      </c>
      <c r="G86" s="261">
        <f>+SUMIF('Phase I Pro Forma'!$F$6:$Z$6,'Official Summary'!G$7,'Phase I Pro Forma'!$F$167:$Z$167)+SUMIF('Phase II Pro Forma'!$F$6:$Z$6,'Official Summary'!G$7,'Phase II Pro Forma'!$F$168:$Z$168)+SUMIF('Phase III Pro Forma'!$F$6:$Z$6,'Official Summary'!G$7,'Phase III Pro Forma'!$F$167:$Z$167)</f>
        <v>5.0000000000000004E-6</v>
      </c>
      <c r="H86" s="261">
        <f>+SUMIF('Phase I Pro Forma'!$F$6:$Z$6,'Official Summary'!H$7,'Phase I Pro Forma'!$F$167:$Z$167)+SUMIF('Phase II Pro Forma'!$F$6:$Z$6,'Official Summary'!H$7,'Phase II Pro Forma'!$F$168:$Z$168)+SUMIF('Phase III Pro Forma'!$F$6:$Z$6,'Official Summary'!H$7,'Phase III Pro Forma'!$F$167:$Z$167)</f>
        <v>5.0000000000000004E-6</v>
      </c>
      <c r="I86" s="261">
        <f>+SUMIF('Phase I Pro Forma'!$F$6:$Z$6,'Official Summary'!I$7,'Phase I Pro Forma'!$F$167:$Z$167)+SUMIF('Phase II Pro Forma'!$F$6:$Z$6,'Official Summary'!I$7,'Phase II Pro Forma'!$F$168:$Z$168)+SUMIF('Phase III Pro Forma'!$F$6:$Z$6,'Official Summary'!I$7,'Phase III Pro Forma'!$F$167:$Z$167)</f>
        <v>4.9999999999999998E-7</v>
      </c>
      <c r="J86" s="261">
        <f>+SUMIF('Phase I Pro Forma'!$F$6:$Z$6,'Official Summary'!J$7,'Phase I Pro Forma'!$F$167:$Z$167)+SUMIF('Phase II Pro Forma'!$F$6:$Z$6,'Official Summary'!J$7,'Phase II Pro Forma'!$F$168:$Z$168)+SUMIF('Phase III Pro Forma'!$F$6:$Z$6,'Official Summary'!J$7,'Phase III Pro Forma'!$F$167:$Z$167)</f>
        <v>4.9999999999999998E-7</v>
      </c>
      <c r="K86" s="261">
        <f>+SUMIF('Phase I Pro Forma'!$F$6:$Z$6,'Official Summary'!K$7,'Phase I Pro Forma'!$F$167:$Z$167)+SUMIF('Phase II Pro Forma'!$F$6:$Z$6,'Official Summary'!K$7,'Phase II Pro Forma'!$F$168:$Z$168)+SUMIF('Phase III Pro Forma'!$F$6:$Z$6,'Official Summary'!K$7,'Phase III Pro Forma'!$F$167:$Z$167)</f>
        <v>0</v>
      </c>
      <c r="L86" s="261">
        <f>+SUMIF('Phase I Pro Forma'!$F$6:$Z$6,'Official Summary'!L$7,'Phase I Pro Forma'!$F$167:$Z$167)+SUMIF('Phase II Pro Forma'!$F$6:$Z$6,'Official Summary'!L$7,'Phase II Pro Forma'!$F$168:$Z$168)+SUMIF('Phase III Pro Forma'!$F$6:$Z$6,'Official Summary'!L$7,'Phase III Pro Forma'!$F$167:$Z$167)</f>
        <v>4.9999999999999998E-7</v>
      </c>
      <c r="M86" s="261">
        <f>+SUMIF('Phase I Pro Forma'!$F$6:$Z$6,'Official Summary'!M$7,'Phase I Pro Forma'!$F$167:$Z$167)+SUMIF('Phase II Pro Forma'!$F$6:$Z$6,'Official Summary'!M$7,'Phase II Pro Forma'!$F$168:$Z$168)+SUMIF('Phase III Pro Forma'!$F$6:$Z$6,'Official Summary'!M$7,'Phase III Pro Forma'!$F$167:$Z$167)</f>
        <v>4.9999999999999998E-7</v>
      </c>
      <c r="N86" s="261">
        <f>+SUMIF('Phase I Pro Forma'!$F$6:$Z$6,'Official Summary'!N$7,'Phase I Pro Forma'!$F$167:$Z$167)+SUMIF('Phase II Pro Forma'!$F$6:$Z$6,'Official Summary'!N$7,'Phase II Pro Forma'!$F$168:$Z$168)+SUMIF('Phase III Pro Forma'!$F$6:$Z$6,'Official Summary'!N$7,'Phase III Pro Forma'!$F$167:$Z$167)</f>
        <v>0</v>
      </c>
    </row>
    <row r="87" spans="2:14" ht="19" customHeight="1">
      <c r="B87" s="338" t="s">
        <v>27</v>
      </c>
      <c r="C87" s="339"/>
      <c r="D87" s="234" t="s">
        <v>16</v>
      </c>
      <c r="E87" s="261">
        <f>+SUMIF('Phase I Pro Forma'!$F$6:$Z$6,'Official Summary'!E$7,'Phase I Pro Forma'!$F$118:$Z$118)*(Assumptions!$F$177/SUM(Assumptions!$F$177,Assumptions!$F$191))+SUMIF('Phase II Pro Forma'!$F$6:$Z$6,'Official Summary'!E$7,'Phase II Pro Forma'!$F$118:$Z$118)*(Assumptions!$G$177/SUM(Assumptions!$G$177,Assumptions!$G$191))+SUMIF('Phase III Pro Forma'!$F$6:$Z$6,'Official Summary'!E$7,'Phase III Pro Forma'!$F$118:$Z$118)*(Assumptions!$H$177/SUM(Assumptions!$H$177,Assumptions!$H$191))</f>
        <v>0</v>
      </c>
      <c r="F87" s="261">
        <f>+SUMIF('Phase I Pro Forma'!$F$6:$Z$6,'Official Summary'!F$7,'Phase I Pro Forma'!$F$118:$Z$118)*(Assumptions!$F$177/SUM(Assumptions!$F$177,Assumptions!$F$191))+SUMIF('Phase II Pro Forma'!$F$6:$Z$6,'Official Summary'!F$7,'Phase II Pro Forma'!$F$118:$Z$118)*(Assumptions!$G$177/SUM(Assumptions!$G$177,Assumptions!$G$191))+SUMIF('Phase III Pro Forma'!$F$6:$Z$6,'Official Summary'!F$7,'Phase III Pro Forma'!$F$118:$Z$118)*(Assumptions!$H$177/SUM(Assumptions!$H$177,Assumptions!$H$191))</f>
        <v>0</v>
      </c>
      <c r="G87" s="261">
        <f>+SUMIF('Phase I Pro Forma'!$F$6:$Z$6,'Official Summary'!G$7,'Phase I Pro Forma'!$F$118:$Z$118)*(Assumptions!$F$177/SUM(Assumptions!$F$177,Assumptions!$F$191))+SUMIF('Phase II Pro Forma'!$F$6:$Z$6,'Official Summary'!G$7,'Phase II Pro Forma'!$F$118:$Z$118)*(Assumptions!$G$177/SUM(Assumptions!$G$177,Assumptions!$G$191))+SUMIF('Phase III Pro Forma'!$F$6:$Z$6,'Official Summary'!G$7,'Phase III Pro Forma'!$F$118:$Z$118)*(Assumptions!$H$177/SUM(Assumptions!$H$177,Assumptions!$H$191))</f>
        <v>407.08666666666664</v>
      </c>
      <c r="H87" s="261">
        <f>+SUMIF('Phase I Pro Forma'!$F$6:$Z$6,'Official Summary'!H$7,'Phase I Pro Forma'!$F$118:$Z$118)*(Assumptions!$F$177/SUM(Assumptions!$F$177,Assumptions!$F$191))+SUMIF('Phase II Pro Forma'!$F$6:$Z$6,'Official Summary'!H$7,'Phase II Pro Forma'!$F$118:$Z$118)*(Assumptions!$G$177/SUM(Assumptions!$G$177,Assumptions!$G$191))+SUMIF('Phase III Pro Forma'!$F$6:$Z$6,'Official Summary'!H$7,'Phase III Pro Forma'!$F$118:$Z$118)*(Assumptions!$H$177/SUM(Assumptions!$H$177,Assumptions!$H$191))</f>
        <v>407.08666666666664</v>
      </c>
      <c r="I87" s="261">
        <f>+SUMIF('Phase I Pro Forma'!$F$6:$Z$6,'Official Summary'!I$7,'Phase I Pro Forma'!$F$118:$Z$118)*(Assumptions!$F$177/SUM(Assumptions!$F$177,Assumptions!$F$191))+SUMIF('Phase II Pro Forma'!$F$6:$Z$6,'Official Summary'!I$7,'Phase II Pro Forma'!$F$118:$Z$118)*(Assumptions!$G$177/SUM(Assumptions!$G$177,Assumptions!$G$191))+SUMIF('Phase III Pro Forma'!$F$6:$Z$6,'Official Summary'!I$7,'Phase III Pro Forma'!$F$118:$Z$118)*(Assumptions!$H$177/SUM(Assumptions!$H$177,Assumptions!$H$191))</f>
        <v>4.9999999999999998E-7</v>
      </c>
      <c r="J87" s="261">
        <f>+SUMIF('Phase I Pro Forma'!$F$6:$Z$6,'Official Summary'!J$7,'Phase I Pro Forma'!$F$118:$Z$118)*(Assumptions!$F$177/SUM(Assumptions!$F$177,Assumptions!$F$191))+SUMIF('Phase II Pro Forma'!$F$6:$Z$6,'Official Summary'!J$7,'Phase II Pro Forma'!$F$118:$Z$118)*(Assumptions!$G$177/SUM(Assumptions!$G$177,Assumptions!$G$191))+SUMIF('Phase III Pro Forma'!$F$6:$Z$6,'Official Summary'!J$7,'Phase III Pro Forma'!$F$118:$Z$118)*(Assumptions!$H$177/SUM(Assumptions!$H$177,Assumptions!$H$191))</f>
        <v>4.9999999999999998E-7</v>
      </c>
      <c r="K87" s="261">
        <f>+SUMIF('Phase I Pro Forma'!$F$6:$Z$6,'Official Summary'!K$7,'Phase I Pro Forma'!$F$118:$Z$118)*(Assumptions!$F$177/SUM(Assumptions!$F$177,Assumptions!$F$191))+SUMIF('Phase II Pro Forma'!$F$6:$Z$6,'Official Summary'!K$7,'Phase II Pro Forma'!$F$118:$Z$118)*(Assumptions!$G$177/SUM(Assumptions!$G$177,Assumptions!$G$191))+SUMIF('Phase III Pro Forma'!$F$6:$Z$6,'Official Summary'!K$7,'Phase III Pro Forma'!$F$118:$Z$118)*(Assumptions!$H$177/SUM(Assumptions!$H$177,Assumptions!$H$191))</f>
        <v>0</v>
      </c>
      <c r="L87" s="261">
        <f>+SUMIF('Phase I Pro Forma'!$F$6:$Z$6,'Official Summary'!L$7,'Phase I Pro Forma'!$F$118:$Z$118)*(Assumptions!$F$177/SUM(Assumptions!$F$177,Assumptions!$F$191))+SUMIF('Phase II Pro Forma'!$F$6:$Z$6,'Official Summary'!L$7,'Phase II Pro Forma'!$F$118:$Z$118)*(Assumptions!$G$177/SUM(Assumptions!$G$177,Assumptions!$G$191))+SUMIF('Phase III Pro Forma'!$F$6:$Z$6,'Official Summary'!L$7,'Phase III Pro Forma'!$F$118:$Z$118)*(Assumptions!$H$177/SUM(Assumptions!$H$177,Assumptions!$H$191))</f>
        <v>705.54666666666662</v>
      </c>
      <c r="M87" s="261">
        <f>+SUMIF('Phase I Pro Forma'!$F$6:$Z$6,'Official Summary'!M$7,'Phase I Pro Forma'!$F$118:$Z$118)*(Assumptions!$F$177/SUM(Assumptions!$F$177,Assumptions!$F$191))+SUMIF('Phase II Pro Forma'!$F$6:$Z$6,'Official Summary'!M$7,'Phase II Pro Forma'!$F$118:$Z$118)*(Assumptions!$G$177/SUM(Assumptions!$G$177,Assumptions!$G$191))+SUMIF('Phase III Pro Forma'!$F$6:$Z$6,'Official Summary'!M$7,'Phase III Pro Forma'!$F$118:$Z$118)*(Assumptions!$H$177/SUM(Assumptions!$H$177,Assumptions!$H$191))</f>
        <v>705.54666666666662</v>
      </c>
      <c r="N87" s="261">
        <f>+SUMIF('Phase I Pro Forma'!$F$6:$Z$6,'Official Summary'!N$7,'Phase I Pro Forma'!$F$118:$Z$118)*(Assumptions!$F$177/SUM(Assumptions!$F$177,Assumptions!$F$191))+SUMIF('Phase II Pro Forma'!$F$6:$Z$6,'Official Summary'!N$7,'Phase II Pro Forma'!$F$118:$Z$118)*(Assumptions!$G$177/SUM(Assumptions!$G$177,Assumptions!$G$191))+SUMIF('Phase III Pro Forma'!$F$6:$Z$6,'Official Summary'!N$7,'Phase III Pro Forma'!$F$118:$Z$118)*(Assumptions!$H$177/SUM(Assumptions!$H$177,Assumptions!$H$191))</f>
        <v>0</v>
      </c>
    </row>
    <row r="88" spans="2:14" ht="19" customHeight="1">
      <c r="B88" s="338" t="s">
        <v>28</v>
      </c>
      <c r="C88" s="339"/>
      <c r="D88" s="234" t="s">
        <v>16</v>
      </c>
      <c r="E88" s="261">
        <f>+SUMIF('Phase I Pro Forma'!$F$6:$Z$6,'Official Summary'!E$7,'Phase I Pro Forma'!$F$118:$Z$118)*(Assumptions!$F$191/SUM(Assumptions!$F$177,Assumptions!$F$191))+SUMIF('Phase II Pro Forma'!$F$6:$Z$6,'Official Summary'!E$7,'Phase II Pro Forma'!$F$118:$Z$118)*(Assumptions!$G$191/SUM(Assumptions!$G$177,Assumptions!$G$191))+SUMIF('Phase III Pro Forma'!$F$6:$Z$6,'Official Summary'!E$7,'Phase III Pro Forma'!$F$118:$Z$118)*(Assumptions!$H$191/SUM(Assumptions!$H$177,Assumptions!$H$191))</f>
        <v>0</v>
      </c>
      <c r="F88" s="261">
        <f>+SUMIF('Phase I Pro Forma'!$F$6:$Z$6,'Official Summary'!F$7,'Phase I Pro Forma'!$F$118:$Z$118)*(Assumptions!$F$191/SUM(Assumptions!$F$177,Assumptions!$F$191))+SUMIF('Phase II Pro Forma'!$F$6:$Z$6,'Official Summary'!F$7,'Phase II Pro Forma'!$F$118:$Z$118)*(Assumptions!$G$191/SUM(Assumptions!$G$177,Assumptions!$G$191))+SUMIF('Phase III Pro Forma'!$F$6:$Z$6,'Official Summary'!F$7,'Phase III Pro Forma'!$F$118:$Z$118)*(Assumptions!$H$191/SUM(Assumptions!$H$177,Assumptions!$H$191))</f>
        <v>0</v>
      </c>
      <c r="G88" s="261">
        <f>+SUMIF('Phase I Pro Forma'!$F$6:$Z$6,'Official Summary'!G$7,'Phase I Pro Forma'!$F$118:$Z$118)*(Assumptions!$F$191/SUM(Assumptions!$F$177,Assumptions!$F$191))+SUMIF('Phase II Pro Forma'!$F$6:$Z$6,'Official Summary'!G$7,'Phase II Pro Forma'!$F$118:$Z$118)*(Assumptions!$G$191/SUM(Assumptions!$G$177,Assumptions!$G$191))+SUMIF('Phase III Pro Forma'!$F$6:$Z$6,'Official Summary'!G$7,'Phase III Pro Forma'!$F$118:$Z$118)*(Assumptions!$H$191/SUM(Assumptions!$H$177,Assumptions!$H$191))</f>
        <v>0</v>
      </c>
      <c r="H88" s="261">
        <f>+SUMIF('Phase I Pro Forma'!$F$6:$Z$6,'Official Summary'!H$7,'Phase I Pro Forma'!$F$118:$Z$118)*(Assumptions!$F$191/SUM(Assumptions!$F$177,Assumptions!$F$191))+SUMIF('Phase II Pro Forma'!$F$6:$Z$6,'Official Summary'!H$7,'Phase II Pro Forma'!$F$118:$Z$118)*(Assumptions!$G$191/SUM(Assumptions!$G$177,Assumptions!$G$191))+SUMIF('Phase III Pro Forma'!$F$6:$Z$6,'Official Summary'!H$7,'Phase III Pro Forma'!$F$118:$Z$118)*(Assumptions!$H$191/SUM(Assumptions!$H$177,Assumptions!$H$191))</f>
        <v>0</v>
      </c>
      <c r="I88" s="261">
        <f>+SUMIF('Phase I Pro Forma'!$F$6:$Z$6,'Official Summary'!I$7,'Phase I Pro Forma'!$F$118:$Z$118)*(Assumptions!$F$191/SUM(Assumptions!$F$177,Assumptions!$F$191))+SUMIF('Phase II Pro Forma'!$F$6:$Z$6,'Official Summary'!I$7,'Phase II Pro Forma'!$F$118:$Z$118)*(Assumptions!$G$191/SUM(Assumptions!$G$177,Assumptions!$G$191))+SUMIF('Phase III Pro Forma'!$F$6:$Z$6,'Official Summary'!I$7,'Phase III Pro Forma'!$F$118:$Z$118)*(Assumptions!$H$191/SUM(Assumptions!$H$177,Assumptions!$H$191))</f>
        <v>0</v>
      </c>
      <c r="J88" s="261">
        <f>+SUMIF('Phase I Pro Forma'!$F$6:$Z$6,'Official Summary'!J$7,'Phase I Pro Forma'!$F$118:$Z$118)*(Assumptions!$F$191/SUM(Assumptions!$F$177,Assumptions!$F$191))+SUMIF('Phase II Pro Forma'!$F$6:$Z$6,'Official Summary'!J$7,'Phase II Pro Forma'!$F$118:$Z$118)*(Assumptions!$G$191/SUM(Assumptions!$G$177,Assumptions!$G$191))+SUMIF('Phase III Pro Forma'!$F$6:$Z$6,'Official Summary'!J$7,'Phase III Pro Forma'!$F$118:$Z$118)*(Assumptions!$H$191/SUM(Assumptions!$H$177,Assumptions!$H$191))</f>
        <v>0</v>
      </c>
      <c r="K88" s="261">
        <f>+SUMIF('Phase I Pro Forma'!$F$6:$Z$6,'Official Summary'!K$7,'Phase I Pro Forma'!$F$118:$Z$118)*(Assumptions!$F$191/SUM(Assumptions!$F$177,Assumptions!$F$191))+SUMIF('Phase II Pro Forma'!$F$6:$Z$6,'Official Summary'!K$7,'Phase II Pro Forma'!$F$118:$Z$118)*(Assumptions!$G$191/SUM(Assumptions!$G$177,Assumptions!$G$191))+SUMIF('Phase III Pro Forma'!$F$6:$Z$6,'Official Summary'!K$7,'Phase III Pro Forma'!$F$118:$Z$118)*(Assumptions!$H$191/SUM(Assumptions!$H$177,Assumptions!$H$191))</f>
        <v>0</v>
      </c>
      <c r="L88" s="261">
        <f>+SUMIF('Phase I Pro Forma'!$F$6:$Z$6,'Official Summary'!L$7,'Phase I Pro Forma'!$F$118:$Z$118)*(Assumptions!$F$191/SUM(Assumptions!$F$177,Assumptions!$F$191))+SUMIF('Phase II Pro Forma'!$F$6:$Z$6,'Official Summary'!L$7,'Phase II Pro Forma'!$F$118:$Z$118)*(Assumptions!$G$191/SUM(Assumptions!$G$177,Assumptions!$G$191))+SUMIF('Phase III Pro Forma'!$F$6:$Z$6,'Official Summary'!L$7,'Phase III Pro Forma'!$F$118:$Z$118)*(Assumptions!$H$191/SUM(Assumptions!$H$177,Assumptions!$H$191))</f>
        <v>0</v>
      </c>
      <c r="M88" s="261">
        <f>+SUMIF('Phase I Pro Forma'!$F$6:$Z$6,'Official Summary'!M$7,'Phase I Pro Forma'!$F$118:$Z$118)*(Assumptions!$F$191/SUM(Assumptions!$F$177,Assumptions!$F$191))+SUMIF('Phase II Pro Forma'!$F$6:$Z$6,'Official Summary'!M$7,'Phase II Pro Forma'!$F$118:$Z$118)*(Assumptions!$G$191/SUM(Assumptions!$G$177,Assumptions!$G$191))+SUMIF('Phase III Pro Forma'!$F$6:$Z$6,'Official Summary'!M$7,'Phase III Pro Forma'!$F$118:$Z$118)*(Assumptions!$H$191/SUM(Assumptions!$H$177,Assumptions!$H$191))</f>
        <v>0</v>
      </c>
      <c r="N88" s="261">
        <f>+SUMIF('Phase I Pro Forma'!$F$6:$Z$6,'Official Summary'!N$7,'Phase I Pro Forma'!$F$118:$Z$118)*(Assumptions!$F$191/SUM(Assumptions!$F$177,Assumptions!$F$191))+SUMIF('Phase II Pro Forma'!$F$6:$Z$6,'Official Summary'!N$7,'Phase II Pro Forma'!$F$118:$Z$118)*(Assumptions!$G$191/SUM(Assumptions!$G$177,Assumptions!$G$191))+SUMIF('Phase III Pro Forma'!$F$6:$Z$6,'Official Summary'!N$7,'Phase III Pro Forma'!$F$118:$Z$118)*(Assumptions!$H$191/SUM(Assumptions!$H$177,Assumptions!$H$191))</f>
        <v>0</v>
      </c>
    </row>
    <row r="89" spans="2:14" ht="19" customHeight="1">
      <c r="B89" s="338" t="s">
        <v>48</v>
      </c>
      <c r="C89" s="339"/>
      <c r="D89" s="234" t="s">
        <v>16</v>
      </c>
      <c r="E89" s="261" t="s">
        <v>467</v>
      </c>
      <c r="F89" s="261" t="s">
        <v>467</v>
      </c>
      <c r="G89" s="261" t="s">
        <v>467</v>
      </c>
      <c r="H89" s="261" t="s">
        <v>467</v>
      </c>
      <c r="I89" s="261" t="s">
        <v>467</v>
      </c>
      <c r="J89" s="261" t="s">
        <v>467</v>
      </c>
      <c r="K89" s="261" t="s">
        <v>467</v>
      </c>
      <c r="L89" s="261" t="s">
        <v>467</v>
      </c>
      <c r="M89" s="261" t="s">
        <v>467</v>
      </c>
      <c r="N89" s="261" t="s">
        <v>467</v>
      </c>
    </row>
    <row r="90" spans="2:14" ht="19" customHeight="1">
      <c r="B90" s="379" t="s">
        <v>710</v>
      </c>
      <c r="C90" s="333"/>
      <c r="D90" s="234" t="s">
        <v>465</v>
      </c>
      <c r="E90" s="380" t="s">
        <v>467</v>
      </c>
      <c r="F90" s="380" t="s">
        <v>467</v>
      </c>
      <c r="G90" s="380" t="s">
        <v>467</v>
      </c>
      <c r="H90" s="380" t="s">
        <v>467</v>
      </c>
      <c r="I90" s="380" t="s">
        <v>467</v>
      </c>
      <c r="J90" s="380" t="s">
        <v>467</v>
      </c>
      <c r="K90" s="380" t="s">
        <v>467</v>
      </c>
      <c r="L90" s="380" t="s">
        <v>467</v>
      </c>
      <c r="M90" s="380" t="s">
        <v>467</v>
      </c>
      <c r="N90" s="380" t="s">
        <v>467</v>
      </c>
    </row>
    <row r="91" spans="2:14" ht="19" customHeight="1">
      <c r="B91" s="264" t="s">
        <v>468</v>
      </c>
      <c r="C91" s="264"/>
      <c r="D91" s="320"/>
      <c r="E91" s="265"/>
      <c r="F91" s="265"/>
      <c r="G91" s="265"/>
      <c r="H91" s="265"/>
      <c r="I91" s="265"/>
      <c r="J91" s="265"/>
      <c r="K91" s="265"/>
      <c r="L91" s="265"/>
      <c r="M91" s="321"/>
      <c r="N91" s="265"/>
    </row>
    <row r="92" spans="2:14" ht="19" customHeight="1">
      <c r="B92" s="292" t="s">
        <v>409</v>
      </c>
      <c r="C92" s="336"/>
      <c r="D92" s="234" t="s">
        <v>14</v>
      </c>
      <c r="E92" s="261">
        <f>+SUMIF('Phase I Pro Forma'!$F$6:$Z$6,'Official Summary'!E$7,'Phase I Pro Forma'!$F$31:$Z$31)+SUMIF('Phase II Pro Forma'!$F$6:$Z$6,'Official Summary'!E$7,'Phase II Pro Forma'!$F$31:$Z$31)+SUMIF('Phase III Pro Forma'!$F$6:$Z$6,'Official Summary'!E$7,'Phase III Pro Forma'!$F$31:$Z$31)</f>
        <v>0</v>
      </c>
      <c r="F92" s="261">
        <f>+SUMIF('Phase I Pro Forma'!$F$6:$Z$6,'Official Summary'!F$7,'Phase I Pro Forma'!$F$31:$Z$31)+SUMIF('Phase II Pro Forma'!$F$6:$Z$6,'Official Summary'!F$7,'Phase II Pro Forma'!$F$31:$Z$31)+SUMIF('Phase III Pro Forma'!$F$6:$Z$6,'Official Summary'!F$7,'Phase III Pro Forma'!$F$31:$Z$31)</f>
        <v>0</v>
      </c>
      <c r="G92" s="261">
        <f>+SUMIF('Phase I Pro Forma'!$F$6:$Z$6,'Official Summary'!G$7,'Phase I Pro Forma'!$F$31:$Z$31)+SUMIF('Phase II Pro Forma'!$F$6:$Z$6,'Official Summary'!G$7,'Phase II Pro Forma'!$F$31:$Z$31)+SUMIF('Phase III Pro Forma'!$F$6:$Z$6,'Official Summary'!G$7,'Phase III Pro Forma'!$F$31:$Z$31)</f>
        <v>121900.0009</v>
      </c>
      <c r="H92" s="261">
        <f>+SUMIF('Phase I Pro Forma'!$F$6:$Z$6,'Official Summary'!H$7,'Phase I Pro Forma'!$F$31:$Z$31)+SUMIF('Phase II Pro Forma'!$F$6:$Z$6,'Official Summary'!H$7,'Phase II Pro Forma'!$F$31:$Z$31)+SUMIF('Phase III Pro Forma'!$F$6:$Z$6,'Official Summary'!H$7,'Phase III Pro Forma'!$F$31:$Z$31)</f>
        <v>121900.0009</v>
      </c>
      <c r="I92" s="261">
        <f>+SUMIF('Phase I Pro Forma'!$F$6:$Z$6,'Official Summary'!I$7,'Phase I Pro Forma'!$F$31:$Z$31)+SUMIF('Phase II Pro Forma'!$F$6:$Z$6,'Official Summary'!I$7,'Phase II Pro Forma'!$F$31:$Z$31)+SUMIF('Phase III Pro Forma'!$F$6:$Z$6,'Official Summary'!I$7,'Phase III Pro Forma'!$F$31:$Z$31)</f>
        <v>3.725E-3</v>
      </c>
      <c r="J92" s="261">
        <f>+SUMIF('Phase I Pro Forma'!$F$6:$Z$6,'Official Summary'!J$7,'Phase I Pro Forma'!$F$31:$Z$31)+SUMIF('Phase II Pro Forma'!$F$6:$Z$6,'Official Summary'!J$7,'Phase II Pro Forma'!$F$31:$Z$31)+SUMIF('Phase III Pro Forma'!$F$6:$Z$6,'Official Summary'!J$7,'Phase III Pro Forma'!$F$31:$Z$31)</f>
        <v>3.725E-3</v>
      </c>
      <c r="K92" s="261">
        <f>+SUMIF('Phase I Pro Forma'!$F$6:$Z$6,'Official Summary'!K$7,'Phase I Pro Forma'!$F$31:$Z$31)+SUMIF('Phase II Pro Forma'!$F$6:$Z$6,'Official Summary'!K$7,'Phase II Pro Forma'!$F$31:$Z$31)+SUMIF('Phase III Pro Forma'!$F$6:$Z$6,'Official Summary'!K$7,'Phase III Pro Forma'!$F$31:$Z$31)</f>
        <v>0</v>
      </c>
      <c r="L92" s="261">
        <f>+SUMIF('Phase I Pro Forma'!$F$6:$Z$6,'Official Summary'!L$7,'Phase I Pro Forma'!$F$31:$Z$31)+SUMIF('Phase II Pro Forma'!$F$6:$Z$6,'Official Summary'!L$7,'Phase II Pro Forma'!$F$31:$Z$31)+SUMIF('Phase III Pro Forma'!$F$6:$Z$6,'Official Summary'!L$7,'Phase III Pro Forma'!$F$31:$Z$31)</f>
        <v>199100</v>
      </c>
      <c r="M92" s="261">
        <f>+SUMIF('Phase I Pro Forma'!$F$6:$Z$6,'Official Summary'!M$7,'Phase I Pro Forma'!$F$31:$Z$31)+SUMIF('Phase II Pro Forma'!$F$6:$Z$6,'Official Summary'!M$7,'Phase II Pro Forma'!$F$31:$Z$31)+SUMIF('Phase III Pro Forma'!$F$6:$Z$6,'Official Summary'!M$7,'Phase III Pro Forma'!$F$31:$Z$31)</f>
        <v>199100</v>
      </c>
      <c r="N92" s="261">
        <f>+SUMIF('Phase I Pro Forma'!$F$6:$Z$6,'Official Summary'!N$7,'Phase I Pro Forma'!$F$31:$Z$31)+SUMIF('Phase II Pro Forma'!$F$6:$Z$6,'Official Summary'!N$7,'Phase II Pro Forma'!$F$31:$Z$31)+SUMIF('Phase III Pro Forma'!$F$6:$Z$6,'Official Summary'!N$7,'Phase III Pro Forma'!$F$31:$Z$31)</f>
        <v>0</v>
      </c>
    </row>
    <row r="93" spans="2:14" ht="19" hidden="1" customHeight="1">
      <c r="B93" s="292" t="s">
        <v>408</v>
      </c>
      <c r="C93" s="336"/>
      <c r="D93" s="234" t="s">
        <v>14</v>
      </c>
      <c r="E93" s="261" t="s">
        <v>467</v>
      </c>
      <c r="F93" s="261" t="s">
        <v>467</v>
      </c>
      <c r="G93" s="261" t="s">
        <v>467</v>
      </c>
      <c r="H93" s="261" t="s">
        <v>467</v>
      </c>
      <c r="I93" s="261" t="s">
        <v>467</v>
      </c>
      <c r="J93" s="261" t="s">
        <v>467</v>
      </c>
      <c r="K93" s="261" t="s">
        <v>467</v>
      </c>
      <c r="L93" s="261" t="s">
        <v>467</v>
      </c>
      <c r="M93" s="261" t="s">
        <v>467</v>
      </c>
      <c r="N93" s="261" t="s">
        <v>467</v>
      </c>
    </row>
    <row r="94" spans="2:14" ht="19" hidden="1" customHeight="1">
      <c r="B94" s="292" t="s">
        <v>405</v>
      </c>
      <c r="C94" s="336"/>
      <c r="D94" s="234" t="s">
        <v>14</v>
      </c>
      <c r="E94" s="261" t="s">
        <v>467</v>
      </c>
      <c r="F94" s="261" t="s">
        <v>467</v>
      </c>
      <c r="G94" s="261" t="s">
        <v>467</v>
      </c>
      <c r="H94" s="261" t="s">
        <v>467</v>
      </c>
      <c r="I94" s="261" t="s">
        <v>467</v>
      </c>
      <c r="J94" s="261" t="s">
        <v>467</v>
      </c>
      <c r="K94" s="261" t="s">
        <v>467</v>
      </c>
      <c r="L94" s="261" t="s">
        <v>467</v>
      </c>
      <c r="M94" s="261" t="s">
        <v>467</v>
      </c>
      <c r="N94" s="261" t="s">
        <v>467</v>
      </c>
    </row>
    <row r="95" spans="2:14" ht="19" customHeight="1">
      <c r="B95" s="292" t="s">
        <v>406</v>
      </c>
      <c r="C95" s="336"/>
      <c r="D95" s="234" t="s">
        <v>14</v>
      </c>
      <c r="E95" s="261">
        <f>+SUMIF('Phase I Pro Forma'!$F$6:$Z$6,'Official Summary'!E$7,'Phase I Pro Forma'!$F$8:$Z$8)+SUMIF('Phase II Pro Forma'!$F$6:$Z$6,'Official Summary'!E$7,'Phase II Pro Forma'!$F$8:$Z$8)+SUMIF('Phase III Pro Forma'!$F$6:$Z$6,'Official Summary'!E$7,'Phase III Pro Forma'!$F$8:$Z$8)</f>
        <v>0</v>
      </c>
      <c r="F95" s="261">
        <f>+SUMIF('Phase I Pro Forma'!$F$6:$Z$6,'Official Summary'!F$7,'Phase I Pro Forma'!$F$8:$Z$8)+SUMIF('Phase II Pro Forma'!$F$6:$Z$6,'Official Summary'!F$7,'Phase II Pro Forma'!$F$8:$Z$8)+SUMIF('Phase III Pro Forma'!$F$6:$Z$6,'Official Summary'!F$7,'Phase III Pro Forma'!$F$8:$Z$8)</f>
        <v>0</v>
      </c>
      <c r="G95" s="261">
        <f>+SUMIF('Phase I Pro Forma'!$F$6:$Z$6,'Official Summary'!G$7,'Phase I Pro Forma'!$F$8:$Z$8)+SUMIF('Phase II Pro Forma'!$F$6:$Z$6,'Official Summary'!G$7,'Phase II Pro Forma'!$F$8:$Z$8)+SUMIF('Phase III Pro Forma'!$F$6:$Z$6,'Official Summary'!G$7,'Phase III Pro Forma'!$F$8:$Z$8)</f>
        <v>265425</v>
      </c>
      <c r="H95" s="261">
        <f>+SUMIF('Phase I Pro Forma'!$F$6:$Z$6,'Official Summary'!H$7,'Phase I Pro Forma'!$F$8:$Z$8)+SUMIF('Phase II Pro Forma'!$F$6:$Z$6,'Official Summary'!H$7,'Phase II Pro Forma'!$F$8:$Z$8)+SUMIF('Phase III Pro Forma'!$F$6:$Z$6,'Official Summary'!H$7,'Phase III Pro Forma'!$F$8:$Z$8)</f>
        <v>265425</v>
      </c>
      <c r="I95" s="261">
        <f>+SUMIF('Phase I Pro Forma'!$F$6:$Z$6,'Official Summary'!I$7,'Phase I Pro Forma'!$F$8:$Z$8)+SUMIF('Phase II Pro Forma'!$F$6:$Z$6,'Official Summary'!I$7,'Phase II Pro Forma'!$F$8:$Z$8)+SUMIF('Phase III Pro Forma'!$F$6:$Z$6,'Official Summary'!I$7,'Phase III Pro Forma'!$F$8:$Z$8)</f>
        <v>2.8999999999999998E-3</v>
      </c>
      <c r="J95" s="261">
        <f>+SUMIF('Phase I Pro Forma'!$F$6:$Z$6,'Official Summary'!J$7,'Phase I Pro Forma'!$F$8:$Z$8)+SUMIF('Phase II Pro Forma'!$F$6:$Z$6,'Official Summary'!J$7,'Phase II Pro Forma'!$F$8:$Z$8)+SUMIF('Phase III Pro Forma'!$F$6:$Z$6,'Official Summary'!J$7,'Phase III Pro Forma'!$F$8:$Z$8)</f>
        <v>2.8999999999999998E-3</v>
      </c>
      <c r="K95" s="261">
        <f>+SUMIF('Phase I Pro Forma'!$F$6:$Z$6,'Official Summary'!K$7,'Phase I Pro Forma'!$F$8:$Z$8)+SUMIF('Phase II Pro Forma'!$F$6:$Z$6,'Official Summary'!K$7,'Phase II Pro Forma'!$F$8:$Z$8)+SUMIF('Phase III Pro Forma'!$F$6:$Z$6,'Official Summary'!K$7,'Phase III Pro Forma'!$F$8:$Z$8)</f>
        <v>0</v>
      </c>
      <c r="L95" s="261">
        <f>+SUMIF('Phase I Pro Forma'!$F$6:$Z$6,'Official Summary'!L$7,'Phase I Pro Forma'!$F$8:$Z$8)+SUMIF('Phase II Pro Forma'!$F$6:$Z$6,'Official Summary'!L$7,'Phase II Pro Forma'!$F$8:$Z$8)+SUMIF('Phase III Pro Forma'!$F$6:$Z$6,'Official Summary'!L$7,'Phase III Pro Forma'!$F$8:$Z$8)</f>
        <v>2.8999999999999998E-3</v>
      </c>
      <c r="M95" s="261">
        <f>+SUMIF('Phase I Pro Forma'!$F$6:$Z$6,'Official Summary'!M$7,'Phase I Pro Forma'!$F$8:$Z$8)+SUMIF('Phase II Pro Forma'!$F$6:$Z$6,'Official Summary'!M$7,'Phase II Pro Forma'!$F$8:$Z$8)+SUMIF('Phase III Pro Forma'!$F$6:$Z$6,'Official Summary'!M$7,'Phase III Pro Forma'!$F$8:$Z$8)</f>
        <v>2.8999999999999998E-3</v>
      </c>
      <c r="N95" s="261">
        <f>+SUMIF('Phase I Pro Forma'!$F$6:$Z$6,'Official Summary'!N$7,'Phase I Pro Forma'!$F$8:$Z$8)+SUMIF('Phase II Pro Forma'!$F$6:$Z$6,'Official Summary'!N$7,'Phase II Pro Forma'!$F$8:$Z$8)+SUMIF('Phase III Pro Forma'!$F$6:$Z$6,'Official Summary'!N$7,'Phase III Pro Forma'!$F$8:$Z$8)</f>
        <v>0</v>
      </c>
    </row>
    <row r="96" spans="2:14" ht="19" hidden="1" customHeight="1">
      <c r="B96" s="292" t="s">
        <v>407</v>
      </c>
      <c r="C96" s="332"/>
      <c r="D96" s="234" t="s">
        <v>14</v>
      </c>
      <c r="E96" s="261" t="s">
        <v>467</v>
      </c>
      <c r="F96" s="261" t="s">
        <v>467</v>
      </c>
      <c r="G96" s="261" t="s">
        <v>467</v>
      </c>
      <c r="H96" s="261" t="s">
        <v>467</v>
      </c>
      <c r="I96" s="261" t="s">
        <v>467</v>
      </c>
      <c r="J96" s="261" t="s">
        <v>467</v>
      </c>
      <c r="K96" s="261" t="s">
        <v>467</v>
      </c>
      <c r="L96" s="261" t="s">
        <v>467</v>
      </c>
      <c r="M96" s="261" t="s">
        <v>467</v>
      </c>
      <c r="N96" s="261" t="s">
        <v>467</v>
      </c>
    </row>
    <row r="97" spans="2:14" ht="19" customHeight="1">
      <c r="B97" s="338" t="s">
        <v>24</v>
      </c>
      <c r="C97" s="332"/>
      <c r="D97" s="234" t="s">
        <v>14</v>
      </c>
      <c r="E97" s="261">
        <f>+SUMIF('Phase I Pro Forma'!$F$6:$Z$6,'Official Summary'!E$7,'Phase I Pro Forma'!$F$96:$Z$96)+SUMIF('Phase II Pro Forma'!$F$6:$Z$6,'Official Summary'!E$7,'Phase II Pro Forma'!$F$96:$Z$96)+SUMIF('Phase III Pro Forma'!$F$6:$Z$6,'Official Summary'!E$7,'Phase III Pro Forma'!$F$96:$Z$96)</f>
        <v>0</v>
      </c>
      <c r="F97" s="261">
        <f>+SUMIF('Phase I Pro Forma'!$F$6:$Z$6,'Official Summary'!F$7,'Phase I Pro Forma'!$F$96:$Z$96)+SUMIF('Phase II Pro Forma'!$F$6:$Z$6,'Official Summary'!F$7,'Phase II Pro Forma'!$F$96:$Z$96)+SUMIF('Phase III Pro Forma'!$F$6:$Z$6,'Official Summary'!F$7,'Phase III Pro Forma'!$F$96:$Z$96)</f>
        <v>0</v>
      </c>
      <c r="G97" s="261">
        <f>+SUMIF('Phase I Pro Forma'!$F$6:$Z$6,'Official Summary'!G$7,'Phase I Pro Forma'!$F$96:$Z$96)+SUMIF('Phase II Pro Forma'!$F$6:$Z$6,'Official Summary'!G$7,'Phase II Pro Forma'!$F$96:$Z$96)+SUMIF('Phase III Pro Forma'!$F$6:$Z$6,'Official Summary'!G$7,'Phase III Pro Forma'!$F$96:$Z$96)</f>
        <v>96767</v>
      </c>
      <c r="H97" s="261">
        <f>+SUMIF('Phase I Pro Forma'!$F$6:$Z$6,'Official Summary'!H$7,'Phase I Pro Forma'!$F$96:$Z$96)+SUMIF('Phase II Pro Forma'!$F$6:$Z$6,'Official Summary'!H$7,'Phase II Pro Forma'!$F$96:$Z$96)+SUMIF('Phase III Pro Forma'!$F$6:$Z$6,'Official Summary'!H$7,'Phase III Pro Forma'!$F$96:$Z$96)</f>
        <v>96767</v>
      </c>
      <c r="I97" s="261">
        <f>+SUMIF('Phase I Pro Forma'!$F$6:$Z$6,'Official Summary'!I$7,'Phase I Pro Forma'!$F$96:$Z$96)+SUMIF('Phase II Pro Forma'!$F$6:$Z$6,'Official Summary'!I$7,'Phase II Pro Forma'!$F$96:$Z$96)+SUMIF('Phase III Pro Forma'!$F$6:$Z$6,'Official Summary'!I$7,'Phase III Pro Forma'!$F$96:$Z$96)</f>
        <v>4.9999999999999998E-7</v>
      </c>
      <c r="J97" s="261">
        <f>+SUMIF('Phase I Pro Forma'!$F$6:$Z$6,'Official Summary'!J$7,'Phase I Pro Forma'!$F$96:$Z$96)+SUMIF('Phase II Pro Forma'!$F$6:$Z$6,'Official Summary'!J$7,'Phase II Pro Forma'!$F$96:$Z$96)+SUMIF('Phase III Pro Forma'!$F$6:$Z$6,'Official Summary'!J$7,'Phase III Pro Forma'!$F$96:$Z$96)</f>
        <v>4.9999999999999998E-7</v>
      </c>
      <c r="K97" s="261">
        <f>+SUMIF('Phase I Pro Forma'!$F$6:$Z$6,'Official Summary'!K$7,'Phase I Pro Forma'!$F$96:$Z$96)+SUMIF('Phase II Pro Forma'!$F$6:$Z$6,'Official Summary'!K$7,'Phase II Pro Forma'!$F$96:$Z$96)+SUMIF('Phase III Pro Forma'!$F$6:$Z$6,'Official Summary'!K$7,'Phase III Pro Forma'!$F$96:$Z$96)</f>
        <v>0</v>
      </c>
      <c r="L97" s="261">
        <f>+SUMIF('Phase I Pro Forma'!$F$6:$Z$6,'Official Summary'!L$7,'Phase I Pro Forma'!$F$96:$Z$96)+SUMIF('Phase II Pro Forma'!$F$6:$Z$6,'Official Summary'!L$7,'Phase II Pro Forma'!$F$96:$Z$96)+SUMIF('Phase III Pro Forma'!$F$6:$Z$6,'Official Summary'!L$7,'Phase III Pro Forma'!$F$96:$Z$96)</f>
        <v>356026.0000005</v>
      </c>
      <c r="M97" s="261">
        <f>+SUMIF('Phase I Pro Forma'!$F$6:$Z$6,'Official Summary'!M$7,'Phase I Pro Forma'!$F$96:$Z$96)+SUMIF('Phase II Pro Forma'!$F$6:$Z$6,'Official Summary'!M$7,'Phase II Pro Forma'!$F$96:$Z$96)+SUMIF('Phase III Pro Forma'!$F$6:$Z$6,'Official Summary'!M$7,'Phase III Pro Forma'!$F$96:$Z$96)</f>
        <v>356026.0000005</v>
      </c>
      <c r="N97" s="261">
        <f>+SUMIF('Phase I Pro Forma'!$F$6:$Z$6,'Official Summary'!N$7,'Phase I Pro Forma'!$F$96:$Z$96)+SUMIF('Phase II Pro Forma'!$F$6:$Z$6,'Official Summary'!N$7,'Phase II Pro Forma'!$F$96:$Z$96)+SUMIF('Phase III Pro Forma'!$F$6:$Z$6,'Official Summary'!N$7,'Phase III Pro Forma'!$F$96:$Z$96)</f>
        <v>0</v>
      </c>
    </row>
    <row r="98" spans="2:14" ht="19" customHeight="1">
      <c r="B98" s="338" t="s">
        <v>25</v>
      </c>
      <c r="C98" s="336"/>
      <c r="D98" s="234" t="s">
        <v>14</v>
      </c>
      <c r="E98" s="261">
        <f>+SUMIF('Phase I Pro Forma'!$F$6:$Z$6,'Official Summary'!E$7,'Phase I Pro Forma'!$F$54:$Z$54)+SUMIF('Phase II Pro Forma'!$F$6:$Z$6,'Official Summary'!E$7,'Phase II Pro Forma'!$F$54:$Z$54)+SUMIF('Phase III Pro Forma'!$F$6:$Z$6,'Official Summary'!E$7,'Phase III Pro Forma'!$F$54:$Z$54)</f>
        <v>0</v>
      </c>
      <c r="F98" s="261">
        <f>+SUMIF('Phase I Pro Forma'!$F$6:$Z$6,'Official Summary'!F$7,'Phase I Pro Forma'!$F$54:$Z$54)+SUMIF('Phase II Pro Forma'!$F$6:$Z$6,'Official Summary'!F$7,'Phase II Pro Forma'!$F$54:$Z$54)+SUMIF('Phase III Pro Forma'!$F$6:$Z$6,'Official Summary'!F$7,'Phase III Pro Forma'!$F$54:$Z$54)</f>
        <v>0</v>
      </c>
      <c r="G98" s="261">
        <f>+SUMIF('Phase I Pro Forma'!$F$6:$Z$6,'Official Summary'!G$7,'Phase I Pro Forma'!$F$54:$Z$54)+SUMIF('Phase II Pro Forma'!$F$6:$Z$6,'Official Summary'!G$7,'Phase II Pro Forma'!$F$54:$Z$54)+SUMIF('Phase III Pro Forma'!$F$6:$Z$6,'Official Summary'!G$7,'Phase III Pro Forma'!$F$54:$Z$54)</f>
        <v>197386</v>
      </c>
      <c r="H98" s="261">
        <f>+SUMIF('Phase I Pro Forma'!$F$6:$Z$6,'Official Summary'!H$7,'Phase I Pro Forma'!$F$54:$Z$54)+SUMIF('Phase II Pro Forma'!$F$6:$Z$6,'Official Summary'!H$7,'Phase II Pro Forma'!$F$54:$Z$54)+SUMIF('Phase III Pro Forma'!$F$6:$Z$6,'Official Summary'!H$7,'Phase III Pro Forma'!$F$54:$Z$54)</f>
        <v>197386</v>
      </c>
      <c r="I98" s="261">
        <f>+SUMIF('Phase I Pro Forma'!$F$6:$Z$6,'Official Summary'!I$7,'Phase I Pro Forma'!$F$54:$Z$54)+SUMIF('Phase II Pro Forma'!$F$6:$Z$6,'Official Summary'!I$7,'Phase II Pro Forma'!$F$54:$Z$54)+SUMIF('Phase III Pro Forma'!$F$6:$Z$6,'Official Summary'!I$7,'Phase III Pro Forma'!$F$54:$Z$54)</f>
        <v>4.9999999999999998E-7</v>
      </c>
      <c r="J98" s="261">
        <f>+SUMIF('Phase I Pro Forma'!$F$6:$Z$6,'Official Summary'!J$7,'Phase I Pro Forma'!$F$54:$Z$54)+SUMIF('Phase II Pro Forma'!$F$6:$Z$6,'Official Summary'!J$7,'Phase II Pro Forma'!$F$54:$Z$54)+SUMIF('Phase III Pro Forma'!$F$6:$Z$6,'Official Summary'!J$7,'Phase III Pro Forma'!$F$54:$Z$54)</f>
        <v>4.9999999999999998E-7</v>
      </c>
      <c r="K98" s="261">
        <f>+SUMIF('Phase I Pro Forma'!$F$6:$Z$6,'Official Summary'!K$7,'Phase I Pro Forma'!$F$54:$Z$54)+SUMIF('Phase II Pro Forma'!$F$6:$Z$6,'Official Summary'!K$7,'Phase II Pro Forma'!$F$54:$Z$54)+SUMIF('Phase III Pro Forma'!$F$6:$Z$6,'Official Summary'!K$7,'Phase III Pro Forma'!$F$54:$Z$54)</f>
        <v>0</v>
      </c>
      <c r="L98" s="261">
        <f>+SUMIF('Phase I Pro Forma'!$F$6:$Z$6,'Official Summary'!L$7,'Phase I Pro Forma'!$F$54:$Z$54)+SUMIF('Phase II Pro Forma'!$F$6:$Z$6,'Official Summary'!L$7,'Phase II Pro Forma'!$F$54:$Z$54)+SUMIF('Phase III Pro Forma'!$F$6:$Z$6,'Official Summary'!L$7,'Phase III Pro Forma'!$F$54:$Z$54)</f>
        <v>4.9999999999999998E-7</v>
      </c>
      <c r="M98" s="261">
        <f>+SUMIF('Phase I Pro Forma'!$F$6:$Z$6,'Official Summary'!M$7,'Phase I Pro Forma'!$F$54:$Z$54)+SUMIF('Phase II Pro Forma'!$F$6:$Z$6,'Official Summary'!M$7,'Phase II Pro Forma'!$F$54:$Z$54)+SUMIF('Phase III Pro Forma'!$F$6:$Z$6,'Official Summary'!M$7,'Phase III Pro Forma'!$F$54:$Z$54)</f>
        <v>4.9999999999999998E-7</v>
      </c>
      <c r="N98" s="261">
        <f>+SUMIF('Phase I Pro Forma'!$F$6:$Z$6,'Official Summary'!N$7,'Phase I Pro Forma'!$F$54:$Z$54)+SUMIF('Phase II Pro Forma'!$F$6:$Z$6,'Official Summary'!N$7,'Phase II Pro Forma'!$F$54:$Z$54)+SUMIF('Phase III Pro Forma'!$F$6:$Z$6,'Official Summary'!N$7,'Phase III Pro Forma'!$F$54:$Z$54)</f>
        <v>0</v>
      </c>
    </row>
    <row r="99" spans="2:14" ht="19" customHeight="1">
      <c r="B99" s="338" t="s">
        <v>827</v>
      </c>
      <c r="C99" s="332"/>
      <c r="D99" s="234" t="s">
        <v>14</v>
      </c>
      <c r="E99" s="261">
        <f>+SUMIF('Phase I Pro Forma'!$F$6:$Z$6,'Official Summary'!E$7,'Phase I Pro Forma'!$F$75:$Z$75)+SUMIF('Phase II Pro Forma'!$F$6:$Z$6,'Official Summary'!E$7,'Phase II Pro Forma'!$F$75:$Z$75)+SUMIF('Phase III Pro Forma'!$F$6:$Z$6,'Official Summary'!E$7,'Phase III Pro Forma'!$F$75:$Z$75)</f>
        <v>0</v>
      </c>
      <c r="F99" s="261">
        <f>+SUMIF('Phase I Pro Forma'!$F$6:$Z$6,'Official Summary'!F$7,'Phase I Pro Forma'!$F$75:$Z$75)+SUMIF('Phase II Pro Forma'!$F$6:$Z$6,'Official Summary'!F$7,'Phase II Pro Forma'!$F$75:$Z$75)+SUMIF('Phase III Pro Forma'!$F$6:$Z$6,'Official Summary'!F$7,'Phase III Pro Forma'!$F$75:$Z$75)</f>
        <v>0</v>
      </c>
      <c r="G99" s="261">
        <f>+SUMIF('Phase I Pro Forma'!$F$6:$Z$6,'Official Summary'!G$7,'Phase I Pro Forma'!$F$75:$Z$75)+SUMIF('Phase II Pro Forma'!$F$6:$Z$6,'Official Summary'!G$7,'Phase II Pro Forma'!$F$75:$Z$75)+SUMIF('Phase III Pro Forma'!$F$6:$Z$6,'Official Summary'!G$7,'Phase III Pro Forma'!$F$75:$Z$75)</f>
        <v>5.0000000000000004E-6</v>
      </c>
      <c r="H99" s="261">
        <f>+SUMIF('Phase I Pro Forma'!$F$6:$Z$6,'Official Summary'!H$7,'Phase I Pro Forma'!$F$75:$Z$75)+SUMIF('Phase II Pro Forma'!$F$6:$Z$6,'Official Summary'!H$7,'Phase II Pro Forma'!$F$75:$Z$75)+SUMIF('Phase III Pro Forma'!$F$6:$Z$6,'Official Summary'!H$7,'Phase III Pro Forma'!$F$75:$Z$75)</f>
        <v>5.0000000000000004E-6</v>
      </c>
      <c r="I99" s="261">
        <f>+SUMIF('Phase I Pro Forma'!$F$6:$Z$6,'Official Summary'!I$7,'Phase I Pro Forma'!$F$75:$Z$75)+SUMIF('Phase II Pro Forma'!$F$6:$Z$6,'Official Summary'!I$7,'Phase II Pro Forma'!$F$75:$Z$75)+SUMIF('Phase III Pro Forma'!$F$6:$Z$6,'Official Summary'!I$7,'Phase III Pro Forma'!$F$75:$Z$75)</f>
        <v>159727.5</v>
      </c>
      <c r="J99" s="261">
        <f>+SUMIF('Phase I Pro Forma'!$F$6:$Z$6,'Official Summary'!J$7,'Phase I Pro Forma'!$F$75:$Z$75)+SUMIF('Phase II Pro Forma'!$F$6:$Z$6,'Official Summary'!J$7,'Phase II Pro Forma'!$F$75:$Z$75)+SUMIF('Phase III Pro Forma'!$F$6:$Z$6,'Official Summary'!J$7,'Phase III Pro Forma'!$F$75:$Z$75)</f>
        <v>159727.5</v>
      </c>
      <c r="K99" s="261">
        <f>+SUMIF('Phase I Pro Forma'!$F$6:$Z$6,'Official Summary'!K$7,'Phase I Pro Forma'!$F$75:$Z$75)+SUMIF('Phase II Pro Forma'!$F$6:$Z$6,'Official Summary'!K$7,'Phase II Pro Forma'!$F$75:$Z$75)+SUMIF('Phase III Pro Forma'!$F$6:$Z$6,'Official Summary'!K$7,'Phase III Pro Forma'!$F$75:$Z$75)</f>
        <v>0</v>
      </c>
      <c r="L99" s="261">
        <f>+SUMIF('Phase I Pro Forma'!$F$6:$Z$6,'Official Summary'!L$7,'Phase I Pro Forma'!$F$75:$Z$75)+SUMIF('Phase II Pro Forma'!$F$6:$Z$6,'Official Summary'!L$7,'Phase II Pro Forma'!$F$75:$Z$75)+SUMIF('Phase III Pro Forma'!$F$6:$Z$6,'Official Summary'!L$7,'Phase III Pro Forma'!$F$75:$Z$75)</f>
        <v>5.0000000000000004E-6</v>
      </c>
      <c r="M99" s="261">
        <f>+SUMIF('Phase I Pro Forma'!$F$6:$Z$6,'Official Summary'!M$7,'Phase I Pro Forma'!$F$75:$Z$75)+SUMIF('Phase II Pro Forma'!$F$6:$Z$6,'Official Summary'!M$7,'Phase II Pro Forma'!$F$75:$Z$75)+SUMIF('Phase III Pro Forma'!$F$6:$Z$6,'Official Summary'!M$7,'Phase III Pro Forma'!$F$75:$Z$75)</f>
        <v>5.0000000000000004E-6</v>
      </c>
      <c r="N99" s="261">
        <f>+SUMIF('Phase I Pro Forma'!$F$6:$Z$6,'Official Summary'!N$7,'Phase I Pro Forma'!$F$75:$Z$75)+SUMIF('Phase II Pro Forma'!$F$6:$Z$6,'Official Summary'!N$7,'Phase II Pro Forma'!$F$75:$Z$75)+SUMIF('Phase III Pro Forma'!$F$6:$Z$6,'Official Summary'!N$7,'Phase III Pro Forma'!$F$75:$Z$75)</f>
        <v>0</v>
      </c>
    </row>
    <row r="100" spans="2:14" ht="19" customHeight="1">
      <c r="B100" s="338" t="s">
        <v>26</v>
      </c>
      <c r="C100" s="332"/>
      <c r="D100" s="234" t="s">
        <v>14</v>
      </c>
      <c r="E100" s="261">
        <f>+E86*Assumptions!$E$94</f>
        <v>0</v>
      </c>
      <c r="F100" s="261">
        <f>+F86*Assumptions!$E$94</f>
        <v>0</v>
      </c>
      <c r="G100" s="261">
        <f>+G86*Assumptions!$E$94</f>
        <v>2.2500000000000003E-3</v>
      </c>
      <c r="H100" s="261">
        <f>+H86*Assumptions!$E$94</f>
        <v>2.2500000000000003E-3</v>
      </c>
      <c r="I100" s="261">
        <f>+I86*Assumptions!$E$94</f>
        <v>2.2499999999999999E-4</v>
      </c>
      <c r="J100" s="261">
        <f>+J86*Assumptions!$E$94</f>
        <v>2.2499999999999999E-4</v>
      </c>
      <c r="K100" s="261">
        <f>+K86*Assumptions!$E$94</f>
        <v>0</v>
      </c>
      <c r="L100" s="261">
        <f>+L86*Assumptions!$E$94</f>
        <v>2.2499999999999999E-4</v>
      </c>
      <c r="M100" s="261">
        <f>+M86*Assumptions!$E$94</f>
        <v>2.2499999999999999E-4</v>
      </c>
      <c r="N100" s="261">
        <f>+N86*Assumptions!$E$94</f>
        <v>0</v>
      </c>
    </row>
    <row r="101" spans="2:14" ht="19" customHeight="1">
      <c r="B101" s="338" t="s">
        <v>27</v>
      </c>
      <c r="C101" s="332"/>
      <c r="D101" s="234" t="s">
        <v>14</v>
      </c>
      <c r="E101" s="261">
        <f>+E87*Assumptions!$F$178</f>
        <v>0</v>
      </c>
      <c r="F101" s="261">
        <f>+F87*Assumptions!$F$178</f>
        <v>0</v>
      </c>
      <c r="G101" s="261">
        <f>+G87*Assumptions!$F$178</f>
        <v>122126</v>
      </c>
      <c r="H101" s="261">
        <f>+H87*Assumptions!$F$178</f>
        <v>122126</v>
      </c>
      <c r="I101" s="261">
        <f>+I87*Assumptions!$F$178</f>
        <v>1.4999999999999999E-4</v>
      </c>
      <c r="J101" s="261">
        <f>+J87*Assumptions!$F$178</f>
        <v>1.4999999999999999E-4</v>
      </c>
      <c r="K101" s="261">
        <f>+K87*Assumptions!$F$178</f>
        <v>0</v>
      </c>
      <c r="L101" s="261">
        <f>+L87*Assumptions!$F$178</f>
        <v>211664</v>
      </c>
      <c r="M101" s="261">
        <f>+M87*Assumptions!$F$178</f>
        <v>211664</v>
      </c>
      <c r="N101" s="261">
        <f>+N87*Assumptions!$F$178</f>
        <v>0</v>
      </c>
    </row>
    <row r="102" spans="2:14" ht="19" customHeight="1">
      <c r="B102" s="338" t="s">
        <v>28</v>
      </c>
      <c r="C102" s="336"/>
      <c r="D102" s="234" t="s">
        <v>14</v>
      </c>
      <c r="E102" s="261">
        <f>+E88*Assumptions!$F$178</f>
        <v>0</v>
      </c>
      <c r="F102" s="261">
        <f>+F88*Assumptions!$F$178</f>
        <v>0</v>
      </c>
      <c r="G102" s="261">
        <f>+G88*Assumptions!$F$178</f>
        <v>0</v>
      </c>
      <c r="H102" s="261">
        <f>+H88*Assumptions!$F$178</f>
        <v>0</v>
      </c>
      <c r="I102" s="261">
        <f>+I88*Assumptions!$F$178</f>
        <v>0</v>
      </c>
      <c r="J102" s="261">
        <f>+J88*Assumptions!$F$178</f>
        <v>0</v>
      </c>
      <c r="K102" s="261">
        <f>+K88*Assumptions!$F$178</f>
        <v>0</v>
      </c>
      <c r="L102" s="261">
        <f>+L88*Assumptions!$F$178</f>
        <v>0</v>
      </c>
      <c r="M102" s="261">
        <f>+M88*Assumptions!$F$178</f>
        <v>0</v>
      </c>
      <c r="N102" s="261">
        <f>+N88*Assumptions!$F$178</f>
        <v>0</v>
      </c>
    </row>
    <row r="103" spans="2:14" ht="19" customHeight="1">
      <c r="B103" s="338" t="s">
        <v>48</v>
      </c>
      <c r="C103" s="336"/>
      <c r="D103" s="234" t="s">
        <v>14</v>
      </c>
      <c r="E103" s="261" t="s">
        <v>467</v>
      </c>
      <c r="F103" s="261" t="s">
        <v>467</v>
      </c>
      <c r="G103" s="261" t="s">
        <v>467</v>
      </c>
      <c r="H103" s="261" t="s">
        <v>467</v>
      </c>
      <c r="I103" s="261" t="s">
        <v>467</v>
      </c>
      <c r="J103" s="261" t="s">
        <v>467</v>
      </c>
      <c r="K103" s="261" t="s">
        <v>467</v>
      </c>
      <c r="L103" s="261" t="s">
        <v>467</v>
      </c>
      <c r="M103" s="261" t="s">
        <v>467</v>
      </c>
      <c r="N103" s="261" t="s">
        <v>467</v>
      </c>
    </row>
    <row r="104" spans="2:14" ht="19" customHeight="1">
      <c r="B104" s="379" t="s">
        <v>710</v>
      </c>
      <c r="C104" s="332"/>
      <c r="D104" s="234" t="s">
        <v>14</v>
      </c>
      <c r="E104" s="261">
        <f>+SUMIF('Phase I Pro Forma'!$F$6:$Z$6,'Official Summary'!E$7,'Phase I Pro Forma'!$F$235:$Z$235)+SUMIF('Phase II Pro Forma'!$F$6:$Z$6,'Official Summary'!E$7,'Phase II Pro Forma'!$F$237:$Z$237)+SUMIF('Phase III Pro Forma'!$F$6:$Z$6,'Official Summary'!E$7,'Phase III Pro Forma'!$F$235:$Z$235)</f>
        <v>0</v>
      </c>
      <c r="F104" s="261">
        <f>+SUMIF('Phase I Pro Forma'!$F$6:$Z$6,'Official Summary'!F$7,'Phase I Pro Forma'!$F$235:$Z$235)+SUMIF('Phase II Pro Forma'!$F$6:$Z$6,'Official Summary'!F$7,'Phase II Pro Forma'!$F$237:$Z$237)+SUMIF('Phase III Pro Forma'!$F$6:$Z$6,'Official Summary'!F$7,'Phase III Pro Forma'!$F$235:$Z$235)</f>
        <v>0</v>
      </c>
      <c r="G104" s="261">
        <f>+SUMIF('Phase I Pro Forma'!$F$6:$Z$6,'Official Summary'!G$7,'Phase I Pro Forma'!$F$235:$Z$235)+SUMIF('Phase II Pro Forma'!$F$6:$Z$6,'Official Summary'!G$7,'Phase II Pro Forma'!$F$237:$Z$237)+SUMIF('Phase III Pro Forma'!$F$6:$Z$6,'Official Summary'!G$7,'Phase III Pro Forma'!$F$235:$Z$235)</f>
        <v>4.9999999999999998E-7</v>
      </c>
      <c r="H104" s="261">
        <f>+SUMIF('Phase I Pro Forma'!$F$6:$Z$6,'Official Summary'!H$7,'Phase I Pro Forma'!$F$235:$Z$235)+SUMIF('Phase II Pro Forma'!$F$6:$Z$6,'Official Summary'!H$7,'Phase II Pro Forma'!$F$237:$Z$237)+SUMIF('Phase III Pro Forma'!$F$6:$Z$6,'Official Summary'!H$7,'Phase III Pro Forma'!$F$235:$Z$235)</f>
        <v>4.9999999999999998E-7</v>
      </c>
      <c r="I104" s="261">
        <f>+SUMIF('Phase I Pro Forma'!$F$6:$Z$6,'Official Summary'!I$7,'Phase I Pro Forma'!$F$235:$Z$235)+SUMIF('Phase II Pro Forma'!$F$6:$Z$6,'Official Summary'!I$7,'Phase II Pro Forma'!$F$237:$Z$237)+SUMIF('Phase III Pro Forma'!$F$6:$Z$6,'Official Summary'!I$7,'Phase III Pro Forma'!$F$235:$Z$235)</f>
        <v>70262</v>
      </c>
      <c r="J104" s="261">
        <f>+SUMIF('Phase I Pro Forma'!$F$6:$Z$6,'Official Summary'!J$7,'Phase I Pro Forma'!$F$235:$Z$235)+SUMIF('Phase II Pro Forma'!$F$6:$Z$6,'Official Summary'!J$7,'Phase II Pro Forma'!$F$237:$Z$237)+SUMIF('Phase III Pro Forma'!$F$6:$Z$6,'Official Summary'!J$7,'Phase III Pro Forma'!$F$235:$Z$235)</f>
        <v>70262</v>
      </c>
      <c r="K104" s="261">
        <f>+SUMIF('Phase I Pro Forma'!$F$6:$Z$6,'Official Summary'!K$7,'Phase I Pro Forma'!$F$235:$Z$235)+SUMIF('Phase II Pro Forma'!$F$6:$Z$6,'Official Summary'!K$7,'Phase II Pro Forma'!$F$237:$Z$237)+SUMIF('Phase III Pro Forma'!$F$6:$Z$6,'Official Summary'!K$7,'Phase III Pro Forma'!$F$235:$Z$235)</f>
        <v>0</v>
      </c>
      <c r="L104" s="261">
        <f>+SUMIF('Phase I Pro Forma'!$F$6:$Z$6,'Official Summary'!L$7,'Phase I Pro Forma'!$F$235:$Z$235)+SUMIF('Phase II Pro Forma'!$F$6:$Z$6,'Official Summary'!L$7,'Phase II Pro Forma'!$F$237:$Z$237)+SUMIF('Phase III Pro Forma'!$F$6:$Z$6,'Official Summary'!L$7,'Phase III Pro Forma'!$F$235:$Z$235)</f>
        <v>5.0000000000000002E-5</v>
      </c>
      <c r="M104" s="261">
        <f>+SUMIF('Phase I Pro Forma'!$F$6:$Z$6,'Official Summary'!M$7,'Phase I Pro Forma'!$F$235:$Z$235)+SUMIF('Phase II Pro Forma'!$F$6:$Z$6,'Official Summary'!M$7,'Phase II Pro Forma'!$F$237:$Z$237)+SUMIF('Phase III Pro Forma'!$F$6:$Z$6,'Official Summary'!M$7,'Phase III Pro Forma'!$F$235:$Z$235)</f>
        <v>5.0000000000000002E-5</v>
      </c>
      <c r="N104" s="261">
        <f>+SUMIF('Phase I Pro Forma'!$F$6:$Z$6,'Official Summary'!N$7,'Phase I Pro Forma'!$F$235:$Z$235)+SUMIF('Phase II Pro Forma'!$F$6:$Z$6,'Official Summary'!N$7,'Phase II Pro Forma'!$F$237:$Z$237)+SUMIF('Phase III Pro Forma'!$F$6:$Z$6,'Official Summary'!N$7,'Phase III Pro Forma'!$F$235:$Z$235)</f>
        <v>0</v>
      </c>
    </row>
    <row r="105" spans="2:14" ht="19" customHeight="1">
      <c r="B105" s="295" t="s">
        <v>17</v>
      </c>
      <c r="C105" s="268"/>
      <c r="D105" s="296" t="s">
        <v>14</v>
      </c>
      <c r="E105" s="296">
        <f>+SUM(E92:E104)</f>
        <v>0</v>
      </c>
      <c r="F105" s="296">
        <f t="shared" ref="F105:N105" si="15">+SUM(F92:F104)</f>
        <v>0</v>
      </c>
      <c r="G105" s="296">
        <f t="shared" si="15"/>
        <v>803604.00315550005</v>
      </c>
      <c r="H105" s="296">
        <f t="shared" si="15"/>
        <v>803604.00315550005</v>
      </c>
      <c r="I105" s="296">
        <f t="shared" si="15"/>
        <v>229989.50700099999</v>
      </c>
      <c r="J105" s="296">
        <f t="shared" si="15"/>
        <v>229989.50700099999</v>
      </c>
      <c r="K105" s="296">
        <f t="shared" si="15"/>
        <v>0</v>
      </c>
      <c r="L105" s="296">
        <f t="shared" si="15"/>
        <v>766790.00318100001</v>
      </c>
      <c r="M105" s="296">
        <f t="shared" si="15"/>
        <v>766790.00318100001</v>
      </c>
      <c r="N105" s="296">
        <f t="shared" si="15"/>
        <v>0</v>
      </c>
    </row>
    <row r="106" spans="2:14" ht="19" customHeight="1">
      <c r="B106" s="945" t="s">
        <v>469</v>
      </c>
      <c r="C106" s="945"/>
      <c r="D106" s="945"/>
      <c r="E106" s="945"/>
      <c r="F106" s="945"/>
      <c r="G106" s="945"/>
      <c r="H106" s="945"/>
      <c r="I106" s="945"/>
      <c r="J106" s="945"/>
      <c r="K106" s="945"/>
      <c r="L106" s="945"/>
      <c r="M106" s="945"/>
      <c r="N106" s="945"/>
    </row>
    <row r="107" spans="2:14" ht="19" customHeight="1"/>
    <row r="108" spans="2:14" s="573" customFormat="1" ht="19" customHeight="1">
      <c r="B108" s="37" t="s">
        <v>32</v>
      </c>
      <c r="C108" s="38"/>
      <c r="D108" s="38"/>
      <c r="E108" s="37"/>
      <c r="F108" s="46"/>
      <c r="G108" s="37"/>
      <c r="H108" s="254"/>
      <c r="I108" s="37" t="s">
        <v>33</v>
      </c>
      <c r="J108" s="38"/>
      <c r="K108" s="38"/>
      <c r="L108" s="37"/>
      <c r="M108" s="46"/>
      <c r="N108" s="37"/>
    </row>
    <row r="109" spans="2:14" s="734" customFormat="1" ht="19" customHeight="1">
      <c r="B109" s="382" t="s">
        <v>2</v>
      </c>
      <c r="C109" s="944" t="s">
        <v>470</v>
      </c>
      <c r="D109" s="944"/>
      <c r="E109" s="944" t="s">
        <v>472</v>
      </c>
      <c r="F109" s="944"/>
      <c r="G109" s="335" t="s">
        <v>473</v>
      </c>
      <c r="H109" s="255"/>
      <c r="I109" s="942"/>
      <c r="J109" s="943"/>
      <c r="K109" s="943"/>
      <c r="L109" s="944" t="s">
        <v>34</v>
      </c>
      <c r="M109" s="944"/>
      <c r="N109" s="256"/>
    </row>
    <row r="110" spans="2:14" ht="19" customHeight="1" thickBot="1">
      <c r="B110" s="292" t="s">
        <v>409</v>
      </c>
      <c r="C110" s="913" t="str">
        <f ca="1">+CONCATENATE(TEXT(Budget!$N$88,"$0,000")," pu"," / ",TEXT(Budget!$N$86,"$0.0")," pgsf")</f>
        <v>$189,917 pu / $198.7 pgsf</v>
      </c>
      <c r="D110" s="913"/>
      <c r="E110" s="913" t="str">
        <f ca="1">+CONCATENATE(TEXT(Budget!$N$87,"$0,000")," pu"," / ",TEXT(Budget!$N$85,"$0.0")," pgsf")</f>
        <v>$254,747 pu / $266.5 pgsf</v>
      </c>
      <c r="F110" s="913"/>
      <c r="G110" s="384">
        <f ca="1">+Budget!N82</f>
        <v>205326467.77184102</v>
      </c>
      <c r="I110" s="397" t="s">
        <v>35</v>
      </c>
      <c r="J110" s="398"/>
      <c r="K110" s="905" t="s">
        <v>480</v>
      </c>
      <c r="L110" s="905"/>
      <c r="M110" s="905" t="s">
        <v>481</v>
      </c>
      <c r="N110" s="905"/>
    </row>
    <row r="111" spans="2:14" ht="19" customHeight="1">
      <c r="B111" s="887" t="s">
        <v>408</v>
      </c>
      <c r="C111" s="914" t="s">
        <v>467</v>
      </c>
      <c r="D111" s="914"/>
      <c r="E111" s="914" t="s">
        <v>467</v>
      </c>
      <c r="F111" s="914"/>
      <c r="G111" s="889" t="s">
        <v>467</v>
      </c>
      <c r="I111" s="254" t="s">
        <v>573</v>
      </c>
      <c r="J111" s="332"/>
      <c r="K111" s="903">
        <f ca="1">+'S&amp;U'!$G$23</f>
        <v>229615439.86077014</v>
      </c>
      <c r="L111" s="904"/>
      <c r="M111" s="903">
        <f ca="1">+'S&amp;U'!Q25</f>
        <v>49723435.199059606</v>
      </c>
      <c r="N111" s="904"/>
    </row>
    <row r="112" spans="2:14" ht="19" hidden="1" customHeight="1">
      <c r="B112" s="292" t="s">
        <v>405</v>
      </c>
      <c r="C112" s="915" t="s">
        <v>467</v>
      </c>
      <c r="D112" s="915"/>
      <c r="E112" s="915" t="s">
        <v>467</v>
      </c>
      <c r="F112" s="915"/>
      <c r="G112" s="386" t="s">
        <v>467</v>
      </c>
      <c r="I112" s="337"/>
      <c r="J112" s="332"/>
      <c r="K112" s="332"/>
      <c r="L112" s="396"/>
      <c r="M112" s="336"/>
      <c r="N112" s="336"/>
    </row>
    <row r="113" spans="2:14" ht="19" customHeight="1">
      <c r="B113" s="292" t="s">
        <v>406</v>
      </c>
      <c r="C113" s="912" t="str">
        <f ca="1">+CONCATENATE(TEXT(Budget!$M$88,"$0,000")," pu"," / ",TEXT(Budget!$M$86,"$0.0")," pgsf")</f>
        <v>$150,642 pu / $178.5 pgsf</v>
      </c>
      <c r="D113" s="912"/>
      <c r="E113" s="912" t="str">
        <f ca="1">+CONCATENATE(TEXT(Budget!$M$87,"$0,000")," pu"," / ",TEXT(Budget!$M$85,"$0.0")," pgsf")</f>
        <v>$196,235 pu / $232.6 pgsf</v>
      </c>
      <c r="F113" s="912"/>
      <c r="G113" s="385">
        <f ca="1">+Budget!M82</f>
        <v>148157529.52253115</v>
      </c>
      <c r="I113" s="254"/>
      <c r="J113" s="332"/>
      <c r="K113" s="332"/>
      <c r="L113" s="332"/>
      <c r="M113" s="332"/>
      <c r="N113" s="336"/>
    </row>
    <row r="114" spans="2:14" ht="19" hidden="1" customHeight="1">
      <c r="B114" s="292" t="s">
        <v>407</v>
      </c>
      <c r="C114" s="915" t="s">
        <v>467</v>
      </c>
      <c r="D114" s="915"/>
      <c r="E114" s="915" t="s">
        <v>467</v>
      </c>
      <c r="F114" s="915"/>
      <c r="G114" s="386" t="s">
        <v>467</v>
      </c>
      <c r="I114" s="254"/>
      <c r="J114" s="332"/>
      <c r="K114" s="332"/>
      <c r="L114" s="332"/>
      <c r="M114" s="332"/>
      <c r="N114" s="336"/>
    </row>
    <row r="115" spans="2:14" ht="19" customHeight="1">
      <c r="B115" s="292" t="s">
        <v>24</v>
      </c>
      <c r="C115" s="906">
        <f ca="1">+Budget!$R$86</f>
        <v>184.5052357799922</v>
      </c>
      <c r="D115" s="906"/>
      <c r="E115" s="906">
        <f ca="1">+Budget!$R$85</f>
        <v>264.28567209199963</v>
      </c>
      <c r="F115" s="906"/>
      <c r="G115" s="385">
        <f ca="1">+Budget!R82</f>
        <v>287200085.57716095</v>
      </c>
      <c r="I115" s="395"/>
      <c r="J115" s="333"/>
      <c r="K115" s="333"/>
      <c r="L115" s="333"/>
      <c r="M115" s="333"/>
      <c r="N115" s="334"/>
    </row>
    <row r="116" spans="2:14" ht="19" customHeight="1" thickBot="1">
      <c r="B116" s="292" t="s">
        <v>828</v>
      </c>
      <c r="C116" s="906">
        <f ca="1">+SUM(Budget!$O$45,Budget!$Q$45)/SUM(Budget!$O$11:$O$19,Budget!$Q$11:$Q$19)</f>
        <v>176.43594286464551</v>
      </c>
      <c r="D116" s="906"/>
      <c r="E116" s="906">
        <f ca="1">+SUM(Budget!$O$82,Budget!$Q$82)/SUM(Budget!$O$11:$O$19,Budget!$Q$11:$Q$19)</f>
        <v>316.76381186272931</v>
      </c>
      <c r="F116" s="906"/>
      <c r="G116" s="385">
        <f ca="1">+SUM(Budget!Q82,Budget!O82)</f>
        <v>271489520.47470039</v>
      </c>
      <c r="I116" s="397" t="s">
        <v>36</v>
      </c>
      <c r="J116" s="398"/>
      <c r="K116" s="905" t="s">
        <v>480</v>
      </c>
      <c r="L116" s="905"/>
      <c r="M116" s="905" t="s">
        <v>481</v>
      </c>
      <c r="N116" s="905"/>
    </row>
    <row r="117" spans="2:14" ht="19" customHeight="1">
      <c r="B117" s="887" t="s">
        <v>26</v>
      </c>
      <c r="C117" s="916">
        <f ca="1">+Budget!$P$86</f>
        <v>196.28076231566439</v>
      </c>
      <c r="D117" s="916"/>
      <c r="E117" s="907" t="str">
        <f ca="1">+CONCATENATE(TEXT(Budget!$P$87,"$0,000")," pu"," / ",TEXT(Budget!$P$85,"$0.0")," pgsf")</f>
        <v>$166,074 pu / $307.5 pgsf</v>
      </c>
      <c r="F117" s="907"/>
      <c r="G117" s="888">
        <f ca="1">+Budget!P82</f>
        <v>1.992883407324024</v>
      </c>
      <c r="I117" s="254" t="s">
        <v>1241</v>
      </c>
      <c r="J117" s="332"/>
      <c r="K117" s="903">
        <f ca="1">+'S&amp;U'!G17</f>
        <v>565866714.43292427</v>
      </c>
      <c r="L117" s="904"/>
      <c r="M117" s="903">
        <v>0</v>
      </c>
      <c r="N117" s="904"/>
    </row>
    <row r="118" spans="2:14" ht="19" customHeight="1">
      <c r="B118" s="292" t="s">
        <v>27</v>
      </c>
      <c r="C118" s="912" t="str">
        <f ca="1">+CONCATENATE(TEXT(Budget!$T$88,"$0,000")," per space"," / ",TEXT(Budget!$T$86,"$0.0")," pgsf")</f>
        <v>$19,898 per space / $55.3 pgsf</v>
      </c>
      <c r="D118" s="912"/>
      <c r="E118" s="912" t="str">
        <f ca="1">+CONCATENATE(TEXT(Budget!$T$87,"$0,000")," per space"," / ",TEXT(Budget!$T$85,"$0.0")," pgsf")</f>
        <v>$39,166 per space / $108.8 pgsf</v>
      </c>
      <c r="F118" s="912"/>
      <c r="G118" s="385">
        <f ca="1">+Budget!T82</f>
        <v>87154872.981037393</v>
      </c>
      <c r="I118" s="254" t="s">
        <v>248</v>
      </c>
      <c r="J118" s="332"/>
      <c r="K118" s="903">
        <v>0</v>
      </c>
      <c r="L118" s="904"/>
      <c r="M118" s="903">
        <f ca="1">+'S&amp;U'!Q17</f>
        <v>717302609.09463477</v>
      </c>
      <c r="N118" s="904"/>
    </row>
    <row r="119" spans="2:14" ht="19" customHeight="1">
      <c r="B119" s="887" t="s">
        <v>28</v>
      </c>
      <c r="C119" s="907" t="e">
        <f ca="1">+CONCATENATE(TEXT(Budget!$U$88,"$0,000")," per space"," / ",TEXT(Budget!$U$86,"$0.0")," pgsf")</f>
        <v>#DIV/0!</v>
      </c>
      <c r="D119" s="907"/>
      <c r="E119" s="907" t="e">
        <f ca="1">+CONCATENATE(TEXT(Budget!$U$87,"$0,000")," per space"," / ",TEXT(Budget!$U$85,"$0.0")," pgsf")</f>
        <v>#DIV/0!</v>
      </c>
      <c r="F119" s="907"/>
      <c r="G119" s="888">
        <f ca="1">+Budget!U82</f>
        <v>0</v>
      </c>
      <c r="I119" s="874" t="s">
        <v>483</v>
      </c>
      <c r="J119" s="875"/>
      <c r="K119" s="910">
        <v>0</v>
      </c>
      <c r="L119" s="911"/>
      <c r="M119" s="910">
        <f>+'S&amp;U'!Q18</f>
        <v>0</v>
      </c>
      <c r="N119" s="911"/>
    </row>
    <row r="120" spans="2:14" ht="19" customHeight="1">
      <c r="B120" s="292" t="s">
        <v>710</v>
      </c>
      <c r="C120" s="906">
        <f ca="1">+Budget!$S$86</f>
        <v>103.85236707710818</v>
      </c>
      <c r="D120" s="906"/>
      <c r="E120" s="906">
        <f ca="1">+Budget!$S$85</f>
        <v>321.96498322899629</v>
      </c>
      <c r="F120" s="906"/>
      <c r="G120" s="385">
        <f ca="1">+Budget!S82</f>
        <v>54292568.802947931</v>
      </c>
      <c r="I120" s="254" t="s">
        <v>815</v>
      </c>
      <c r="J120" s="332"/>
      <c r="K120" s="903">
        <v>0</v>
      </c>
      <c r="L120" s="904"/>
      <c r="M120" s="903">
        <f ca="1">+'S&amp;U'!Q19</f>
        <v>28456110</v>
      </c>
      <c r="N120" s="904"/>
    </row>
    <row r="121" spans="2:14" ht="19" customHeight="1">
      <c r="B121" s="917" t="s">
        <v>572</v>
      </c>
      <c r="C121" s="917"/>
      <c r="D121" s="917"/>
      <c r="E121" s="917"/>
      <c r="F121" s="917"/>
      <c r="G121" s="917"/>
      <c r="I121" s="336"/>
      <c r="J121" s="332"/>
      <c r="K121" s="332"/>
      <c r="L121" s="336"/>
      <c r="M121" s="336"/>
      <c r="N121" s="336"/>
    </row>
    <row r="122" spans="2:14" ht="19" customHeight="1">
      <c r="B122" s="292"/>
      <c r="C122" s="383"/>
      <c r="D122" s="383"/>
      <c r="E122" s="383"/>
      <c r="F122" s="383"/>
      <c r="G122" s="387"/>
      <c r="I122" s="336"/>
      <c r="J122" s="332"/>
      <c r="K122" s="332"/>
      <c r="L122" s="336"/>
      <c r="M122" s="336"/>
      <c r="N122" s="336"/>
    </row>
    <row r="123" spans="2:14" ht="19" customHeight="1">
      <c r="B123" s="389" t="s">
        <v>8</v>
      </c>
      <c r="C123" s="389"/>
      <c r="D123" s="921" t="s">
        <v>41</v>
      </c>
      <c r="E123" s="921"/>
      <c r="F123" s="922" t="s">
        <v>43</v>
      </c>
      <c r="G123" s="922"/>
      <c r="I123" s="332"/>
      <c r="J123" s="332"/>
      <c r="K123" s="332"/>
      <c r="L123" s="332"/>
      <c r="M123" s="332"/>
      <c r="N123" s="336"/>
    </row>
    <row r="124" spans="2:14" ht="19" customHeight="1">
      <c r="B124" s="338" t="s">
        <v>44</v>
      </c>
      <c r="D124" s="923">
        <f>+SUM(Infra!J12:J14)</f>
        <v>0</v>
      </c>
      <c r="E124" s="924"/>
      <c r="F124" s="919">
        <f>+SUM(Infra!J10)</f>
        <v>5328180</v>
      </c>
      <c r="G124" s="920"/>
      <c r="I124" s="333"/>
      <c r="J124" s="333"/>
      <c r="K124" s="333"/>
      <c r="L124" s="333"/>
      <c r="M124" s="333"/>
      <c r="N124" s="334"/>
    </row>
    <row r="125" spans="2:14" ht="19" customHeight="1" thickBot="1">
      <c r="B125" s="338" t="s">
        <v>38</v>
      </c>
      <c r="D125" s="918">
        <v>0</v>
      </c>
      <c r="E125" s="918"/>
      <c r="F125" s="923">
        <f>+Infra!$J$16+SUM(Infra!J18:$J$21)</f>
        <v>6159415</v>
      </c>
      <c r="G125" s="923"/>
      <c r="I125" s="397" t="s">
        <v>482</v>
      </c>
      <c r="J125" s="398"/>
      <c r="K125" s="905" t="s">
        <v>480</v>
      </c>
      <c r="L125" s="905"/>
      <c r="M125" s="905" t="s">
        <v>481</v>
      </c>
      <c r="N125" s="905"/>
    </row>
    <row r="126" spans="2:14" ht="19" customHeight="1">
      <c r="B126" s="338" t="s">
        <v>40</v>
      </c>
      <c r="D126" s="918">
        <f>+Infra!J8</f>
        <v>5700000</v>
      </c>
      <c r="E126" s="918"/>
      <c r="F126" s="919">
        <f>+Infra!J7</f>
        <v>4530000</v>
      </c>
      <c r="G126" s="920"/>
      <c r="I126" s="254" t="s">
        <v>97</v>
      </c>
      <c r="J126" s="332"/>
      <c r="K126" s="903">
        <f ca="1">+'S&amp;U'!G18</f>
        <v>151702181.12046069</v>
      </c>
      <c r="L126" s="904"/>
      <c r="M126" s="903">
        <f ca="1">+'S&amp;U'!Q20</f>
        <v>151702181.12046069</v>
      </c>
      <c r="N126" s="904"/>
    </row>
    <row r="127" spans="2:14" ht="19" customHeight="1">
      <c r="B127" s="338" t="s">
        <v>39</v>
      </c>
      <c r="D127" s="918">
        <v>0</v>
      </c>
      <c r="E127" s="918"/>
      <c r="F127" s="919">
        <f>+Infra!J6</f>
        <v>16710000</v>
      </c>
      <c r="G127" s="920"/>
      <c r="I127" s="254" t="s">
        <v>569</v>
      </c>
      <c r="J127" s="332"/>
      <c r="K127" s="903">
        <f>+'S&amp;U'!G20</f>
        <v>96262500</v>
      </c>
      <c r="L127" s="904"/>
      <c r="M127" s="903">
        <f>+'S&amp;U'!Q22</f>
        <v>96262500</v>
      </c>
      <c r="N127" s="904"/>
    </row>
    <row r="128" spans="2:14" ht="19" customHeight="1">
      <c r="B128" s="406" t="s">
        <v>556</v>
      </c>
      <c r="D128" s="918">
        <v>0</v>
      </c>
      <c r="E128" s="918"/>
      <c r="F128" s="925">
        <f>+Infra!J22</f>
        <v>6795239.8936170209</v>
      </c>
      <c r="G128" s="926"/>
      <c r="I128" s="254" t="s">
        <v>568</v>
      </c>
      <c r="J128" s="332"/>
      <c r="K128" s="903">
        <f>+'S&amp;U'!G21</f>
        <v>969272.49544966302</v>
      </c>
      <c r="L128" s="904"/>
      <c r="M128" s="903">
        <f>+'S&amp;U'!Q23</f>
        <v>969272.49544966302</v>
      </c>
      <c r="N128" s="904"/>
    </row>
    <row r="129" spans="2:14" ht="19" customHeight="1">
      <c r="B129" s="338" t="s">
        <v>1253</v>
      </c>
      <c r="D129" s="918">
        <v>0</v>
      </c>
      <c r="E129" s="918"/>
      <c r="F129" s="925">
        <f>+Infra!J15</f>
        <v>7500545</v>
      </c>
      <c r="G129" s="926"/>
      <c r="I129" s="232" t="s">
        <v>565</v>
      </c>
      <c r="K129" s="939">
        <f>+'S&amp;U'!G22</f>
        <v>9204939.2134974767</v>
      </c>
      <c r="L129" s="940"/>
      <c r="M129" s="939">
        <f>+'S&amp;U'!Q24</f>
        <v>9204939.2134974767</v>
      </c>
      <c r="N129" s="940"/>
    </row>
    <row r="130" spans="2:14" ht="19" customHeight="1">
      <c r="B130" s="331" t="s">
        <v>53</v>
      </c>
      <c r="C130" s="331"/>
      <c r="D130" s="931"/>
      <c r="E130" s="931"/>
      <c r="F130" s="932">
        <f>+Budget!G23</f>
        <v>163028561.24956849</v>
      </c>
      <c r="G130" s="933"/>
      <c r="I130" s="254"/>
      <c r="J130" s="332"/>
      <c r="K130" s="385"/>
      <c r="L130" s="332"/>
      <c r="M130" s="385"/>
      <c r="N130" s="332"/>
    </row>
    <row r="131" spans="2:14" ht="19" customHeight="1">
      <c r="B131" s="392" t="s">
        <v>557</v>
      </c>
      <c r="C131" s="392"/>
      <c r="D131" s="930">
        <f>+SUM(D124:E129)+D130</f>
        <v>5700000</v>
      </c>
      <c r="E131" s="930"/>
      <c r="F131" s="930">
        <f>+SUM(F124:G129)+F130</f>
        <v>210051941.1431855</v>
      </c>
      <c r="G131" s="930"/>
      <c r="I131" s="333"/>
      <c r="J131" s="333"/>
      <c r="K131" s="333"/>
      <c r="L131" s="333"/>
      <c r="M131" s="333"/>
      <c r="N131" s="334"/>
    </row>
    <row r="132" spans="2:14" ht="19" customHeight="1">
      <c r="B132" s="401" t="s">
        <v>3</v>
      </c>
      <c r="C132" s="401"/>
      <c r="D132" s="927"/>
      <c r="E132" s="927"/>
      <c r="F132" s="928">
        <f ca="1">+SUM(G110:G120)</f>
        <v>1053621047.1231023</v>
      </c>
      <c r="G132" s="929"/>
      <c r="H132" s="257"/>
      <c r="I132" s="399" t="s">
        <v>95</v>
      </c>
      <c r="J132" s="400"/>
      <c r="K132" s="908">
        <f ca="1">+SUM(K126:L129,K117:L120,K111)</f>
        <v>1053621047.1231022</v>
      </c>
      <c r="L132" s="909"/>
      <c r="M132" s="908">
        <f ca="1">+SUM(M126:N129,M117:N120,M111)</f>
        <v>1053621047.1231022</v>
      </c>
      <c r="N132" s="909"/>
    </row>
    <row r="133" spans="2:14" ht="19" customHeight="1">
      <c r="D133" s="258"/>
      <c r="E133" s="259"/>
    </row>
    <row r="134" spans="2:14" ht="16" customHeight="1">
      <c r="D134" s="258"/>
      <c r="E134" s="259"/>
    </row>
    <row r="135" spans="2:14" ht="16" customHeight="1">
      <c r="D135" s="258"/>
      <c r="E135" s="259"/>
    </row>
    <row r="136" spans="2:14" ht="16" customHeight="1">
      <c r="D136" s="258"/>
      <c r="E136" s="259"/>
    </row>
    <row r="137" spans="2:14" ht="16" customHeight="1"/>
    <row r="138" spans="2:14" ht="16" customHeight="1"/>
    <row r="139" spans="2:14" ht="16" customHeight="1"/>
    <row r="140" spans="2:14" ht="16" customHeight="1"/>
    <row r="141" spans="2:14" ht="16" customHeight="1"/>
    <row r="142" spans="2:14" ht="16" customHeight="1"/>
    <row r="143" spans="2:14" ht="16" customHeight="1"/>
    <row r="144" spans="2:14" ht="16" customHeight="1"/>
    <row r="145" ht="16" customHeight="1"/>
    <row r="146" ht="16" customHeight="1"/>
    <row r="147" ht="16" customHeight="1"/>
    <row r="148" ht="16" customHeight="1"/>
    <row r="149" ht="16" customHeight="1"/>
    <row r="150" ht="16" customHeight="1"/>
    <row r="151" ht="16" customHeight="1"/>
  </sheetData>
  <mergeCells count="88">
    <mergeCell ref="K129:L129"/>
    <mergeCell ref="M129:N129"/>
    <mergeCell ref="I74:J74"/>
    <mergeCell ref="K74:L74"/>
    <mergeCell ref="M74:N74"/>
    <mergeCell ref="E75:N75"/>
    <mergeCell ref="I109:K109"/>
    <mergeCell ref="L109:M109"/>
    <mergeCell ref="E109:F109"/>
    <mergeCell ref="B106:N106"/>
    <mergeCell ref="C109:D109"/>
    <mergeCell ref="K128:L128"/>
    <mergeCell ref="M128:N128"/>
    <mergeCell ref="D127:E127"/>
    <mergeCell ref="F127:G127"/>
    <mergeCell ref="D128:E128"/>
    <mergeCell ref="I4:J4"/>
    <mergeCell ref="K4:L4"/>
    <mergeCell ref="M4:N4"/>
    <mergeCell ref="B71:N71"/>
    <mergeCell ref="B72:N72"/>
    <mergeCell ref="B14:C14"/>
    <mergeCell ref="B15:C15"/>
    <mergeCell ref="B26:C26"/>
    <mergeCell ref="B25:C25"/>
    <mergeCell ref="B59:C59"/>
    <mergeCell ref="F128:G128"/>
    <mergeCell ref="D132:E132"/>
    <mergeCell ref="F132:G132"/>
    <mergeCell ref="D129:E129"/>
    <mergeCell ref="D131:E131"/>
    <mergeCell ref="F131:G131"/>
    <mergeCell ref="D130:E130"/>
    <mergeCell ref="F130:G130"/>
    <mergeCell ref="F129:G129"/>
    <mergeCell ref="D126:E126"/>
    <mergeCell ref="F126:G126"/>
    <mergeCell ref="D123:E123"/>
    <mergeCell ref="F123:G123"/>
    <mergeCell ref="K126:L126"/>
    <mergeCell ref="D124:E124"/>
    <mergeCell ref="F124:G124"/>
    <mergeCell ref="F125:G125"/>
    <mergeCell ref="D125:E125"/>
    <mergeCell ref="K125:L125"/>
    <mergeCell ref="E119:F119"/>
    <mergeCell ref="E120:F120"/>
    <mergeCell ref="C119:D119"/>
    <mergeCell ref="C120:D120"/>
    <mergeCell ref="B121:G121"/>
    <mergeCell ref="E118:F118"/>
    <mergeCell ref="C110:D110"/>
    <mergeCell ref="C111:D111"/>
    <mergeCell ref="C112:D112"/>
    <mergeCell ref="E110:F110"/>
    <mergeCell ref="E111:F111"/>
    <mergeCell ref="E112:F112"/>
    <mergeCell ref="E113:F113"/>
    <mergeCell ref="E114:F114"/>
    <mergeCell ref="C114:D114"/>
    <mergeCell ref="C113:D113"/>
    <mergeCell ref="C115:D115"/>
    <mergeCell ref="C116:D116"/>
    <mergeCell ref="C117:D117"/>
    <mergeCell ref="C118:D118"/>
    <mergeCell ref="K110:L110"/>
    <mergeCell ref="M110:N110"/>
    <mergeCell ref="K111:L111"/>
    <mergeCell ref="M111:N111"/>
    <mergeCell ref="K132:L132"/>
    <mergeCell ref="M132:N132"/>
    <mergeCell ref="K118:L118"/>
    <mergeCell ref="M118:N118"/>
    <mergeCell ref="K119:L119"/>
    <mergeCell ref="M119:N119"/>
    <mergeCell ref="M120:N120"/>
    <mergeCell ref="M126:N126"/>
    <mergeCell ref="K120:L120"/>
    <mergeCell ref="M125:N125"/>
    <mergeCell ref="K127:L127"/>
    <mergeCell ref="M127:N127"/>
    <mergeCell ref="K117:L117"/>
    <mergeCell ref="M117:N117"/>
    <mergeCell ref="K116:L116"/>
    <mergeCell ref="M116:N116"/>
    <mergeCell ref="E115:F115"/>
    <mergeCell ref="E116:F116"/>
    <mergeCell ref="E117:F117"/>
  </mergeCells>
  <phoneticPr fontId="62" type="noConversion"/>
  <pageMargins left="0.25" right="0.25" top="0.75" bottom="0.75" header="0.3" footer="0.3"/>
  <pageSetup paperSize="3" scale="50" orientation="portrait" r:id="rId1"/>
  <headerFooter alignWithMargins="0">
    <oddHeader xml:space="preserve">&amp;L&amp;"Arial,Bold"2017 ULI Hines Student Competition&amp;RTeam &amp;A </oddHeader>
  </headerFooter>
  <rowBreaks count="1" manualBreakCount="1">
    <brk id="132"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sheetPr>
  <dimension ref="A1:T178"/>
  <sheetViews>
    <sheetView showGridLines="0" topLeftCell="A27" zoomScale="55" zoomScaleNormal="55" workbookViewId="0">
      <selection activeCell="G60" sqref="G60"/>
    </sheetView>
  </sheetViews>
  <sheetFormatPr defaultColWidth="14.453125" defaultRowHeight="16" customHeight="1"/>
  <cols>
    <col min="1" max="1" width="8.453125" customWidth="1"/>
    <col min="5" max="5" width="18.1796875" bestFit="1" customWidth="1"/>
    <col min="6" max="6" width="23.81640625" customWidth="1"/>
    <col min="7" max="7" width="25.6328125" bestFit="1" customWidth="1"/>
    <col min="8" max="8" width="16.6328125" customWidth="1"/>
    <col min="11" max="14" width="14.453125" customWidth="1"/>
    <col min="18" max="18" width="27.6328125" customWidth="1"/>
  </cols>
  <sheetData>
    <row r="1" spans="2:19" ht="13"/>
    <row r="2" spans="2:19" ht="13">
      <c r="I2" s="197"/>
      <c r="J2" s="197"/>
    </row>
    <row r="3" spans="2:19" ht="15.5">
      <c r="B3" s="37" t="s">
        <v>247</v>
      </c>
      <c r="C3" s="38"/>
      <c r="D3" s="38"/>
      <c r="E3" s="37" t="s">
        <v>17</v>
      </c>
      <c r="F3" s="46" t="str">
        <f ca="1">+F$3</f>
        <v>I</v>
      </c>
      <c r="G3" s="46" t="str">
        <f ca="1">+G$3</f>
        <v>II</v>
      </c>
      <c r="H3" s="46" t="str">
        <f ca="1">+H$3</f>
        <v>III</v>
      </c>
      <c r="I3" s="934" t="str">
        <f ca="1">+I$3</f>
        <v>I</v>
      </c>
      <c r="J3" s="934"/>
      <c r="K3" s="934" t="s">
        <v>225</v>
      </c>
      <c r="L3" s="934"/>
      <c r="M3" s="934" t="s">
        <v>226</v>
      </c>
      <c r="N3" s="934"/>
    </row>
    <row r="4" spans="2:19" ht="15.5">
      <c r="B4" s="161" t="s">
        <v>248</v>
      </c>
      <c r="C4" s="158"/>
      <c r="D4" s="159"/>
      <c r="E4" s="160"/>
      <c r="F4" s="162" t="str">
        <f ca="1">+F$3</f>
        <v>I</v>
      </c>
      <c r="G4" s="162" t="str">
        <f ca="1">+G$3</f>
        <v>II</v>
      </c>
      <c r="H4" s="162" t="str">
        <f ca="1">+H$3</f>
        <v>III</v>
      </c>
      <c r="I4" s="46" t="s">
        <v>306</v>
      </c>
      <c r="J4" s="46" t="s">
        <v>307</v>
      </c>
      <c r="K4" s="46" t="s">
        <v>306</v>
      </c>
      <c r="L4" s="46" t="s">
        <v>307</v>
      </c>
      <c r="M4" s="46" t="s">
        <v>306</v>
      </c>
      <c r="N4" s="46" t="s">
        <v>307</v>
      </c>
    </row>
    <row r="5" spans="2:19" ht="15.5">
      <c r="B5" s="33" t="s">
        <v>250</v>
      </c>
      <c r="C5" s="33"/>
      <c r="D5" s="40"/>
      <c r="E5" s="48">
        <f t="shared" ref="E5:E10" ca="1" si="0">+SUM(F5:H5)</f>
        <v>106371340.42317641</v>
      </c>
      <c r="F5" s="34">
        <f>+INDEX('Phase I Pro Forma'!$F$28:$Z$28,1,MATCH(1,'Phase I Pro Forma'!$F$3:$Z$3,0))</f>
        <v>106371338.59678416</v>
      </c>
      <c r="G5" s="34">
        <f ca="1">+INDEX('Phase II Pro Forma'!$F$28:$Z$28,1,MATCH(1,'Phase II Pro Forma'!$F$3:$Z$3,0))</f>
        <v>0.93141233998402628</v>
      </c>
      <c r="H5" s="34">
        <f ca="1">+INDEX('Phase III Pro Forma'!$F$28:$Z$28,1,MATCH(1,'Phase III Pro Forma'!$F$3:$Z$3,0))</f>
        <v>0.89497991599417925</v>
      </c>
      <c r="I5" s="41"/>
      <c r="J5" s="116">
        <f t="shared" ref="J5:J10" ca="1" si="1">+F5/$F$63</f>
        <v>0.20068022714326181</v>
      </c>
      <c r="K5" s="41"/>
      <c r="L5" s="116">
        <f t="shared" ref="L5:L10" ca="1" si="2">+G5/$G$63</f>
        <v>5.9018247221412361E-9</v>
      </c>
      <c r="M5" s="41"/>
      <c r="N5" s="116">
        <f t="shared" ref="N5:N10" ca="1" si="3">+H5/$H$63</f>
        <v>1.6124032514559286E-9</v>
      </c>
      <c r="O5" s="34"/>
      <c r="R5" s="41"/>
      <c r="S5" s="116"/>
    </row>
    <row r="6" spans="2:19" ht="15.5">
      <c r="B6" s="33" t="s">
        <v>252</v>
      </c>
      <c r="C6" s="33"/>
      <c r="D6" s="40"/>
      <c r="E6" s="48">
        <f t="shared" ca="1" si="0"/>
        <v>209268125.77556396</v>
      </c>
      <c r="F6" s="34">
        <f ca="1">+INDEX('Phase I Pro Forma'!$F$51:$Z$51,1,MATCH(1,'Phase I Pro Forma'!$F$3:$Z$3,0))</f>
        <v>57243459.035052232</v>
      </c>
      <c r="G6" s="34">
        <f ca="1">+INDEX('Phase II Pro Forma'!$F$51:$Z$51,1,MATCH(1,'Phase II Pro Forma'!$F$3:$Z$3,0))</f>
        <v>2.9626256544471001</v>
      </c>
      <c r="H6" s="34">
        <f ca="1">+INDEX('Phase III Pro Forma'!$F$51:$Z$51,1,MATCH(1,'Phase III Pro Forma'!$F$3:$Z$3,0))</f>
        <v>152024663.77788603</v>
      </c>
      <c r="I6" s="41"/>
      <c r="J6" s="116">
        <f t="shared" ca="1" si="1"/>
        <v>0.10799554196799005</v>
      </c>
      <c r="K6" s="41"/>
      <c r="L6" s="116">
        <f t="shared" ca="1" si="2"/>
        <v>1.8772456171415574E-8</v>
      </c>
      <c r="M6" s="41"/>
      <c r="N6" s="116">
        <f t="shared" ca="1" si="3"/>
        <v>0.27388889716554488</v>
      </c>
      <c r="O6" s="34"/>
      <c r="R6" s="41"/>
      <c r="S6" s="116"/>
    </row>
    <row r="7" spans="2:19" ht="15.5">
      <c r="B7" s="33" t="s">
        <v>253</v>
      </c>
      <c r="C7" s="33"/>
      <c r="D7" s="40"/>
      <c r="E7" s="48">
        <f t="shared" ca="1" si="0"/>
        <v>272776271.29551643</v>
      </c>
      <c r="F7" s="34">
        <f ca="1">+INDEX('Phase I Pro Forma'!$F$72:$Z$72,1,MATCH(1,'Phase I Pro Forma'!$F$3:$Z$3,0))</f>
        <v>272776271.29399842</v>
      </c>
      <c r="G7" s="34">
        <f>+INDEX('Phase II Pro Forma'!$F$72:$Z$72,1,MATCH(1,'Phase II Pro Forma'!$F$3:$Z$3,0))</f>
        <v>7.6536173128614643E-4</v>
      </c>
      <c r="H7" s="34">
        <f ca="1">+INDEX('Phase III Pro Forma'!$F$72:$Z$72,1,MATCH(1,'Phase III Pro Forma'!$F$3:$Z$3,0))</f>
        <v>7.5264463981896052E-4</v>
      </c>
      <c r="I7" s="41"/>
      <c r="J7" s="116">
        <f t="shared" ca="1" si="1"/>
        <v>0.51461986663601633</v>
      </c>
      <c r="K7" s="41"/>
      <c r="L7" s="116">
        <f t="shared" ca="1" si="2"/>
        <v>4.8496574429783311E-12</v>
      </c>
      <c r="M7" s="41"/>
      <c r="N7" s="116">
        <f t="shared" ca="1" si="3"/>
        <v>1.3559708354872858E-12</v>
      </c>
      <c r="O7" s="34"/>
      <c r="R7" s="41"/>
      <c r="S7" s="116"/>
    </row>
    <row r="8" spans="2:19" ht="15.5">
      <c r="B8" s="33" t="s">
        <v>838</v>
      </c>
      <c r="C8" s="33"/>
      <c r="D8" s="40"/>
      <c r="E8" s="48">
        <f t="shared" ca="1" si="0"/>
        <v>110390833.33777782</v>
      </c>
      <c r="F8" s="34">
        <f ca="1">+INDEX('Phase I Pro Forma'!$F$93:$Z$93,1,MATCH(1,'Phase I Pro Forma'!$F$3:$Z$3,0))</f>
        <v>0</v>
      </c>
      <c r="G8" s="34">
        <f ca="1">+INDEX('Phase II Pro Forma'!$F$93:$Z$93,1,MATCH(1,'Phase II Pro Forma'!$F$3:$Z$3,0))</f>
        <v>110390833.3333333</v>
      </c>
      <c r="H8" s="34">
        <f ca="1">+INDEX('Phase III Pro Forma'!$F$93:$Z$93,1,MATCH(1,'Phase III Pro Forma'!$F$3:$Z$3,0))</f>
        <v>4.4444444444444453E-3</v>
      </c>
      <c r="I8" s="41"/>
      <c r="J8" s="116">
        <f t="shared" ca="1" si="1"/>
        <v>0</v>
      </c>
      <c r="K8" s="41"/>
      <c r="L8" s="116">
        <f t="shared" ca="1" si="2"/>
        <v>0.69948326997215071</v>
      </c>
      <c r="M8" s="41"/>
      <c r="N8" s="116">
        <f t="shared" ca="1" si="3"/>
        <v>8.0071480321174812E-12</v>
      </c>
      <c r="O8" s="34"/>
      <c r="R8" s="41"/>
      <c r="S8" s="116"/>
    </row>
    <row r="9" spans="2:19" ht="15.5">
      <c r="B9" s="33" t="s">
        <v>254</v>
      </c>
      <c r="C9" s="33"/>
      <c r="D9" s="40"/>
      <c r="E9" s="48">
        <f t="shared" ca="1" si="0"/>
        <v>484955430.65509838</v>
      </c>
      <c r="F9" s="34">
        <f ca="1">+INDEX('Phase I Pro Forma'!$F$114:$Z$114,1,MATCH(1,'Phase I Pro Forma'!$F$3:$Z$3,0))</f>
        <v>91835908.274784565</v>
      </c>
      <c r="G9" s="34">
        <f ca="1">+INDEX('Phase II Pro Forma'!$F$114:$Z$114,1,MATCH(1,'Phase II Pro Forma'!$F$3:$Z$3,0))</f>
        <v>5.0152659980337772E-4</v>
      </c>
      <c r="H9" s="34">
        <f ca="1">+INDEX('Phase III Pro Forma'!$F$114:$Z$114,1,MATCH(1,'Phase III Pro Forma'!$F$3:$Z$3,0))</f>
        <v>393119522.37981218</v>
      </c>
      <c r="I9" s="41"/>
      <c r="J9" s="116">
        <f t="shared" ca="1" si="1"/>
        <v>0.17325767613352844</v>
      </c>
      <c r="K9" s="41"/>
      <c r="L9" s="116">
        <f t="shared" ca="1" si="2"/>
        <v>3.1778858390278267E-12</v>
      </c>
      <c r="M9" s="41"/>
      <c r="N9" s="116">
        <f t="shared" ca="1" si="3"/>
        <v>0.7082473972523573</v>
      </c>
      <c r="O9" s="34"/>
      <c r="R9" s="41"/>
      <c r="S9" s="116"/>
    </row>
    <row r="10" spans="2:19" ht="15.5">
      <c r="B10" s="33" t="s">
        <v>255</v>
      </c>
      <c r="C10" s="33"/>
      <c r="D10" s="40"/>
      <c r="E10" s="48">
        <f t="shared" ca="1" si="0"/>
        <v>11742347.003925065</v>
      </c>
      <c r="F10" s="34">
        <f ca="1">+INDEX('Phase I Pro Forma'!$F$136:$Z$136,1,MATCH(1,'Phase I Pro Forma'!$F$3:$Z$3,0))</f>
        <v>1826928.4963210803</v>
      </c>
      <c r="G10" s="34">
        <f ca="1">+INDEX('Phase II Pro Forma'!$F$136:$Z$136,1,MATCH(1,'Phase II Pro Forma'!$F$3:$Z$3,0))</f>
        <v>7.584521773896959E-3</v>
      </c>
      <c r="H10" s="34">
        <f ca="1">+INDEX('Phase III Pro Forma'!$F$136:$Z$136,1,MATCH(1,'Phase III Pro Forma'!$F$3:$Z$3,0))</f>
        <v>9915418.5000194628</v>
      </c>
      <c r="I10" s="41"/>
      <c r="J10" s="116">
        <f t="shared" ca="1" si="1"/>
        <v>3.446684327307094E-3</v>
      </c>
      <c r="K10" s="41"/>
      <c r="L10" s="116">
        <f t="shared" ca="1" si="2"/>
        <v>4.8058755708101584E-11</v>
      </c>
      <c r="M10" s="41"/>
      <c r="N10" s="116">
        <f t="shared" ca="1" si="3"/>
        <v>1.7863700339261723E-2</v>
      </c>
      <c r="O10" s="34"/>
      <c r="R10" s="41"/>
      <c r="S10" s="116"/>
    </row>
    <row r="11" spans="2:19" ht="5.25" customHeight="1">
      <c r="B11" s="33"/>
      <c r="C11" s="33"/>
      <c r="D11" s="40"/>
      <c r="E11" s="48"/>
      <c r="F11" s="34"/>
      <c r="G11" s="34"/>
      <c r="H11" s="34"/>
      <c r="I11" s="41"/>
      <c r="J11" s="41"/>
      <c r="K11" s="41"/>
      <c r="L11" s="41"/>
      <c r="M11" s="41"/>
      <c r="N11" s="41"/>
      <c r="R11" s="41"/>
      <c r="S11" s="41"/>
    </row>
    <row r="12" spans="2:19" ht="15.5">
      <c r="B12" s="33" t="s">
        <v>173</v>
      </c>
      <c r="C12" s="33"/>
      <c r="D12" s="44"/>
      <c r="E12" s="152"/>
      <c r="F12" s="153">
        <f>+Assumptions!N149</f>
        <v>0.6</v>
      </c>
      <c r="G12" s="153">
        <f>+Assumptions!O149</f>
        <v>0.6</v>
      </c>
      <c r="H12" s="153">
        <f>+Assumptions!P149</f>
        <v>0.6</v>
      </c>
      <c r="I12" s="41"/>
      <c r="J12" s="41"/>
      <c r="K12" s="41"/>
      <c r="L12" s="41"/>
      <c r="M12" s="41"/>
      <c r="N12" s="41"/>
      <c r="R12" s="41"/>
      <c r="S12" s="41"/>
    </row>
    <row r="13" spans="2:19" ht="15.5">
      <c r="B13" s="137" t="s">
        <v>256</v>
      </c>
      <c r="C13" s="137"/>
      <c r="D13" s="137"/>
      <c r="E13" s="36">
        <f ca="1">+SUM(F13:H13)</f>
        <v>717302609.09463477</v>
      </c>
      <c r="F13" s="129">
        <f ca="1">+F12*SUM(F5:F10)</f>
        <v>318032343.41816425</v>
      </c>
      <c r="G13" s="129">
        <f ca="1">+G12*SUM(G5:G10)</f>
        <v>66234502.341733627</v>
      </c>
      <c r="H13" s="129">
        <f ca="1">+H12*SUM(H5:H10)</f>
        <v>333035763.33473682</v>
      </c>
      <c r="I13" s="41"/>
      <c r="J13" s="41"/>
      <c r="K13" s="41"/>
      <c r="L13" s="41"/>
      <c r="M13" s="41"/>
      <c r="N13" s="41"/>
      <c r="R13" s="41"/>
      <c r="S13" s="41"/>
    </row>
    <row r="14" spans="2:19" ht="15.25">
      <c r="B14" s="5"/>
      <c r="D14" s="3"/>
      <c r="E14" s="2"/>
      <c r="I14" s="41"/>
      <c r="J14" s="41"/>
      <c r="K14" s="41"/>
      <c r="L14" s="41"/>
      <c r="M14" s="41"/>
      <c r="N14" s="41"/>
      <c r="R14" s="41"/>
      <c r="S14" s="41"/>
    </row>
    <row r="15" spans="2:19" ht="15.5">
      <c r="B15" s="33" t="s">
        <v>249</v>
      </c>
      <c r="C15" s="33"/>
      <c r="D15" s="40"/>
      <c r="E15" s="48">
        <f t="shared" ref="E15:E20" ca="1" si="4">+SUM(F15:H15)</f>
        <v>7977850.531738231</v>
      </c>
      <c r="F15" s="34">
        <f>+INDEX('Phase I Pro Forma'!$F$26:$Z$26,1,MATCH(1,'Phase I Pro Forma'!$F$3:$Z$3,0))</f>
        <v>7977850.3947588112</v>
      </c>
      <c r="G15" s="34">
        <f ca="1">+INDEX('Phase II Pro Forma'!$F$26:$Z$26,1,MATCH(1,'Phase II Pro Forma'!$F$3:$Z$3,0))</f>
        <v>6.9855925498801971E-2</v>
      </c>
      <c r="H15" s="34">
        <f ca="1">+INDEX('Phase III Pro Forma'!$F$26:$Z$26,1,MATCH(1,'Phase III Pro Forma'!$F$3:$Z$3,0))</f>
        <v>6.7123493699563441E-2</v>
      </c>
      <c r="I15" s="116">
        <f t="shared" ref="I15:I20" ca="1" si="5">+F15/$F$62</f>
        <v>0.23352673956282799</v>
      </c>
      <c r="J15" s="41"/>
      <c r="K15" s="116">
        <f t="shared" ref="K15:K20" ca="1" si="6">+G15/$G$62</f>
        <v>5.0880822090376053E-9</v>
      </c>
      <c r="L15" s="41"/>
      <c r="M15" s="116">
        <f t="shared" ref="M15:M20" ca="1" si="7">+H15/$H$62</f>
        <v>1.8579122812645591E-9</v>
      </c>
      <c r="N15" s="41"/>
      <c r="O15" s="34"/>
      <c r="R15" s="116"/>
      <c r="S15" s="41"/>
    </row>
    <row r="16" spans="2:19" ht="15.5">
      <c r="B16" s="33" t="s">
        <v>251</v>
      </c>
      <c r="C16" s="33"/>
      <c r="D16" s="40"/>
      <c r="E16" s="48">
        <f t="shared" ca="1" si="4"/>
        <v>13602428.175411656</v>
      </c>
      <c r="F16" s="34">
        <f ca="1">+INDEX('Phase I Pro Forma'!$F$49:$Z$49,1,MATCH(1,'Phase I Pro Forma'!$F$3:$Z$3,0))</f>
        <v>3720824.8372783954</v>
      </c>
      <c r="G16" s="34">
        <f ca="1">+INDEX('Phase II Pro Forma'!$F$49:$Z$49,1,MATCH(1,'Phase II Pro Forma'!$F$3:$Z$3,0))</f>
        <v>0.19257066753906152</v>
      </c>
      <c r="H16" s="34">
        <f ca="1">+INDEX('Phase III Pro Forma'!$F$49:$Z$49,1,MATCH(1,'Phase III Pro Forma'!$F$3:$Z$3,0))</f>
        <v>9881603.1455625929</v>
      </c>
      <c r="I16" s="116">
        <f ca="1">+F16/$F$62</f>
        <v>0.10891556619122122</v>
      </c>
      <c r="J16" s="41"/>
      <c r="K16" s="116">
        <f t="shared" ca="1" si="6"/>
        <v>1.4026231568641921E-8</v>
      </c>
      <c r="L16" s="41"/>
      <c r="M16" s="116">
        <f t="shared" ca="1" si="7"/>
        <v>0.27351305527832864</v>
      </c>
      <c r="N16" s="41"/>
      <c r="R16" s="116"/>
      <c r="S16" s="41"/>
    </row>
    <row r="17" spans="2:19" ht="15.5">
      <c r="B17" s="33" t="s">
        <v>257</v>
      </c>
      <c r="C17" s="33"/>
      <c r="D17" s="40"/>
      <c r="E17" s="48">
        <f t="shared" ca="1" si="4"/>
        <v>16366576.277730983</v>
      </c>
      <c r="F17" s="34">
        <f ca="1">+INDEX('Phase I Pro Forma'!$F$70:$Z$70,1,MATCH(1,'Phase I Pro Forma'!$F$3:$Z$3,0))</f>
        <v>16366576.277639903</v>
      </c>
      <c r="G17" s="34">
        <f>+INDEX('Phase II Pro Forma'!$F$70:$Z$70,1,MATCH(1,'Phase II Pro Forma'!$F$3:$Z$3,0))</f>
        <v>4.5921703877168786E-5</v>
      </c>
      <c r="H17" s="34">
        <f ca="1">+INDEX('Phase III Pro Forma'!$F$70:$Z$70,1,MATCH(1,'Phase III Pro Forma'!$F$3:$Z$3,0))</f>
        <v>4.5158678389137627E-5</v>
      </c>
      <c r="I17" s="116">
        <f t="shared" ca="1" si="5"/>
        <v>0.47908058020673389</v>
      </c>
      <c r="J17" s="41"/>
      <c r="K17" s="116">
        <f t="shared" ca="1" si="6"/>
        <v>3.344790049487253E-12</v>
      </c>
      <c r="L17" s="41"/>
      <c r="M17" s="116">
        <f t="shared" ca="1" si="7"/>
        <v>1.249947798611098E-12</v>
      </c>
      <c r="N17" s="41"/>
      <c r="R17" s="116"/>
      <c r="S17" s="41"/>
    </row>
    <row r="18" spans="2:19" ht="15.5">
      <c r="B18" s="33" t="s">
        <v>839</v>
      </c>
      <c r="C18" s="33"/>
      <c r="D18" s="40"/>
      <c r="E18" s="48">
        <f t="shared" ca="1" si="4"/>
        <v>9935175.000400003</v>
      </c>
      <c r="F18" s="34">
        <f ca="1">+INDEX('Phase I Pro Forma'!$F$91:$Z$91,1,MATCH(1,'Phase I Pro Forma'!$F$3:$Z$3,0))</f>
        <v>0</v>
      </c>
      <c r="G18" s="34">
        <f ca="1">+INDEX('Phase II Pro Forma'!$F$91:$Z$91,1,MATCH(1,'Phase II Pro Forma'!$F$3:$Z$3,0))</f>
        <v>9935174.9999999963</v>
      </c>
      <c r="H18" s="34">
        <f ca="1">+INDEX('Phase III Pro Forma'!$F$91:$Z$91,1,MATCH(1,'Phase III Pro Forma'!$F$3:$Z$3,0))</f>
        <v>4.0000000000000007E-4</v>
      </c>
      <c r="I18" s="116">
        <f t="shared" ca="1" si="5"/>
        <v>0</v>
      </c>
      <c r="J18" s="41"/>
      <c r="K18" s="116">
        <f t="shared" ca="1" si="6"/>
        <v>0.72364637359277584</v>
      </c>
      <c r="L18" s="41"/>
      <c r="M18" s="116">
        <f t="shared" ca="1" si="7"/>
        <v>1.107160655004251E-11</v>
      </c>
      <c r="N18" s="41"/>
      <c r="R18" s="116"/>
      <c r="S18" s="41"/>
    </row>
    <row r="19" spans="2:19" ht="15.5">
      <c r="B19" s="33" t="s">
        <v>258</v>
      </c>
      <c r="C19" s="33"/>
      <c r="D19" s="40"/>
      <c r="E19" s="48">
        <f t="shared" ca="1" si="4"/>
        <v>31522102.992581397</v>
      </c>
      <c r="F19" s="34">
        <f ca="1">+INDEX('Phase I Pro Forma'!$F$112:$Z$112,1,MATCH(1,'Phase I Pro Forma'!$F$3:$Z$3,0))</f>
        <v>5969334.037860997</v>
      </c>
      <c r="G19" s="34">
        <f ca="1">+INDEX('Phase II Pro Forma'!$F$112:$Z$112,1,MATCH(1,'Phase II Pro Forma'!$F$3:$Z$3,0))</f>
        <v>3.2599228987219551E-5</v>
      </c>
      <c r="H19" s="34">
        <f ca="1">+INDEX('Phase III Pro Forma'!$F$112:$Z$112,1,MATCH(1,'Phase III Pro Forma'!$F$3:$Z$3,0))</f>
        <v>25552768.954687793</v>
      </c>
      <c r="I19" s="116">
        <f ca="1">+F19/$F$62</f>
        <v>0.17473367464234496</v>
      </c>
      <c r="J19" s="41"/>
      <c r="K19" s="116">
        <f t="shared" ca="1" si="6"/>
        <v>2.3744235847402726E-12</v>
      </c>
      <c r="L19" s="41"/>
      <c r="M19" s="116">
        <f t="shared" ca="1" si="7"/>
        <v>0.70727551032611058</v>
      </c>
      <c r="N19" s="41"/>
      <c r="R19" s="116"/>
      <c r="S19" s="41"/>
    </row>
    <row r="20" spans="2:19" ht="15.5">
      <c r="B20" s="33" t="s">
        <v>259</v>
      </c>
      <c r="C20" s="33"/>
      <c r="D20" s="40"/>
      <c r="E20" s="48">
        <f t="shared" ca="1" si="4"/>
        <v>821964.29027475463</v>
      </c>
      <c r="F20" s="34">
        <f ca="1">+INDEX('Phase I Pro Forma'!$F$134:$Z$134,1,MATCH(1,'Phase I Pro Forma'!$F$3:$Z$3,0))</f>
        <v>127884.99474247562</v>
      </c>
      <c r="G20" s="34">
        <f ca="1">+INDEX('Phase II Pro Forma'!$F$134:$Z$134,1,MATCH(1,'Phase II Pro Forma'!$F$3:$Z$3,0))</f>
        <v>5.3091652417278719E-4</v>
      </c>
      <c r="H20" s="34">
        <f ca="1">+INDEX('Phase III Pro Forma'!$F$134:$Z$134,1,MATCH(1,'Phase III Pro Forma'!$F$3:$Z$3,0))</f>
        <v>694079.29500136245</v>
      </c>
      <c r="I20" s="116">
        <f t="shared" ca="1" si="5"/>
        <v>3.7434351840991884E-3</v>
      </c>
      <c r="J20" s="41"/>
      <c r="K20" s="116">
        <f t="shared" ca="1" si="6"/>
        <v>3.8670261711355755E-11</v>
      </c>
      <c r="L20" s="41"/>
      <c r="M20" s="116">
        <f t="shared" ca="1" si="7"/>
        <v>1.9211432171964925E-2</v>
      </c>
      <c r="N20" s="41"/>
      <c r="R20" s="116"/>
      <c r="S20" s="41"/>
    </row>
    <row r="21" spans="2:19" ht="5.25" customHeight="1">
      <c r="B21" s="33"/>
      <c r="C21" s="33"/>
      <c r="D21" s="40"/>
      <c r="E21" s="48"/>
      <c r="F21" s="34"/>
      <c r="G21" s="34"/>
      <c r="H21" s="34"/>
      <c r="I21" s="41"/>
      <c r="J21" s="41"/>
      <c r="K21" s="41"/>
      <c r="L21" s="41"/>
      <c r="M21" s="41"/>
      <c r="N21" s="41"/>
    </row>
    <row r="22" spans="2:19" ht="15.5">
      <c r="B22" s="33" t="s">
        <v>172</v>
      </c>
      <c r="C22" s="33"/>
      <c r="D22" s="44"/>
      <c r="E22" s="152"/>
      <c r="F22" s="114">
        <f>+Assumptions!N150</f>
        <v>1.3</v>
      </c>
      <c r="G22" s="114">
        <f>+Assumptions!O150</f>
        <v>1.3</v>
      </c>
      <c r="H22" s="114">
        <f>+Assumptions!P150</f>
        <v>1.3</v>
      </c>
      <c r="I22" s="41"/>
      <c r="J22" s="41"/>
      <c r="K22" s="41"/>
      <c r="L22" s="41"/>
      <c r="M22" s="41"/>
      <c r="N22" s="41"/>
    </row>
    <row r="23" spans="2:19" ht="15.5">
      <c r="B23" s="33" t="s">
        <v>262</v>
      </c>
      <c r="C23" s="33"/>
      <c r="D23" s="44"/>
      <c r="E23" s="48"/>
      <c r="F23" s="34">
        <f ca="1">+SUM(F15:F20)/F22</f>
        <v>26278823.494061988</v>
      </c>
      <c r="G23" s="34">
        <f ca="1">+SUM(G15:G20)/G22</f>
        <v>7642442.5100277131</v>
      </c>
      <c r="H23" s="34">
        <f ca="1">+SUM(H15:H20)/H22</f>
        <v>27791116.509861849</v>
      </c>
      <c r="I23" s="41"/>
      <c r="J23" s="41"/>
      <c r="K23" s="41"/>
      <c r="L23" s="41"/>
      <c r="M23" s="41"/>
      <c r="N23" s="41"/>
    </row>
    <row r="24" spans="2:19" ht="15.5">
      <c r="B24" s="33" t="s">
        <v>156</v>
      </c>
      <c r="C24" s="33"/>
      <c r="D24" s="44"/>
      <c r="E24" s="152"/>
      <c r="F24" s="113">
        <f>+Assumptions!N153</f>
        <v>30</v>
      </c>
      <c r="G24" s="113">
        <f>+Assumptions!O153</f>
        <v>30</v>
      </c>
      <c r="H24" s="113">
        <f>+Assumptions!P153</f>
        <v>30</v>
      </c>
      <c r="I24" s="41"/>
      <c r="J24" s="41"/>
      <c r="K24" s="41"/>
      <c r="L24" s="41"/>
      <c r="M24" s="41"/>
      <c r="N24" s="41"/>
    </row>
    <row r="25" spans="2:19" ht="15.5">
      <c r="B25" s="33" t="s">
        <v>149</v>
      </c>
      <c r="C25" s="33"/>
      <c r="D25" s="44"/>
      <c r="E25" s="152"/>
      <c r="F25" s="154">
        <f>+Assumptions!N151</f>
        <v>6.5000000000000002E-2</v>
      </c>
      <c r="G25" s="154">
        <f>+Assumptions!O151</f>
        <v>0.06</v>
      </c>
      <c r="H25" s="154">
        <f>+Assumptions!P151</f>
        <v>6.5000000000000002E-2</v>
      </c>
      <c r="I25" s="41"/>
      <c r="J25" s="41"/>
      <c r="K25" s="41"/>
      <c r="L25" s="41"/>
      <c r="M25" s="41"/>
      <c r="N25" s="41"/>
    </row>
    <row r="26" spans="2:19" ht="15.5">
      <c r="B26" s="137" t="s">
        <v>260</v>
      </c>
      <c r="C26" s="137"/>
      <c r="D26" s="137"/>
      <c r="E26" s="36">
        <f ca="1">+SUM(F26:H26)</f>
        <v>811278753.50375783</v>
      </c>
      <c r="F26" s="129">
        <f ca="1">+PV(F25,F24,-F23)</f>
        <v>343166639.20000958</v>
      </c>
      <c r="G26" s="129">
        <f ca="1">+PV(G25,G24,-G23)</f>
        <v>105196930.73549654</v>
      </c>
      <c r="H26" s="129">
        <f ca="1">+PV(H25,H24,-H23)</f>
        <v>362915183.56825167</v>
      </c>
      <c r="I26" s="41"/>
      <c r="J26" s="41"/>
      <c r="K26" s="41"/>
      <c r="L26" s="41"/>
      <c r="M26" s="41"/>
      <c r="N26" s="41"/>
    </row>
    <row r="27" spans="2:19" ht="5.25" customHeight="1">
      <c r="B27" s="5"/>
      <c r="D27" s="3"/>
      <c r="E27" s="2"/>
      <c r="I27" s="41"/>
      <c r="J27" s="41"/>
      <c r="K27" s="41"/>
      <c r="L27" s="41"/>
      <c r="M27" s="41"/>
      <c r="N27" s="41"/>
    </row>
    <row r="28" spans="2:19" ht="15.5">
      <c r="B28" s="35" t="s">
        <v>263</v>
      </c>
      <c r="C28" s="35"/>
      <c r="D28" s="35"/>
      <c r="E28" s="36">
        <f ca="1">+SUM(F28:H28)</f>
        <v>717302609.09463477</v>
      </c>
      <c r="F28" s="36">
        <f ca="1">+MIN(F26,F13)</f>
        <v>318032343.41816425</v>
      </c>
      <c r="G28" s="36">
        <f ca="1">+MIN(G26,G13)</f>
        <v>66234502.341733627</v>
      </c>
      <c r="H28" s="36">
        <f ca="1">+MIN(H26,H13)</f>
        <v>333035763.33473682</v>
      </c>
      <c r="I28" s="41"/>
      <c r="J28" s="41"/>
      <c r="K28" s="41"/>
      <c r="L28" s="41"/>
      <c r="M28" s="41"/>
      <c r="N28" s="41"/>
    </row>
    <row r="29" spans="2:19" ht="15.25">
      <c r="B29" s="5"/>
      <c r="D29" s="3"/>
      <c r="E29" s="2"/>
      <c r="I29" s="41"/>
      <c r="J29" s="41"/>
      <c r="K29" s="41"/>
      <c r="L29" s="41"/>
      <c r="M29" s="41"/>
      <c r="N29" s="41"/>
    </row>
    <row r="30" spans="2:19" ht="15.5">
      <c r="B30" s="161" t="s">
        <v>158</v>
      </c>
      <c r="C30" s="158"/>
      <c r="D30" s="159"/>
      <c r="E30" s="160"/>
      <c r="F30" s="162" t="str">
        <f ca="1">+F$3</f>
        <v>I</v>
      </c>
      <c r="G30" s="162" t="str">
        <f ca="1">+G$3</f>
        <v>II</v>
      </c>
      <c r="H30" s="162" t="str">
        <f ca="1">+H$3</f>
        <v>III</v>
      </c>
      <c r="I30" s="41"/>
      <c r="J30" s="41"/>
      <c r="K30" s="41"/>
      <c r="L30" s="41"/>
      <c r="M30" s="41"/>
      <c r="N30" s="41"/>
    </row>
    <row r="31" spans="2:19" ht="15.5">
      <c r="B31" s="33" t="s">
        <v>299</v>
      </c>
      <c r="C31" s="33"/>
      <c r="D31" s="40"/>
      <c r="E31" s="48">
        <f ca="1">+SUM(F31:H31)</f>
        <v>6.0297282922065936</v>
      </c>
      <c r="F31" s="813">
        <f ca="1">+IFERROR(INDEX('Phase I Pro Forma'!$F$208:$Z$208,1,MATCH(1,'Phase I Pro Forma'!$F$3:$Z$3,0)),0)</f>
        <v>2.0099094307355312</v>
      </c>
      <c r="G31" s="34">
        <f ca="1">+IFERROR(INDEX('Phase I Pro Forma'!$F$208:$Z$208,1,MATCH(1,'Phase I Pro Forma'!$F$3:$Z$3,0)),0)</f>
        <v>2.0099094307355312</v>
      </c>
      <c r="H31" s="34">
        <f ca="1">+IFERROR(INDEX('Phase I Pro Forma'!$F$208:$Z$208,1,MATCH(1,'Phase I Pro Forma'!$F$3:$Z$3,0)),0)</f>
        <v>2.0099094307355312</v>
      </c>
      <c r="I31" s="41"/>
      <c r="J31" s="116">
        <f ca="1">+F31/$F$63</f>
        <v>3.7918962609499822E-9</v>
      </c>
      <c r="K31" s="41"/>
      <c r="L31" s="116">
        <f ca="1">+G31/$G$63</f>
        <v>1.2735640981289997E-8</v>
      </c>
      <c r="M31" s="41"/>
      <c r="N31" s="116">
        <f ca="1">+H31/$H$63</f>
        <v>3.621069527185884E-9</v>
      </c>
      <c r="O31" s="34"/>
      <c r="S31" s="116"/>
    </row>
    <row r="32" spans="2:19" ht="15.5">
      <c r="B32" s="33"/>
      <c r="C32" s="33"/>
      <c r="D32" s="40"/>
      <c r="E32" s="48"/>
      <c r="F32" s="34"/>
      <c r="G32" s="34"/>
      <c r="H32" s="34"/>
      <c r="I32" s="41"/>
      <c r="J32" s="41"/>
      <c r="K32" s="41"/>
      <c r="L32" s="41"/>
      <c r="M32" s="41"/>
      <c r="N32" s="41"/>
    </row>
    <row r="33" spans="2:19" ht="15.5">
      <c r="B33" s="33" t="s">
        <v>173</v>
      </c>
      <c r="C33" s="33"/>
      <c r="D33" s="44"/>
      <c r="E33" s="152"/>
      <c r="F33" s="153">
        <f>+Assumptions!N155</f>
        <v>0.6</v>
      </c>
      <c r="G33" s="153">
        <f>+Assumptions!O155</f>
        <v>0.6</v>
      </c>
      <c r="H33" s="153">
        <f>+Assumptions!P155</f>
        <v>0.6</v>
      </c>
      <c r="I33" s="41"/>
      <c r="J33" s="41"/>
      <c r="K33" s="41"/>
      <c r="L33" s="41"/>
      <c r="M33" s="41"/>
      <c r="N33" s="41"/>
    </row>
    <row r="34" spans="2:19" ht="15.5">
      <c r="B34" s="137" t="s">
        <v>256</v>
      </c>
      <c r="C34" s="137"/>
      <c r="D34" s="137"/>
      <c r="E34" s="36">
        <f ca="1">+SUM(F34:H34)</f>
        <v>3.6178369753239559</v>
      </c>
      <c r="F34" s="129">
        <f ca="1">+F33*SUM(F31)</f>
        <v>1.2059456584413186</v>
      </c>
      <c r="G34" s="129">
        <f ca="1">+G33*SUM(G31)</f>
        <v>1.2059456584413186</v>
      </c>
      <c r="H34" s="129">
        <f ca="1">+H33*SUM(H31)</f>
        <v>1.2059456584413186</v>
      </c>
      <c r="I34" s="41"/>
      <c r="J34" s="41"/>
      <c r="K34" s="41"/>
      <c r="L34" s="41"/>
      <c r="M34" s="41"/>
      <c r="N34" s="41"/>
    </row>
    <row r="35" spans="2:19" ht="15.25">
      <c r="B35" s="6"/>
      <c r="D35" s="4"/>
      <c r="I35" s="41"/>
      <c r="J35" s="41"/>
      <c r="K35" s="41"/>
      <c r="L35" s="41"/>
      <c r="M35" s="41"/>
      <c r="N35" s="41"/>
    </row>
    <row r="36" spans="2:19" ht="15.5">
      <c r="B36" s="33" t="s">
        <v>298</v>
      </c>
      <c r="C36" s="33"/>
      <c r="D36" s="40"/>
      <c r="E36" s="48">
        <f ca="1">+SUM(F36:H36)</f>
        <v>0.1688748443436546</v>
      </c>
      <c r="F36" s="34">
        <f ca="1">+INDEX('Phase I Pro Forma'!$F$206:$Z$206,1,MATCH(1,'Phase I Pro Forma'!$F$3:$Z$3,0))</f>
        <v>0.14391872945884249</v>
      </c>
      <c r="G36" s="34">
        <f ca="1">+INDEX('Phase II Pro Forma'!$F$207:$Z$207,1,MATCH(1,'Phase II Pro Forma'!$F$3:$Z$3,0))</f>
        <v>1.2189700491353636E-2</v>
      </c>
      <c r="H36" s="34">
        <f ca="1">+INDEX('Phase III Pro Forma'!$F$206:$Z$206,1,MATCH(1,'Phase III Pro Forma'!$F$3:$Z$3,0))</f>
        <v>1.2766414393458473E-2</v>
      </c>
      <c r="I36" s="116">
        <f ca="1">+F36/$F$62</f>
        <v>4.2127728635558456E-9</v>
      </c>
      <c r="J36" s="41"/>
      <c r="K36" s="116">
        <f ca="1">+G36/$G$62</f>
        <v>8.8785880024761921E-10</v>
      </c>
      <c r="L36" s="41"/>
      <c r="M36" s="116">
        <f ca="1">+H36/$H$62</f>
        <v>3.5336179304792943E-10</v>
      </c>
      <c r="N36" s="41"/>
      <c r="O36" s="34"/>
      <c r="R36" s="116"/>
    </row>
    <row r="37" spans="2:19" ht="15.25">
      <c r="B37" s="6"/>
      <c r="D37" s="4"/>
      <c r="I37" s="41"/>
      <c r="J37" s="41"/>
      <c r="K37" s="41"/>
      <c r="L37" s="41"/>
      <c r="M37" s="41"/>
      <c r="N37" s="41"/>
    </row>
    <row r="38" spans="2:19" ht="15.5">
      <c r="B38" s="33" t="s">
        <v>172</v>
      </c>
      <c r="C38" s="33"/>
      <c r="D38" s="44"/>
      <c r="E38" s="152"/>
      <c r="F38" s="114">
        <f>+Assumptions!N156</f>
        <v>1.3</v>
      </c>
      <c r="G38" s="114">
        <f>+Assumptions!O156</f>
        <v>1.3</v>
      </c>
      <c r="H38" s="114">
        <f>+Assumptions!P156</f>
        <v>1.3</v>
      </c>
      <c r="I38" s="41"/>
      <c r="J38" s="41"/>
      <c r="K38" s="41"/>
      <c r="L38" s="41"/>
      <c r="M38" s="41"/>
      <c r="N38" s="41"/>
    </row>
    <row r="39" spans="2:19" ht="15.5">
      <c r="B39" s="33" t="s">
        <v>262</v>
      </c>
      <c r="C39" s="33"/>
      <c r="D39" s="44"/>
      <c r="E39" s="48"/>
      <c r="F39" s="34">
        <f ca="1">+SUM(F36)/F38</f>
        <v>0.11070671496834036</v>
      </c>
      <c r="G39" s="34">
        <f ca="1">+SUM(G36)/G38</f>
        <v>9.3766926856566433E-3</v>
      </c>
      <c r="H39" s="34">
        <f ca="1">+SUM(H36)/H38</f>
        <v>9.8203187641988255E-3</v>
      </c>
      <c r="I39" s="41"/>
      <c r="J39" s="41"/>
      <c r="K39" s="41"/>
      <c r="L39" s="41"/>
      <c r="M39" s="41"/>
      <c r="N39" s="41"/>
    </row>
    <row r="40" spans="2:19" ht="15.5">
      <c r="B40" s="33" t="s">
        <v>156</v>
      </c>
      <c r="C40" s="33"/>
      <c r="D40" s="44"/>
      <c r="E40" s="152"/>
      <c r="F40" s="163" t="s">
        <v>161</v>
      </c>
      <c r="G40" s="163" t="s">
        <v>161</v>
      </c>
      <c r="H40" s="163" t="s">
        <v>161</v>
      </c>
      <c r="I40" s="41"/>
      <c r="J40" s="41"/>
      <c r="K40" s="41"/>
      <c r="L40" s="41"/>
      <c r="M40" s="41"/>
      <c r="N40" s="41"/>
    </row>
    <row r="41" spans="2:19" ht="15.5">
      <c r="B41" s="33" t="s">
        <v>149</v>
      </c>
      <c r="C41" s="33"/>
      <c r="D41" s="44"/>
      <c r="E41" s="152"/>
      <c r="F41" s="154">
        <f>+Assumptions!N157</f>
        <v>6.5000000000000002E-2</v>
      </c>
      <c r="G41" s="154">
        <f>+Assumptions!O157</f>
        <v>6.5000000000000002E-2</v>
      </c>
      <c r="H41" s="154">
        <f>+Assumptions!P157</f>
        <v>6.5000000000000002E-2</v>
      </c>
      <c r="I41" s="41"/>
      <c r="J41" s="41"/>
      <c r="K41" s="41"/>
      <c r="L41" s="41"/>
      <c r="M41" s="41"/>
      <c r="N41" s="41"/>
    </row>
    <row r="42" spans="2:19" ht="15.5">
      <c r="B42" s="137" t="s">
        <v>260</v>
      </c>
      <c r="C42" s="137"/>
      <c r="D42" s="137"/>
      <c r="E42" s="36">
        <f ca="1">+SUM(F42:H42)</f>
        <v>1.9985188679722437</v>
      </c>
      <c r="F42" s="129">
        <f ca="1">+F39/F41</f>
        <v>1.7031802302821595</v>
      </c>
      <c r="G42" s="129">
        <f ca="1">+G39/G41</f>
        <v>0.14425681054856374</v>
      </c>
      <c r="H42" s="129">
        <f ca="1">+H39/H41</f>
        <v>0.15108182714152038</v>
      </c>
      <c r="I42" s="41"/>
      <c r="J42" s="41"/>
      <c r="K42" s="41"/>
      <c r="L42" s="41"/>
      <c r="M42" s="41"/>
      <c r="N42" s="41"/>
    </row>
    <row r="43" spans="2:19" ht="15.25">
      <c r="B43" s="5"/>
      <c r="D43" s="3"/>
      <c r="E43" s="2"/>
      <c r="I43" s="41"/>
      <c r="J43" s="41"/>
      <c r="K43" s="41"/>
      <c r="L43" s="41"/>
      <c r="M43" s="41"/>
      <c r="N43" s="41"/>
    </row>
    <row r="44" spans="2:19" ht="15.5">
      <c r="B44" s="35" t="s">
        <v>263</v>
      </c>
      <c r="C44" s="35"/>
      <c r="D44" s="35"/>
      <c r="E44" s="36">
        <f ca="1">+SUM(F44:H44)</f>
        <v>1.5012842961314028</v>
      </c>
      <c r="F44" s="36">
        <f ca="1">+MIN(F42,F34)</f>
        <v>1.2059456584413186</v>
      </c>
      <c r="G44" s="36">
        <f ca="1">+MIN(G42,G34)</f>
        <v>0.14425681054856374</v>
      </c>
      <c r="H44" s="36">
        <f ca="1">+MIN(H42,H34)</f>
        <v>0.15108182714152038</v>
      </c>
      <c r="I44" s="41"/>
      <c r="J44" s="41"/>
      <c r="K44" s="41"/>
      <c r="L44" s="41"/>
      <c r="M44" s="41"/>
      <c r="N44" s="41"/>
    </row>
    <row r="45" spans="2:19" ht="15.25">
      <c r="B45" s="6"/>
      <c r="I45" s="41"/>
      <c r="J45" s="41"/>
      <c r="K45" s="41"/>
      <c r="L45" s="41"/>
      <c r="M45" s="41"/>
      <c r="N45" s="41"/>
    </row>
    <row r="46" spans="2:19" ht="15.5">
      <c r="B46" s="161" t="s">
        <v>246</v>
      </c>
      <c r="C46" s="158"/>
      <c r="D46" s="159"/>
      <c r="E46" s="160"/>
      <c r="F46" s="162" t="str">
        <f ca="1">+F$3</f>
        <v>I</v>
      </c>
      <c r="G46" s="162" t="str">
        <f ca="1">+G$3</f>
        <v>II</v>
      </c>
      <c r="H46" s="162" t="str">
        <f ca="1">+H$3</f>
        <v>III</v>
      </c>
      <c r="I46" s="41"/>
      <c r="J46" s="41"/>
      <c r="K46" s="41"/>
      <c r="L46" s="41"/>
      <c r="M46" s="41"/>
      <c r="N46" s="41"/>
      <c r="R46" s="41"/>
      <c r="S46" s="116"/>
    </row>
    <row r="47" spans="2:19" ht="15.5">
      <c r="B47" s="33" t="s">
        <v>824</v>
      </c>
      <c r="C47" s="33"/>
      <c r="D47" s="40"/>
      <c r="E47" s="48">
        <f ca="1">+SUM(F47:H47)</f>
        <v>47426850</v>
      </c>
      <c r="F47" s="34">
        <f ca="1">+INDEX('Phase I Pro Forma'!$F$253:$Z$253,1,MATCH(1,'Phase I Pro Forma'!$F$3:$Z$3,0))</f>
        <v>0</v>
      </c>
      <c r="G47" s="34">
        <f>+INDEX('Phase II Pro Forma'!$F$255:$Z$255,1,MATCH(1,'Phase II Pro Forma'!$F$3:$Z$3,0))</f>
        <v>47426850</v>
      </c>
      <c r="H47" s="34">
        <f ca="1">+INDEX('Phase III Pro Forma'!$F$253:$Z$253,1,MATCH(1,'Phase III Pro Forma'!$F$3:$Z$3,0))</f>
        <v>0</v>
      </c>
      <c r="I47" s="41"/>
      <c r="J47" s="116">
        <f ca="1">+F47/$F$63</f>
        <v>0</v>
      </c>
      <c r="K47" s="41"/>
      <c r="L47" s="116">
        <f ca="1">+G47/$G$63</f>
        <v>0.30051669256184049</v>
      </c>
      <c r="M47" s="41"/>
      <c r="N47" s="116">
        <f ca="1">+H47/$H$63</f>
        <v>0</v>
      </c>
      <c r="O47" s="34"/>
      <c r="R47" s="41"/>
      <c r="S47" s="41"/>
    </row>
    <row r="48" spans="2:19" ht="15.5">
      <c r="B48" s="33"/>
      <c r="C48" s="33"/>
      <c r="D48" s="40"/>
      <c r="E48" s="48"/>
      <c r="F48" s="34"/>
      <c r="G48" s="34"/>
      <c r="H48" s="34"/>
      <c r="I48" s="41"/>
      <c r="J48" s="41"/>
      <c r="K48" s="41"/>
      <c r="L48" s="41"/>
      <c r="M48" s="41"/>
      <c r="N48" s="41"/>
      <c r="R48" s="41"/>
      <c r="S48" s="41"/>
    </row>
    <row r="49" spans="2:19" ht="15.5">
      <c r="B49" s="33" t="s">
        <v>173</v>
      </c>
      <c r="C49" s="33"/>
      <c r="D49" s="44"/>
      <c r="E49" s="152"/>
      <c r="F49" s="153">
        <f>+Assumptions!N161</f>
        <v>0.6</v>
      </c>
      <c r="G49" s="153">
        <f>+Assumptions!O161</f>
        <v>0.6</v>
      </c>
      <c r="H49" s="153">
        <f>+Assumptions!P161</f>
        <v>0.6</v>
      </c>
      <c r="I49" s="41"/>
      <c r="J49" s="41"/>
      <c r="K49" s="41"/>
      <c r="L49" s="41"/>
      <c r="M49" s="41"/>
      <c r="N49" s="41"/>
      <c r="R49" s="41"/>
      <c r="S49" s="41"/>
    </row>
    <row r="50" spans="2:19" ht="15.5">
      <c r="B50" s="137" t="s">
        <v>256</v>
      </c>
      <c r="C50" s="137"/>
      <c r="D50" s="137"/>
      <c r="E50" s="36">
        <f ca="1">+SUM(F50:H50)</f>
        <v>28456110</v>
      </c>
      <c r="F50" s="129">
        <f ca="1">+F49*SUM(F47)</f>
        <v>0</v>
      </c>
      <c r="G50" s="129">
        <f>+G49*SUM(G47)</f>
        <v>28456110</v>
      </c>
      <c r="H50" s="129">
        <f ca="1">+H49*SUM(H47)</f>
        <v>0</v>
      </c>
      <c r="I50" s="41"/>
      <c r="J50" s="41"/>
      <c r="K50" s="41"/>
      <c r="L50" s="41"/>
      <c r="M50" s="41"/>
      <c r="N50" s="41"/>
      <c r="R50" s="41"/>
      <c r="S50" s="41"/>
    </row>
    <row r="51" spans="2:19" ht="15.25">
      <c r="B51" s="6"/>
      <c r="D51" s="4"/>
      <c r="I51" s="41"/>
      <c r="J51" s="41"/>
      <c r="K51" s="41"/>
      <c r="L51" s="41"/>
      <c r="M51" s="41"/>
      <c r="N51" s="41"/>
      <c r="R51" s="116"/>
      <c r="S51" s="41"/>
    </row>
    <row r="52" spans="2:19" ht="15.5">
      <c r="B52" s="33" t="s">
        <v>825</v>
      </c>
      <c r="C52" s="33"/>
      <c r="D52" s="40"/>
      <c r="E52" s="48">
        <f ca="1">+SUM(F52:H52)</f>
        <v>3794148</v>
      </c>
      <c r="F52" s="34">
        <f ca="1">+INDEX('Phase I Pro Forma'!$F$251:$Z$251,1,MATCH(1,'Phase I Pro Forma'!$F$3:$Z$3,0))</f>
        <v>0</v>
      </c>
      <c r="G52" s="34">
        <f>+INDEX('Phase II Pro Forma'!$F$253:$Z$253,1,MATCH(1,'Phase II Pro Forma'!$F$3:$Z$3,0))</f>
        <v>3794148</v>
      </c>
      <c r="H52" s="34">
        <f ca="1">+INDEX('Phase III Pro Forma'!$F$251:$Z$251,1,MATCH(1,'Phase III Pro Forma'!$F$3:$Z$3,0))</f>
        <v>0</v>
      </c>
      <c r="I52" s="819">
        <v>0</v>
      </c>
      <c r="J52" s="817"/>
      <c r="K52" s="819">
        <v>0</v>
      </c>
      <c r="L52" s="41"/>
      <c r="M52" s="116">
        <f ca="1">+H52/$H$62</f>
        <v>0</v>
      </c>
      <c r="N52" s="41"/>
      <c r="O52" s="34"/>
    </row>
    <row r="53" spans="2:19" ht="15.25">
      <c r="B53" s="6"/>
      <c r="D53" s="4"/>
      <c r="I53" s="41"/>
      <c r="J53" s="41"/>
      <c r="K53" s="41"/>
      <c r="L53" s="41"/>
      <c r="M53" s="41"/>
      <c r="N53" s="41"/>
    </row>
    <row r="54" spans="2:19" ht="15.5">
      <c r="B54" s="33" t="s">
        <v>172</v>
      </c>
      <c r="C54" s="33"/>
      <c r="D54" s="44"/>
      <c r="E54" s="152"/>
      <c r="F54" s="114">
        <f>+Assumptions!N162</f>
        <v>1.3</v>
      </c>
      <c r="G54" s="114">
        <f>+Assumptions!O162</f>
        <v>1.3</v>
      </c>
      <c r="H54" s="114">
        <f>+Assumptions!P162</f>
        <v>1.3</v>
      </c>
      <c r="I54" s="41"/>
      <c r="J54" s="41"/>
      <c r="K54" s="41"/>
      <c r="L54" s="41"/>
      <c r="M54" s="41"/>
      <c r="N54" s="41"/>
    </row>
    <row r="55" spans="2:19" ht="15.5">
      <c r="B55" s="33" t="s">
        <v>262</v>
      </c>
      <c r="C55" s="33"/>
      <c r="D55" s="44"/>
      <c r="E55" s="48"/>
      <c r="F55" s="34">
        <f ca="1">+SUM(F52)/F54</f>
        <v>0</v>
      </c>
      <c r="G55" s="34">
        <f>+SUM(G52)/G54</f>
        <v>2918575.3846153845</v>
      </c>
      <c r="H55" s="34">
        <f ca="1">+SUM(H52)/H54</f>
        <v>0</v>
      </c>
      <c r="I55" s="41"/>
      <c r="J55" s="41"/>
      <c r="K55" s="41"/>
      <c r="L55" s="41"/>
      <c r="M55" s="41"/>
      <c r="N55" s="41"/>
    </row>
    <row r="56" spans="2:19" ht="15.5">
      <c r="B56" s="33" t="s">
        <v>156</v>
      </c>
      <c r="C56" s="33"/>
      <c r="D56" s="44"/>
      <c r="E56" s="152"/>
      <c r="F56" s="163" t="s">
        <v>161</v>
      </c>
      <c r="G56" s="163" t="s">
        <v>161</v>
      </c>
      <c r="H56" s="163" t="s">
        <v>161</v>
      </c>
      <c r="I56" s="41"/>
      <c r="J56" s="41"/>
      <c r="K56" s="41"/>
      <c r="L56" s="41"/>
      <c r="M56" s="41"/>
      <c r="N56" s="41"/>
    </row>
    <row r="57" spans="2:19" ht="15.5">
      <c r="B57" s="33" t="s">
        <v>149</v>
      </c>
      <c r="C57" s="33"/>
      <c r="D57" s="44"/>
      <c r="E57" s="152"/>
      <c r="F57" s="154">
        <f>+Assumptions!N163</f>
        <v>0.06</v>
      </c>
      <c r="G57" s="154">
        <f>+Assumptions!O163</f>
        <v>0.06</v>
      </c>
      <c r="H57" s="154">
        <f>+Assumptions!P163</f>
        <v>0.06</v>
      </c>
      <c r="I57" s="41"/>
      <c r="J57" s="41"/>
      <c r="K57" s="41"/>
      <c r="L57" s="41"/>
      <c r="M57" s="41"/>
      <c r="N57" s="41"/>
    </row>
    <row r="58" spans="2:19" ht="15.5">
      <c r="B58" s="137" t="s">
        <v>260</v>
      </c>
      <c r="C58" s="137"/>
      <c r="D58" s="137"/>
      <c r="E58" s="36">
        <f ca="1">+SUM(F58:H58)</f>
        <v>48642923.07692308</v>
      </c>
      <c r="F58" s="129">
        <f ca="1">+F55/F57</f>
        <v>0</v>
      </c>
      <c r="G58" s="129">
        <f>+G55/G57</f>
        <v>48642923.07692308</v>
      </c>
      <c r="H58" s="129">
        <f ca="1">+H55/H57</f>
        <v>0</v>
      </c>
      <c r="I58" s="41"/>
      <c r="J58" s="41"/>
      <c r="K58" s="41"/>
      <c r="L58" s="41"/>
      <c r="M58" s="41"/>
      <c r="N58" s="41"/>
    </row>
    <row r="59" spans="2:19" ht="15.25">
      <c r="B59" s="5"/>
      <c r="D59" s="3"/>
      <c r="E59" s="2"/>
      <c r="I59" s="41"/>
      <c r="J59" s="41"/>
      <c r="K59" s="41"/>
      <c r="L59" s="41"/>
      <c r="M59" s="41"/>
      <c r="N59" s="41"/>
    </row>
    <row r="60" spans="2:19" ht="15.5">
      <c r="B60" s="35" t="s">
        <v>263</v>
      </c>
      <c r="C60" s="35"/>
      <c r="D60" s="35"/>
      <c r="E60" s="36">
        <f ca="1">+SUM(F60:H60)</f>
        <v>28456110</v>
      </c>
      <c r="F60" s="36">
        <f ca="1">+MIN(F58,F50)</f>
        <v>0</v>
      </c>
      <c r="G60" s="36">
        <f>+MIN(G58,G50)</f>
        <v>28456110</v>
      </c>
      <c r="H60" s="36">
        <f ca="1">+MIN(H58,H50)</f>
        <v>0</v>
      </c>
      <c r="I60" s="41"/>
      <c r="J60" s="41"/>
      <c r="K60" s="41"/>
      <c r="L60" s="41"/>
      <c r="M60" s="41"/>
      <c r="N60" s="41"/>
    </row>
    <row r="61" spans="2:19" ht="15.25">
      <c r="B61" s="1"/>
      <c r="D61" s="4"/>
      <c r="I61" s="41"/>
      <c r="J61" s="41"/>
      <c r="K61" s="41"/>
      <c r="L61" s="41"/>
      <c r="M61" s="41"/>
      <c r="N61" s="41"/>
    </row>
    <row r="62" spans="2:19" ht="17.5">
      <c r="B62" s="166" t="s">
        <v>304</v>
      </c>
      <c r="C62" s="166"/>
      <c r="D62" s="166"/>
      <c r="E62" s="139">
        <f ca="1">+SUM(F62:H62)</f>
        <v>84020245.437011868</v>
      </c>
      <c r="F62" s="167">
        <f ca="1">+SUM(F15:F20,F36,F52)</f>
        <v>34162470.686199315</v>
      </c>
      <c r="G62" s="167">
        <f ca="1">+SUM(G15:G20,G36,G52)</f>
        <v>13729323.275225729</v>
      </c>
      <c r="H62" s="167">
        <f ca="1">+SUM(H15:H20,H36,H52)</f>
        <v>36128451.475586817</v>
      </c>
      <c r="I62" s="168">
        <f ca="1">+SUM(I5:I61)</f>
        <v>1</v>
      </c>
      <c r="K62" s="168">
        <f ca="1">+SUM(K5:K61)</f>
        <v>0.72364639363933791</v>
      </c>
      <c r="M62" s="168">
        <f ca="1">+SUM(M5:M61)</f>
        <v>0.99999999999999978</v>
      </c>
    </row>
    <row r="63" spans="2:19" ht="16" customHeight="1">
      <c r="B63" s="166" t="s">
        <v>303</v>
      </c>
      <c r="C63" s="166"/>
      <c r="D63" s="166"/>
      <c r="E63" s="139">
        <f ca="1">+SUM(F63:H63)</f>
        <v>1242931204.5207863</v>
      </c>
      <c r="F63" s="167">
        <f ca="1">+SUM(F5:F10,F31,F47)</f>
        <v>530053907.70684987</v>
      </c>
      <c r="G63" s="167">
        <f ca="1">+SUM(G5:G10,G31,G47)</f>
        <v>157817689.24613214</v>
      </c>
      <c r="H63" s="167">
        <f ca="1">+SUM(H5:H10,H31,H47)</f>
        <v>555059607.5678041</v>
      </c>
      <c r="J63" s="168">
        <f ca="1">+SUM(J5:J61)</f>
        <v>0.99999999999999989</v>
      </c>
      <c r="L63" s="168">
        <f ca="1">+SUM(L5:L61)</f>
        <v>0.99999999999999933</v>
      </c>
      <c r="N63" s="168">
        <f ca="1">+SUM(N5:N61)</f>
        <v>0.99999999999999989</v>
      </c>
    </row>
    <row r="64" spans="2:19" ht="16" customHeight="1">
      <c r="B64" s="166" t="s">
        <v>334</v>
      </c>
      <c r="C64" s="166"/>
      <c r="D64" s="166"/>
      <c r="E64" s="139">
        <f ca="1">+SUM(F64:H64)</f>
        <v>745758720.59591913</v>
      </c>
      <c r="F64" s="167">
        <f ca="1">+F60+F44+F28</f>
        <v>318032344.62410992</v>
      </c>
      <c r="G64" s="167">
        <f ca="1">+G60+G44+G28</f>
        <v>94690612.485990435</v>
      </c>
      <c r="H64" s="167">
        <f ca="1">+H60+H44+H28</f>
        <v>333035763.48581862</v>
      </c>
    </row>
    <row r="65" spans="2:18" ht="16" customHeight="1">
      <c r="B65" s="979" t="s">
        <v>305</v>
      </c>
      <c r="C65" s="979"/>
      <c r="D65" s="979"/>
      <c r="E65" s="979"/>
      <c r="F65" s="979"/>
      <c r="G65" s="979"/>
      <c r="H65" s="979"/>
    </row>
    <row r="66" spans="2:18" ht="16" customHeight="1">
      <c r="B66" s="1"/>
      <c r="D66" s="4"/>
    </row>
    <row r="67" spans="2:18" ht="21" customHeight="1" thickBot="1">
      <c r="B67" s="119" t="s">
        <v>673</v>
      </c>
      <c r="C67" s="41"/>
      <c r="D67" s="41"/>
      <c r="E67" s="545" t="s">
        <v>597</v>
      </c>
      <c r="F67" s="545" t="s">
        <v>598</v>
      </c>
      <c r="G67" s="545" t="s">
        <v>167</v>
      </c>
      <c r="H67" s="545" t="s">
        <v>218</v>
      </c>
      <c r="J67" s="978" t="s">
        <v>673</v>
      </c>
      <c r="K67" s="978"/>
      <c r="L67" s="978"/>
      <c r="M67" s="978"/>
      <c r="N67" s="978"/>
      <c r="O67" s="978"/>
      <c r="P67" s="978"/>
      <c r="Q67" s="978"/>
      <c r="R67" s="978"/>
    </row>
    <row r="68" spans="2:18" ht="16" customHeight="1">
      <c r="B68" s="41" t="s">
        <v>136</v>
      </c>
      <c r="C68" s="41"/>
      <c r="D68" s="41"/>
      <c r="E68" s="34">
        <f ca="1">-Budget!$M$82</f>
        <v>-148157529.52253115</v>
      </c>
      <c r="F68" s="544">
        <f ca="1">+'S&amp;U'!$Q$20*'Loan Sizing'!E68/'Loan Sizing'!$E$76+G68</f>
        <v>117594477.41195181</v>
      </c>
      <c r="G68" s="34">
        <f>+'S&amp;U'!$G$20</f>
        <v>96262500</v>
      </c>
      <c r="H68" s="42">
        <f>+Budget!$G$11</f>
        <v>637020.01392000006</v>
      </c>
    </row>
    <row r="69" spans="2:18" ht="16" customHeight="1">
      <c r="B69" s="41" t="s">
        <v>804</v>
      </c>
      <c r="C69" s="41"/>
      <c r="D69" s="41"/>
      <c r="E69" s="34">
        <f ca="1">-Budget!$N$82</f>
        <v>-205326467.77184102</v>
      </c>
      <c r="F69" s="544">
        <f ca="1">+'S&amp;U'!$Q$20*'Loan Sizing'!E69/'Loan Sizing'!$E$76+G69</f>
        <v>38768199.256374128</v>
      </c>
      <c r="G69" s="34">
        <f>+'S&amp;U'!$G$22</f>
        <v>9204939.2134974767</v>
      </c>
      <c r="H69" s="42">
        <f>+Budget!$G$12</f>
        <v>770400.0111</v>
      </c>
    </row>
    <row r="70" spans="2:18" ht="16" customHeight="1">
      <c r="B70" s="41" t="s">
        <v>25</v>
      </c>
      <c r="C70" s="41"/>
      <c r="D70" s="41"/>
      <c r="E70" s="34">
        <f ca="1">-Budget!$O$82</f>
        <v>-118606191.98180567</v>
      </c>
      <c r="F70" s="544">
        <f ca="1">+'S&amp;U'!$Q$20*'Loan Sizing'!E70/'Loan Sizing'!$E$76+G70</f>
        <v>17077124.709269203</v>
      </c>
      <c r="G70" s="34">
        <v>0</v>
      </c>
      <c r="H70" s="42">
        <f>+Budget!$G$13</f>
        <v>473726.40000239998</v>
      </c>
    </row>
    <row r="71" spans="2:18" ht="16" customHeight="1">
      <c r="B71" s="41" t="s">
        <v>26</v>
      </c>
      <c r="C71" s="41"/>
      <c r="D71" s="41"/>
      <c r="E71" s="34">
        <f ca="1">-Budget!$P$82</f>
        <v>-1.992883407324024</v>
      </c>
      <c r="F71" s="544">
        <f ca="1">+'S&amp;U'!$Q$20*'Loan Sizing'!E71/'Loan Sizing'!$E$76+G71</f>
        <v>0.28693880065828559</v>
      </c>
      <c r="G71" s="34">
        <v>0</v>
      </c>
      <c r="H71" s="42">
        <f>+Budget!$G$14</f>
        <v>6.4799999999999996E-3</v>
      </c>
    </row>
    <row r="72" spans="2:18" ht="16" customHeight="1">
      <c r="B72" s="41" t="s">
        <v>827</v>
      </c>
      <c r="C72" s="41"/>
      <c r="D72" s="41"/>
      <c r="E72" s="34">
        <f ca="1">-Budget!$Q$82</f>
        <v>-152883328.49289474</v>
      </c>
      <c r="F72" s="544">
        <f ca="1">+'S&amp;U'!$Q$20*'Loan Sizing'!E72/'Loan Sizing'!$E$76+G72</f>
        <v>22981678.618747454</v>
      </c>
      <c r="G72" s="34">
        <f>+'S&amp;U'!$G$21</f>
        <v>969272.49544966302</v>
      </c>
      <c r="H72" s="42">
        <f>+Budget!$G$15</f>
        <v>383346.00002399995</v>
      </c>
    </row>
    <row r="73" spans="2:18" ht="16" customHeight="1">
      <c r="B73" s="41" t="s">
        <v>139</v>
      </c>
      <c r="C73" s="41"/>
      <c r="D73" s="41"/>
      <c r="E73" s="34">
        <f ca="1">-Budget!$R$82</f>
        <v>-287200085.57716095</v>
      </c>
      <c r="F73" s="544">
        <f ca="1">+'S&amp;U'!$Q$20*'Loan Sizing'!E73/'Loan Sizing'!$E$76+G73</f>
        <v>41351565.175166644</v>
      </c>
      <c r="G73" s="34">
        <v>0</v>
      </c>
      <c r="H73" s="42">
        <f>+Budget!$G$16</f>
        <v>1086703.2000024</v>
      </c>
    </row>
    <row r="74" spans="2:18" ht="16" customHeight="1">
      <c r="B74" s="41" t="s">
        <v>710</v>
      </c>
      <c r="C74" s="41"/>
      <c r="D74" s="41"/>
      <c r="E74" s="34">
        <f ca="1">-Budget!$S$82</f>
        <v>-54292568.802947931</v>
      </c>
      <c r="F74" s="544">
        <f ca="1">+'S&amp;U'!$Q$20*'Loan Sizing'!E74/'Loan Sizing'!$E$76+G74</f>
        <v>7817137.9819423584</v>
      </c>
      <c r="G74" s="34">
        <v>0</v>
      </c>
      <c r="H74" s="42">
        <f>+Budget!$G$17</f>
        <v>168628.80012120001</v>
      </c>
    </row>
    <row r="75" spans="2:18" ht="16" customHeight="1">
      <c r="B75" s="41" t="s">
        <v>212</v>
      </c>
      <c r="C75" s="41"/>
      <c r="D75" s="41"/>
      <c r="E75" s="34">
        <f ca="1">-Budget!$T$82-Budget!$U$82</f>
        <v>-87154872.981037393</v>
      </c>
      <c r="F75" s="544">
        <f ca="1">+'S&amp;U'!$Q$20*'Loan Sizing'!E75/'Loan Sizing'!$E$76+G75</f>
        <v>12548709.389017461</v>
      </c>
      <c r="G75" s="34">
        <v>0</v>
      </c>
      <c r="H75" s="42">
        <f>+Budget!$G$18+Budget!$G$19</f>
        <v>801096.00035999995</v>
      </c>
    </row>
    <row r="76" spans="2:18" ht="16" customHeight="1">
      <c r="B76" s="119" t="s">
        <v>17</v>
      </c>
      <c r="C76" s="41"/>
      <c r="D76" s="41"/>
      <c r="E76" s="34">
        <f ca="1">+SUM(E68:E75)</f>
        <v>-1053621047.1231022</v>
      </c>
      <c r="F76" s="34">
        <f ca="1">+SUM(F68:F75)</f>
        <v>258138892.82940781</v>
      </c>
      <c r="G76" s="34">
        <f>+SUM(G68:G75)</f>
        <v>106436711.70894714</v>
      </c>
      <c r="H76" s="41"/>
    </row>
    <row r="77" spans="2:18" ht="16" customHeight="1">
      <c r="B77" s="41"/>
      <c r="C77" s="41"/>
      <c r="D77" s="41"/>
      <c r="E77" s="34"/>
      <c r="F77" s="544"/>
      <c r="G77" s="41"/>
      <c r="H77" s="41"/>
    </row>
    <row r="78" spans="2:18" ht="16" customHeight="1">
      <c r="B78" s="119"/>
      <c r="C78" s="41"/>
      <c r="D78" s="41"/>
      <c r="E78" s="545" t="s">
        <v>240</v>
      </c>
      <c r="F78" s="545" t="s">
        <v>676</v>
      </c>
      <c r="G78" s="545" t="s">
        <v>599</v>
      </c>
      <c r="H78" s="41"/>
    </row>
    <row r="79" spans="2:18" ht="16" customHeight="1">
      <c r="B79" s="41" t="str">
        <f t="shared" ref="B79:B86" si="8">+B68</f>
        <v>Affordable Residential</v>
      </c>
      <c r="C79" s="41"/>
      <c r="D79" s="41"/>
      <c r="E79" s="116">
        <f ca="1">-$E$15/E68</f>
        <v>5.384708126173901E-2</v>
      </c>
      <c r="F79" s="116">
        <f ca="1">-$E$15/SUM(E68:F68)</f>
        <v>0.26102924874367223</v>
      </c>
      <c r="G79" s="116">
        <f>+Assumptions!M128</f>
        <v>7.4999999999999997E-2</v>
      </c>
      <c r="H79" s="116"/>
    </row>
    <row r="80" spans="2:18" ht="16" customHeight="1">
      <c r="B80" s="41" t="str">
        <f t="shared" si="8"/>
        <v>Multifamily</v>
      </c>
      <c r="C80" s="41"/>
      <c r="D80" s="41"/>
      <c r="E80" s="116">
        <f ca="1">-$E$16/E69</f>
        <v>6.6247806836704018E-2</v>
      </c>
      <c r="F80" s="116">
        <f ca="1">-$E$16/SUM(E69:F69)</f>
        <v>8.1667684808746144E-2</v>
      </c>
      <c r="G80" s="116">
        <f>+Assumptions!M129</f>
        <v>6.5000000000000002E-2</v>
      </c>
      <c r="H80" s="116"/>
    </row>
    <row r="81" spans="2:18" ht="16" customHeight="1">
      <c r="B81" s="41" t="str">
        <f t="shared" si="8"/>
        <v>Retail</v>
      </c>
      <c r="C81" s="41"/>
      <c r="D81" s="41"/>
      <c r="E81" s="116">
        <f ca="1">-$E$17/E70</f>
        <v>0.13799090927935395</v>
      </c>
      <c r="F81" s="116">
        <f ca="1">-$E$17/SUM(E70:F70)</f>
        <v>0.16120089268423851</v>
      </c>
      <c r="G81" s="116">
        <f>+Assumptions!M130</f>
        <v>0.06</v>
      </c>
      <c r="H81" s="116"/>
    </row>
    <row r="82" spans="2:18" ht="16" customHeight="1">
      <c r="B82" s="41" t="str">
        <f t="shared" si="8"/>
        <v>Hotel</v>
      </c>
      <c r="C82" s="41"/>
      <c r="D82" s="41"/>
      <c r="E82" s="116">
        <f ca="1">-$E$36/E71</f>
        <v>8.4738948461823962E-2</v>
      </c>
      <c r="F82" s="116">
        <f ca="1">-$E$36/SUM(E71:F71)</f>
        <v>9.8991985838109822E-2</v>
      </c>
      <c r="G82" s="116">
        <f>+Assumptions!M131</f>
        <v>0.08</v>
      </c>
      <c r="H82" s="116"/>
    </row>
    <row r="83" spans="2:18" ht="16" customHeight="1">
      <c r="B83" s="41" t="str">
        <f t="shared" si="8"/>
        <v>Gallery &amp; Museum Facility</v>
      </c>
      <c r="C83" s="41"/>
      <c r="D83" s="41"/>
      <c r="E83" s="116">
        <f ca="1">-$E$18/E72</f>
        <v>6.4985339463365627E-2</v>
      </c>
      <c r="F83" s="116">
        <f ca="1">-$E$18/SUM(E72:F72)</f>
        <v>7.6482284944229012E-2</v>
      </c>
      <c r="G83" s="116">
        <f>+Assumptions!M132</f>
        <v>0.09</v>
      </c>
      <c r="H83" s="116"/>
    </row>
    <row r="84" spans="2:18" ht="16" customHeight="1">
      <c r="B84" s="41" t="str">
        <f t="shared" si="8"/>
        <v>Office</v>
      </c>
      <c r="C84" s="41"/>
      <c r="D84" s="41"/>
      <c r="E84" s="116">
        <f ca="1">-$E$19/E73</f>
        <v>0.10975659331449772</v>
      </c>
      <c r="F84" s="116">
        <f ca="1">-$E$19/SUM(E73:F73)</f>
        <v>0.12821758268481201</v>
      </c>
      <c r="G84" s="116">
        <f>+Assumptions!M133</f>
        <v>6.5000000000000002E-2</v>
      </c>
      <c r="H84" s="116"/>
    </row>
    <row r="85" spans="2:18" ht="16" customHeight="1">
      <c r="B85" s="41" t="str">
        <f t="shared" si="8"/>
        <v>School</v>
      </c>
      <c r="C85" s="41"/>
      <c r="D85" s="41"/>
      <c r="E85" s="116">
        <f ca="1">-$E$52/E74</f>
        <v>6.9883376006220368E-2</v>
      </c>
      <c r="F85" s="116">
        <f ca="1">-$E$52/SUM(E74:F74)</f>
        <v>8.1637715519253515E-2</v>
      </c>
      <c r="G85" s="116">
        <f>+Assumptions!M134</f>
        <v>0.08</v>
      </c>
      <c r="H85" s="116"/>
    </row>
    <row r="86" spans="2:18" ht="16" customHeight="1">
      <c r="B86" s="41" t="str">
        <f t="shared" si="8"/>
        <v>Parking</v>
      </c>
      <c r="C86" s="41"/>
      <c r="D86" s="41"/>
      <c r="E86" s="116">
        <f ca="1">-$E$20/E75</f>
        <v>9.43107668177765E-3</v>
      </c>
      <c r="F86" s="116">
        <f ca="1">-$E$20/SUM(E75:F75)</f>
        <v>1.1017377796955559E-2</v>
      </c>
      <c r="G86" s="116">
        <f>+Assumptions!M135</f>
        <v>7.0000000000000007E-2</v>
      </c>
      <c r="H86" s="116"/>
    </row>
    <row r="87" spans="2:18" ht="16" customHeight="1">
      <c r="B87" s="119"/>
      <c r="C87" s="41"/>
      <c r="D87" s="41"/>
      <c r="E87" s="34"/>
      <c r="F87" s="34"/>
      <c r="G87" s="34"/>
      <c r="H87" s="41"/>
    </row>
    <row r="88" spans="2:18" ht="16" customHeight="1">
      <c r="B88" s="119"/>
      <c r="C88" s="41"/>
      <c r="D88" s="41"/>
      <c r="E88" s="545" t="s">
        <v>677</v>
      </c>
    </row>
    <row r="89" spans="2:18" ht="16" customHeight="1">
      <c r="B89" s="41" t="s">
        <v>375</v>
      </c>
      <c r="C89" s="41"/>
      <c r="D89" s="41"/>
      <c r="E89" s="116">
        <f ca="1">+'Cash Flow Roll-up'!$C$58</f>
        <v>0.15581331388884045</v>
      </c>
    </row>
    <row r="90" spans="2:18" ht="16" customHeight="1">
      <c r="B90" s="41" t="s">
        <v>678</v>
      </c>
      <c r="C90" s="41"/>
      <c r="D90" s="41"/>
      <c r="E90" s="116">
        <f ca="1">+'Cash Flow Roll-up'!$D$58</f>
        <v>0.28068633693696654</v>
      </c>
    </row>
    <row r="91" spans="2:18" ht="16" customHeight="1">
      <c r="B91" s="41" t="s">
        <v>679</v>
      </c>
      <c r="C91" s="41"/>
      <c r="D91" s="41"/>
      <c r="E91" s="116">
        <f ca="1">+'Cash Flow Roll-up'!$E$58</f>
        <v>0.39367920567822051</v>
      </c>
    </row>
    <row r="96" spans="2:18" ht="16" customHeight="1" thickBot="1">
      <c r="B96" s="119" t="s">
        <v>21</v>
      </c>
      <c r="C96" s="41"/>
      <c r="D96" s="41"/>
      <c r="E96" s="545" t="s">
        <v>597</v>
      </c>
      <c r="F96" s="545" t="s">
        <v>598</v>
      </c>
      <c r="G96" s="545" t="s">
        <v>167</v>
      </c>
      <c r="H96" s="545" t="s">
        <v>218</v>
      </c>
      <c r="J96" s="978" t="s">
        <v>21</v>
      </c>
      <c r="K96" s="978"/>
      <c r="L96" s="978"/>
      <c r="M96" s="978"/>
      <c r="N96" s="978"/>
      <c r="O96" s="978"/>
      <c r="P96" s="978"/>
      <c r="Q96" s="978"/>
      <c r="R96" s="978"/>
    </row>
    <row r="97" spans="1:8" ht="16" customHeight="1">
      <c r="A97" s="208">
        <v>0</v>
      </c>
      <c r="B97" s="41" t="s">
        <v>136</v>
      </c>
      <c r="C97" s="41"/>
      <c r="D97" s="41"/>
      <c r="E97" s="34">
        <f ca="1">-OFFSET(Budget!$Y$82,0,'Loan Sizing'!A97)</f>
        <v>-146915610.99507448</v>
      </c>
      <c r="F97" s="34">
        <f ca="1">+'S&amp;U'!$R$20*'Loan Sizing'!E97/'Loan Sizing'!$E$105+G97</f>
        <v>50349080.206405424</v>
      </c>
      <c r="G97" s="34">
        <f>+'S&amp;U'!$H$20</f>
        <v>32087500</v>
      </c>
      <c r="H97" s="42">
        <f>+Budget!$H$11</f>
        <v>637020</v>
      </c>
    </row>
    <row r="98" spans="1:8" ht="16" customHeight="1">
      <c r="A98" s="208">
        <f>+A97+1</f>
        <v>1</v>
      </c>
      <c r="B98" s="41" t="s">
        <v>804</v>
      </c>
      <c r="C98" s="41"/>
      <c r="D98" s="41"/>
      <c r="E98" s="34">
        <f ca="1">-OFFSET(Budget!$Y$82,0,'Loan Sizing'!A98)</f>
        <v>-70919757.965741664</v>
      </c>
      <c r="F98" s="34">
        <f ca="1">+'S&amp;U'!$R$20*'Loan Sizing'!E98/'Loan Sizing'!$E$105+G98</f>
        <v>18020250.530915417</v>
      </c>
      <c r="G98" s="34">
        <f>+'S&amp;U'!$H$22</f>
        <v>9204939.2134974767</v>
      </c>
      <c r="H98" s="42">
        <f>+Budget!$H$12</f>
        <v>292560.00215999997</v>
      </c>
    </row>
    <row r="99" spans="1:8" ht="16" customHeight="1">
      <c r="A99" s="208">
        <f t="shared" ref="A99:A104" si="9">+A98+1</f>
        <v>2</v>
      </c>
      <c r="B99" s="41" t="s">
        <v>25</v>
      </c>
      <c r="C99" s="41"/>
      <c r="D99" s="41"/>
      <c r="E99" s="34">
        <f ca="1">-OFFSET(Budget!$Y$82,0,'Loan Sizing'!A99)</f>
        <v>-115421455.6684929</v>
      </c>
      <c r="F99" s="34">
        <f ca="1">+'S&amp;U'!$R$20*'Loan Sizing'!E99/'Loan Sizing'!$E$105+G99</f>
        <v>14346863.181890976</v>
      </c>
      <c r="G99" s="34">
        <v>0</v>
      </c>
      <c r="H99" s="42">
        <f>+Budget!$H$13</f>
        <v>473726.39999999997</v>
      </c>
    </row>
    <row r="100" spans="1:8" ht="16" customHeight="1">
      <c r="A100" s="208">
        <f t="shared" si="9"/>
        <v>3</v>
      </c>
      <c r="B100" s="41" t="s">
        <v>26</v>
      </c>
      <c r="C100" s="41"/>
      <c r="D100" s="41"/>
      <c r="E100" s="34">
        <f ca="1">-OFFSET(Budget!$Y$82,0,'Loan Sizing'!A100)</f>
        <v>-1.3799636256941901</v>
      </c>
      <c r="F100" s="34">
        <f ca="1">+'S&amp;U'!$R$20*'Loan Sizing'!E100/'Loan Sizing'!$E$105+G100</f>
        <v>0.17152919462984334</v>
      </c>
      <c r="G100" s="34">
        <v>0</v>
      </c>
      <c r="H100" s="42">
        <f>+Budget!$H$14</f>
        <v>5.4000000000000003E-3</v>
      </c>
    </row>
    <row r="101" spans="1:8" ht="16" customHeight="1">
      <c r="A101" s="208">
        <f t="shared" si="9"/>
        <v>4</v>
      </c>
      <c r="B101" s="41" t="s">
        <v>827</v>
      </c>
      <c r="C101" s="41"/>
      <c r="D101" s="41"/>
      <c r="E101" s="34">
        <f ca="1">-OFFSET(Budget!$Y$82,0,'Loan Sizing'!A101)</f>
        <v>-2.6150250836785797E-3</v>
      </c>
      <c r="F101" s="34">
        <f ca="1">+'S&amp;U'!$R$20*'Loan Sizing'!E101/'Loan Sizing'!$E$105+G101</f>
        <v>266062.02032504702</v>
      </c>
      <c r="G101" s="34">
        <f>+'S&amp;U'!$H$21</f>
        <v>266062.01999999996</v>
      </c>
      <c r="H101" s="42">
        <f>+Budget!$H$15</f>
        <v>1.2E-5</v>
      </c>
    </row>
    <row r="102" spans="1:8" ht="16" customHeight="1">
      <c r="A102" s="208">
        <f t="shared" si="9"/>
        <v>5</v>
      </c>
      <c r="B102" s="41" t="s">
        <v>139</v>
      </c>
      <c r="C102" s="41"/>
      <c r="D102" s="41"/>
      <c r="E102" s="34">
        <f ca="1">-OFFSET(Budget!$Y$82,0,'Loan Sizing'!A102)</f>
        <v>-54712835.859267443</v>
      </c>
      <c r="F102" s="34">
        <f ca="1">+'S&amp;U'!$R$20*'Loan Sizing'!E102/'Loan Sizing'!$E$105+G102</f>
        <v>6800794.2355248053</v>
      </c>
      <c r="G102" s="34">
        <v>0</v>
      </c>
      <c r="H102" s="42">
        <f>+Budget!$H$16</f>
        <v>232240.8</v>
      </c>
    </row>
    <row r="103" spans="1:8" ht="16" customHeight="1">
      <c r="A103" s="208">
        <f t="shared" si="9"/>
        <v>6</v>
      </c>
      <c r="B103" s="41" t="s">
        <v>710</v>
      </c>
      <c r="C103" s="41"/>
      <c r="D103" s="41"/>
      <c r="E103" s="34">
        <f ca="1">-OFFSET(Budget!$Y$82,0,'Loan Sizing'!A103)</f>
        <v>-1.7330250836785797E-4</v>
      </c>
      <c r="F103" s="34">
        <f ca="1">+'S&amp;U'!$R$20*'Loan Sizing'!E103/'Loan Sizing'!$E$105+G103</f>
        <v>2.1541466118511995E-5</v>
      </c>
      <c r="G103" s="34">
        <v>0</v>
      </c>
      <c r="H103" s="42">
        <f>+Budget!$H$17</f>
        <v>1.1999999999999999E-6</v>
      </c>
    </row>
    <row r="104" spans="1:8" ht="16" customHeight="1">
      <c r="A104" s="208">
        <f t="shared" si="9"/>
        <v>7</v>
      </c>
      <c r="B104" s="41" t="s">
        <v>212</v>
      </c>
      <c r="C104" s="41"/>
      <c r="D104" s="41"/>
      <c r="E104" s="34">
        <f ca="1">-Budget!$AF$82-Budget!$AG$82</f>
        <v>-28562022.661566302</v>
      </c>
      <c r="F104" s="34">
        <f ca="1">+'S&amp;U'!$R$20*'Loan Sizing'!E104/'Loan Sizing'!$E$105+G104</f>
        <v>3550253.537786731</v>
      </c>
      <c r="G104" s="34">
        <v>0</v>
      </c>
      <c r="H104" s="42">
        <f>+Budget!$H$18+Budget!$H$19</f>
        <v>293102.39999999997</v>
      </c>
    </row>
    <row r="105" spans="1:8" ht="16" customHeight="1">
      <c r="B105" s="119" t="s">
        <v>17</v>
      </c>
      <c r="C105" s="41"/>
      <c r="D105" s="41"/>
      <c r="E105" s="34">
        <f ca="1">+SUM(E97:E104)</f>
        <v>-416531684.53289479</v>
      </c>
      <c r="F105" s="34">
        <f ca="1">+SUM(F97:F104)</f>
        <v>93333303.884399146</v>
      </c>
      <c r="G105" s="34">
        <f>+SUM(G97:G104)</f>
        <v>41558501.233497478</v>
      </c>
      <c r="H105" s="41"/>
    </row>
    <row r="106" spans="1:8" ht="16" customHeight="1">
      <c r="B106" s="41"/>
      <c r="C106" s="41"/>
      <c r="D106" s="41"/>
      <c r="E106" s="34"/>
      <c r="F106" s="544"/>
      <c r="G106" s="41"/>
      <c r="H106" s="41"/>
    </row>
    <row r="107" spans="1:8" ht="16" customHeight="1">
      <c r="B107" s="119"/>
      <c r="C107" s="41"/>
      <c r="D107" s="41"/>
      <c r="E107" s="545" t="s">
        <v>240</v>
      </c>
      <c r="F107" s="545" t="s">
        <v>676</v>
      </c>
      <c r="G107" s="545" t="s">
        <v>599</v>
      </c>
      <c r="H107" s="41"/>
    </row>
    <row r="108" spans="1:8" ht="16" customHeight="1">
      <c r="B108" s="41" t="str">
        <f t="shared" ref="B108:B115" si="10">+B97</f>
        <v>Affordable Residential</v>
      </c>
      <c r="C108" s="41"/>
      <c r="D108" s="41"/>
      <c r="E108" s="116">
        <f ca="1">-$F$15/E97</f>
        <v>5.4302264685992273E-2</v>
      </c>
      <c r="F108" s="116">
        <f ca="1">-$F$15/SUM(E97:F97)</f>
        <v>8.2615066831156353E-2</v>
      </c>
      <c r="G108" s="116">
        <f>+$G$79</f>
        <v>7.4999999999999997E-2</v>
      </c>
      <c r="H108" s="116"/>
    </row>
    <row r="109" spans="1:8" ht="16" customHeight="1">
      <c r="B109" s="41" t="str">
        <f t="shared" si="10"/>
        <v>Multifamily</v>
      </c>
      <c r="C109" s="41"/>
      <c r="D109" s="41"/>
      <c r="E109" s="116">
        <f ca="1">-$F$16/E98</f>
        <v>5.2465278280782748E-2</v>
      </c>
      <c r="F109" s="116">
        <f ca="1">-$F$16/SUM(E98:F98)</f>
        <v>7.0337608376837182E-2</v>
      </c>
      <c r="G109" s="116">
        <f>+$G$80</f>
        <v>6.5000000000000002E-2</v>
      </c>
      <c r="H109" s="116"/>
    </row>
    <row r="110" spans="1:8" ht="16" customHeight="1">
      <c r="B110" s="41" t="str">
        <f t="shared" si="10"/>
        <v>Retail</v>
      </c>
      <c r="C110" s="41"/>
      <c r="D110" s="41"/>
      <c r="E110" s="116">
        <f ca="1">-$F$17/E99</f>
        <v>0.14179838733490829</v>
      </c>
      <c r="F110" s="116">
        <f ca="1">-$F$17/SUM(E99:F99)</f>
        <v>0.16192572114311909</v>
      </c>
      <c r="G110" s="116">
        <f>+$G$81</f>
        <v>0.06</v>
      </c>
      <c r="H110" s="116"/>
    </row>
    <row r="111" spans="1:8" ht="16" customHeight="1">
      <c r="B111" s="41" t="str">
        <f t="shared" si="10"/>
        <v>Hotel</v>
      </c>
      <c r="C111" s="41"/>
      <c r="D111" s="41"/>
      <c r="E111" s="116">
        <f ca="1">-$F$36/E100</f>
        <v>0.10429168333074304</v>
      </c>
      <c r="F111" s="116">
        <f ca="1">-$F$36/SUM(E100:F100)</f>
        <v>0.11909519106641468</v>
      </c>
      <c r="G111" s="116">
        <f>+$G$82</f>
        <v>0.08</v>
      </c>
      <c r="H111" s="116"/>
    </row>
    <row r="112" spans="1:8" ht="16" customHeight="1">
      <c r="B112" s="41" t="str">
        <f t="shared" si="10"/>
        <v>Gallery &amp; Museum Facility</v>
      </c>
      <c r="C112" s="41"/>
      <c r="D112" s="41"/>
      <c r="E112" s="116">
        <f ca="1">-$F$18/E101</f>
        <v>0</v>
      </c>
      <c r="F112" s="116">
        <f ca="1">-$F$18/SUM(E101:F101)</f>
        <v>0</v>
      </c>
      <c r="G112" s="116">
        <f>+$G$83</f>
        <v>0.09</v>
      </c>
      <c r="H112" s="116"/>
    </row>
    <row r="113" spans="1:18" ht="16" customHeight="1">
      <c r="B113" s="41" t="str">
        <f t="shared" si="10"/>
        <v>Office</v>
      </c>
      <c r="C113" s="41"/>
      <c r="D113" s="41"/>
      <c r="E113" s="116">
        <f ca="1">-$F$19/E102</f>
        <v>0.10910299099127926</v>
      </c>
      <c r="F113" s="116">
        <f ca="1">-$F$19/SUM(E102:F102)</f>
        <v>0.12458943170776748</v>
      </c>
      <c r="G113" s="116">
        <f>+$G$84</f>
        <v>6.5000000000000002E-2</v>
      </c>
      <c r="H113" s="116"/>
    </row>
    <row r="114" spans="1:18" ht="16" customHeight="1">
      <c r="B114" s="41" t="str">
        <f t="shared" si="10"/>
        <v>School</v>
      </c>
      <c r="C114" s="41"/>
      <c r="D114" s="41"/>
      <c r="E114" s="116">
        <v>0</v>
      </c>
      <c r="F114" s="116">
        <v>0</v>
      </c>
      <c r="G114" s="116">
        <v>0</v>
      </c>
      <c r="H114" s="116"/>
    </row>
    <row r="115" spans="1:18" ht="16" customHeight="1">
      <c r="B115" s="41" t="str">
        <f t="shared" si="10"/>
        <v>Parking</v>
      </c>
      <c r="C115" s="41"/>
      <c r="D115" s="41"/>
      <c r="E115" s="116">
        <f ca="1">-$F$20/E104</f>
        <v>4.4774488227880488E-3</v>
      </c>
      <c r="F115" s="116">
        <f ca="1">-$F$20/SUM(E104:F104)</f>
        <v>5.1129927719063602E-3</v>
      </c>
      <c r="G115" s="116">
        <f>+$G$86</f>
        <v>7.0000000000000007E-2</v>
      </c>
      <c r="H115" s="116"/>
    </row>
    <row r="116" spans="1:18" ht="16" customHeight="1">
      <c r="B116" s="119"/>
      <c r="C116" s="41"/>
      <c r="D116" s="41"/>
      <c r="E116" s="34"/>
      <c r="F116" s="34"/>
      <c r="G116" s="34"/>
      <c r="H116" s="41"/>
    </row>
    <row r="117" spans="1:18" ht="16" customHeight="1">
      <c r="B117" s="119"/>
      <c r="C117" s="41"/>
      <c r="D117" s="41"/>
      <c r="E117" s="545" t="s">
        <v>677</v>
      </c>
    </row>
    <row r="118" spans="1:18" ht="16" customHeight="1">
      <c r="B118" s="41" t="s">
        <v>375</v>
      </c>
      <c r="C118" s="41"/>
      <c r="D118" s="41"/>
      <c r="E118" s="116">
        <f ca="1">+'Cash Flow Roll-up'!C55</f>
        <v>0.14466080366738621</v>
      </c>
    </row>
    <row r="119" spans="1:18" ht="16" customHeight="1">
      <c r="B119" s="41" t="s">
        <v>678</v>
      </c>
      <c r="C119" s="41"/>
      <c r="D119" s="41"/>
      <c r="E119" s="116">
        <f ca="1">+'Cash Flow Roll-up'!D55</f>
        <v>0.26008083120371395</v>
      </c>
    </row>
    <row r="120" spans="1:18" ht="16" customHeight="1">
      <c r="B120" s="41" t="s">
        <v>679</v>
      </c>
      <c r="C120" s="41"/>
      <c r="D120" s="41"/>
      <c r="E120" s="116">
        <f ca="1">+'Cash Flow Roll-up'!E55</f>
        <v>0.37369436990935456</v>
      </c>
    </row>
    <row r="125" spans="1:18" ht="16" customHeight="1" thickBot="1">
      <c r="B125" s="119" t="s">
        <v>357</v>
      </c>
      <c r="C125" s="41"/>
      <c r="D125" s="41"/>
      <c r="E125" s="545" t="s">
        <v>597</v>
      </c>
      <c r="F125" s="545" t="s">
        <v>598</v>
      </c>
      <c r="G125" s="545" t="s">
        <v>167</v>
      </c>
      <c r="H125" s="545" t="s">
        <v>218</v>
      </c>
      <c r="J125" s="978" t="s">
        <v>357</v>
      </c>
      <c r="K125" s="978"/>
      <c r="L125" s="978"/>
      <c r="M125" s="978"/>
      <c r="N125" s="978"/>
      <c r="O125" s="978"/>
      <c r="P125" s="978"/>
      <c r="Q125" s="978"/>
      <c r="R125" s="978"/>
    </row>
    <row r="126" spans="1:18" ht="16" customHeight="1">
      <c r="A126" s="208">
        <v>0</v>
      </c>
      <c r="B126" s="41" t="s">
        <v>136</v>
      </c>
      <c r="C126" s="41"/>
      <c r="D126" s="41"/>
      <c r="E126" s="34">
        <f ca="1">-OFFSET(Budget!$AJ$82,0,'Loan Sizing'!A126)</f>
        <v>-2.7565106980025256</v>
      </c>
      <c r="F126" s="544">
        <f ca="1">+'S&amp;U'!$S$20*'Loan Sizing'!E126/'Loan Sizing'!$E$134+G126</f>
        <v>32087500.212452963</v>
      </c>
      <c r="G126" s="34">
        <f>+'S&amp;U'!$I$20</f>
        <v>32087500</v>
      </c>
      <c r="H126" s="42">
        <f>+Budget!$I$11</f>
        <v>6.9599999999999992E-3</v>
      </c>
    </row>
    <row r="127" spans="1:18" ht="16" customHeight="1">
      <c r="A127" s="208">
        <f>+A126+1</f>
        <v>1</v>
      </c>
      <c r="B127" s="41" t="s">
        <v>804</v>
      </c>
      <c r="C127" s="41"/>
      <c r="D127" s="41"/>
      <c r="E127" s="34">
        <f ca="1">-OFFSET(Budget!$AJ$82,0,'Loan Sizing'!A127)</f>
        <v>-3.743988815825114</v>
      </c>
      <c r="F127" s="34">
        <f ca="1">+'S&amp;U'!$S$20*'Loan Sizing'!E127/'Loan Sizing'!$E$134+G127</f>
        <v>0.28856101126114969</v>
      </c>
      <c r="G127" s="34">
        <f>+'S&amp;U'!$I$22</f>
        <v>0</v>
      </c>
      <c r="H127" s="42">
        <f>+Budget!$I$12</f>
        <v>8.94E-3</v>
      </c>
    </row>
    <row r="128" spans="1:18" ht="16" customHeight="1">
      <c r="A128" s="208">
        <f t="shared" ref="A128:A133" si="11">+A127+1</f>
        <v>2</v>
      </c>
      <c r="B128" s="41" t="s">
        <v>25</v>
      </c>
      <c r="C128" s="41"/>
      <c r="D128" s="41"/>
      <c r="E128" s="34">
        <f ca="1">-OFFSET(Budget!$AJ$82,0,'Loan Sizing'!A128)</f>
        <v>-5.0487642666966436E-4</v>
      </c>
      <c r="F128" s="34">
        <f ca="1">+'S&amp;U'!$S$20*'Loan Sizing'!E128/'Loan Sizing'!$E$134+G128</f>
        <v>3.8912416518425649E-5</v>
      </c>
      <c r="G128" s="34">
        <v>0</v>
      </c>
      <c r="H128" s="42">
        <f>+Budget!$I$13</f>
        <v>1.1999999999999999E-6</v>
      </c>
    </row>
    <row r="129" spans="1:8" ht="16" customHeight="1">
      <c r="A129" s="208">
        <f t="shared" si="11"/>
        <v>3</v>
      </c>
      <c r="B129" s="41" t="s">
        <v>26</v>
      </c>
      <c r="C129" s="41"/>
      <c r="D129" s="41"/>
      <c r="E129" s="34">
        <f ca="1">-OFFSET(Budget!$AJ$82,0,'Loan Sizing'!A129)</f>
        <v>-0.33860308650127713</v>
      </c>
      <c r="F129" s="34">
        <f ca="1">+'S&amp;U'!$S$20*'Loan Sizing'!E129/'Loan Sizing'!$E$134+G129</f>
        <v>2.6097206445693376E-2</v>
      </c>
      <c r="G129" s="34">
        <v>0</v>
      </c>
      <c r="H129" s="42">
        <f>+Budget!$I$14</f>
        <v>5.4000000000000001E-4</v>
      </c>
    </row>
    <row r="130" spans="1:8" ht="16" customHeight="1">
      <c r="A130" s="208">
        <f t="shared" si="11"/>
        <v>4</v>
      </c>
      <c r="B130" s="41" t="s">
        <v>827</v>
      </c>
      <c r="C130" s="41"/>
      <c r="D130" s="41"/>
      <c r="E130" s="34">
        <f ca="1">-OFFSET(Budget!$AJ$82,0,'Loan Sizing'!A130)</f>
        <v>-153264536.60766536</v>
      </c>
      <c r="F130" s="34">
        <f ca="1">+'S&amp;U'!$S$20*'Loan Sizing'!E130/'Loan Sizing'!$E$134+G130</f>
        <v>12227796.994202113</v>
      </c>
      <c r="G130" s="34">
        <f>+'S&amp;U'!$I$21</f>
        <v>415216.38844709995</v>
      </c>
      <c r="H130" s="42">
        <f>+Budget!$I$15</f>
        <v>383346</v>
      </c>
    </row>
    <row r="131" spans="1:8" ht="16" customHeight="1">
      <c r="A131" s="208">
        <f t="shared" si="11"/>
        <v>5</v>
      </c>
      <c r="B131" s="41" t="s">
        <v>139</v>
      </c>
      <c r="C131" s="41"/>
      <c r="D131" s="41"/>
      <c r="E131" s="34">
        <f ca="1">-OFFSET(Budget!$AJ$82,0,'Loan Sizing'!A131)</f>
        <v>-4.8909689041376275E-4</v>
      </c>
      <c r="F131" s="34">
        <f ca="1">+'S&amp;U'!$S$20*'Loan Sizing'!E131/'Loan Sizing'!$E$134+G131</f>
        <v>3.7696237955073966E-5</v>
      </c>
      <c r="G131" s="34">
        <v>0</v>
      </c>
      <c r="H131" s="42">
        <f>+Budget!$I$16</f>
        <v>1.1999999999999999E-6</v>
      </c>
    </row>
    <row r="132" spans="1:8" ht="16" customHeight="1">
      <c r="A132" s="208">
        <f t="shared" si="11"/>
        <v>6</v>
      </c>
      <c r="B132" s="41" t="s">
        <v>710</v>
      </c>
      <c r="C132" s="41"/>
      <c r="D132" s="41"/>
      <c r="E132" s="34">
        <f ca="1">-OFFSET(Budget!$AJ$82,0,'Loan Sizing'!A132)</f>
        <v>-54456345.971739314</v>
      </c>
      <c r="F132" s="34">
        <f ca="1">+'S&amp;U'!$S$20*'Loan Sizing'!E132/'Loan Sizing'!$E$134+G132</f>
        <v>4197122.116597197</v>
      </c>
      <c r="G132" s="34">
        <v>0</v>
      </c>
      <c r="H132" s="42">
        <f>+Budget!$I$17</f>
        <v>168628.8</v>
      </c>
    </row>
    <row r="133" spans="1:8" ht="16" customHeight="1">
      <c r="A133" s="208">
        <f t="shared" si="11"/>
        <v>7</v>
      </c>
      <c r="B133" s="41" t="s">
        <v>212</v>
      </c>
      <c r="C133" s="41"/>
      <c r="D133" s="41"/>
      <c r="E133" s="34">
        <f ca="1">-Budget!AQ82-Budget!AR82</f>
        <v>-9.2957857464262106E-2</v>
      </c>
      <c r="F133" s="34">
        <f ca="1">+'S&amp;U'!$S$20*'Loan Sizing'!E133/'Loan Sizing'!$E$134+G133</f>
        <v>7.1645548835983135E-3</v>
      </c>
      <c r="G133" s="34">
        <v>0</v>
      </c>
      <c r="H133" s="42">
        <f>+Budget!$I$18+Budget!$I$19</f>
        <v>3.5999999999999997E-4</v>
      </c>
    </row>
    <row r="134" spans="1:8" ht="16" customHeight="1">
      <c r="B134" s="119" t="s">
        <v>17</v>
      </c>
      <c r="C134" s="41"/>
      <c r="D134" s="41"/>
      <c r="E134" s="34">
        <f ca="1">+SUM(E126:E133)</f>
        <v>-207720889.5124591</v>
      </c>
      <c r="F134" s="34">
        <f ca="1">+SUM(F126:F133)</f>
        <v>48512419.64515166</v>
      </c>
      <c r="G134" s="34">
        <f>+SUM(G126:G133)</f>
        <v>32502716.388447098</v>
      </c>
      <c r="H134" s="41"/>
    </row>
    <row r="135" spans="1:8" ht="16" customHeight="1">
      <c r="B135" s="41"/>
      <c r="C135" s="41"/>
      <c r="D135" s="41"/>
      <c r="E135" s="34"/>
      <c r="F135" s="544"/>
      <c r="G135" s="41"/>
      <c r="H135" s="41"/>
    </row>
    <row r="136" spans="1:8" ht="16" customHeight="1">
      <c r="B136" s="119"/>
      <c r="C136" s="41"/>
      <c r="D136" s="41"/>
      <c r="E136" s="545" t="s">
        <v>240</v>
      </c>
      <c r="F136" s="545" t="s">
        <v>676</v>
      </c>
      <c r="G136" s="545" t="s">
        <v>599</v>
      </c>
      <c r="H136" s="41"/>
    </row>
    <row r="137" spans="1:8" ht="16" customHeight="1">
      <c r="B137" s="41" t="str">
        <f t="shared" ref="B137:B144" si="12">+B126</f>
        <v>Affordable Residential</v>
      </c>
      <c r="C137" s="41"/>
      <c r="D137" s="41"/>
      <c r="E137" s="116">
        <f ca="1">-$G$15/E126</f>
        <v>2.5342156498584345E-2</v>
      </c>
      <c r="F137" s="116">
        <f ca="1">-$G$15/SUM(E126:F126)</f>
        <v>-2.177044987528792E-9</v>
      </c>
      <c r="G137" s="116">
        <f>+$G$79</f>
        <v>7.4999999999999997E-2</v>
      </c>
      <c r="H137" s="116"/>
    </row>
    <row r="138" spans="1:8" ht="16" customHeight="1">
      <c r="B138" s="41" t="str">
        <f t="shared" si="12"/>
        <v>Multifamily</v>
      </c>
      <c r="C138" s="41"/>
      <c r="D138" s="41"/>
      <c r="E138" s="116">
        <f ca="1">-$G$16/E127</f>
        <v>5.1434626814349092E-2</v>
      </c>
      <c r="F138" s="116">
        <f ca="1">-$G$16/SUM(E127:F127)</f>
        <v>5.5729906231787633E-2</v>
      </c>
      <c r="G138" s="116">
        <f>+$G$80</f>
        <v>6.5000000000000002E-2</v>
      </c>
      <c r="H138" s="116"/>
    </row>
    <row r="139" spans="1:8" ht="16" customHeight="1">
      <c r="B139" s="41" t="str">
        <f t="shared" si="12"/>
        <v>Retail</v>
      </c>
      <c r="C139" s="41"/>
      <c r="D139" s="41"/>
      <c r="E139" s="116">
        <f ca="1">-$G$17/E128</f>
        <v>9.0956324065442851E-2</v>
      </c>
      <c r="F139" s="116">
        <f ca="1">-$G$17/SUM(E128:F128)</f>
        <v>9.8552040236463551E-2</v>
      </c>
      <c r="G139" s="116">
        <f>+$G$81</f>
        <v>0.06</v>
      </c>
      <c r="H139" s="116"/>
    </row>
    <row r="140" spans="1:8" ht="16" customHeight="1">
      <c r="B140" s="41" t="str">
        <f t="shared" si="12"/>
        <v>Hotel</v>
      </c>
      <c r="C140" s="41"/>
      <c r="D140" s="41"/>
      <c r="E140" s="116">
        <f ca="1">-$G$36/E129</f>
        <v>3.5999968627892766E-2</v>
      </c>
      <c r="F140" s="116">
        <f ca="1">-$G$36/SUM(E129:F129)</f>
        <v>3.900630762270943E-2</v>
      </c>
      <c r="G140" s="116">
        <f>+$G$82</f>
        <v>0.08</v>
      </c>
      <c r="H140" s="116"/>
    </row>
    <row r="141" spans="1:8" ht="16" customHeight="1">
      <c r="B141" s="41" t="str">
        <f t="shared" si="12"/>
        <v>Gallery &amp; Museum Facility</v>
      </c>
      <c r="C141" s="41"/>
      <c r="D141" s="41"/>
      <c r="E141" s="694">
        <v>0</v>
      </c>
      <c r="F141" s="116">
        <v>0</v>
      </c>
      <c r="G141" s="116">
        <v>0</v>
      </c>
      <c r="H141" s="116"/>
    </row>
    <row r="142" spans="1:8" ht="16" customHeight="1">
      <c r="B142" s="41" t="str">
        <f t="shared" si="12"/>
        <v>Office</v>
      </c>
      <c r="C142" s="41"/>
      <c r="D142" s="41"/>
      <c r="E142" s="116">
        <f ca="1">-$G$19/E131</f>
        <v>6.6651883555508773E-2</v>
      </c>
      <c r="F142" s="116">
        <f ca="1">-$G$19/SUM(E131:F131)</f>
        <v>7.2217948311900065E-2</v>
      </c>
      <c r="G142" s="116">
        <f>+$G$84</f>
        <v>6.5000000000000002E-2</v>
      </c>
      <c r="H142" s="116"/>
    </row>
    <row r="143" spans="1:8" ht="16" customHeight="1">
      <c r="B143" s="41" t="str">
        <f t="shared" si="12"/>
        <v>School</v>
      </c>
      <c r="C143" s="41"/>
      <c r="D143" s="41"/>
      <c r="E143" s="116">
        <v>0</v>
      </c>
      <c r="F143" s="116">
        <v>0</v>
      </c>
      <c r="G143" s="116">
        <v>0</v>
      </c>
      <c r="H143" s="116"/>
    </row>
    <row r="144" spans="1:8" ht="16" customHeight="1">
      <c r="B144" s="41" t="str">
        <f t="shared" si="12"/>
        <v>Parking</v>
      </c>
      <c r="C144" s="41"/>
      <c r="D144" s="41"/>
      <c r="E144" s="116">
        <f ca="1">-$F$20/E133</f>
        <v>1375730.8766678637</v>
      </c>
      <c r="F144" s="116">
        <f ca="1">-$G$20/SUM(E133:F133)</f>
        <v>6.1883213281551169E-3</v>
      </c>
      <c r="G144" s="116">
        <f>+$G$86</f>
        <v>7.0000000000000007E-2</v>
      </c>
      <c r="H144" s="116"/>
    </row>
    <row r="145" spans="1:20" ht="16" customHeight="1">
      <c r="B145" s="119"/>
      <c r="C145" s="41"/>
      <c r="D145" s="41"/>
      <c r="E145" s="34"/>
      <c r="F145" s="34"/>
      <c r="G145" s="34"/>
      <c r="H145" s="41"/>
    </row>
    <row r="146" spans="1:20" ht="16" customHeight="1">
      <c r="B146" s="119"/>
      <c r="C146" s="41"/>
      <c r="D146" s="41"/>
      <c r="E146" s="545" t="s">
        <v>677</v>
      </c>
    </row>
    <row r="147" spans="1:20" ht="16" customHeight="1">
      <c r="B147" s="41" t="s">
        <v>375</v>
      </c>
      <c r="C147" s="41"/>
      <c r="D147" s="41"/>
      <c r="E147" s="116">
        <f ca="1">+'Cash Flow Roll-up'!C56</f>
        <v>0.15590292187162347</v>
      </c>
    </row>
    <row r="148" spans="1:20" ht="16" customHeight="1">
      <c r="B148" s="41" t="s">
        <v>678</v>
      </c>
      <c r="C148" s="41"/>
      <c r="D148" s="41"/>
      <c r="E148" s="116">
        <f ca="1">+'Cash Flow Roll-up'!D56</f>
        <v>0.32546783189453388</v>
      </c>
    </row>
    <row r="149" spans="1:20" ht="16" customHeight="1">
      <c r="B149" s="41" t="s">
        <v>679</v>
      </c>
      <c r="C149" s="41"/>
      <c r="D149" s="41"/>
      <c r="E149" s="116">
        <f ca="1">+'Cash Flow Roll-up'!E56</f>
        <v>0.54026291475144572</v>
      </c>
    </row>
    <row r="153" spans="1:20" ht="16" customHeight="1">
      <c r="T153" t="s">
        <v>682</v>
      </c>
    </row>
    <row r="154" spans="1:20" ht="16" customHeight="1" thickBot="1">
      <c r="B154" s="119" t="s">
        <v>360</v>
      </c>
      <c r="C154" s="41"/>
      <c r="D154" s="41"/>
      <c r="E154" s="545" t="s">
        <v>597</v>
      </c>
      <c r="F154" s="545" t="s">
        <v>598</v>
      </c>
      <c r="G154" s="545" t="s">
        <v>167</v>
      </c>
      <c r="H154" s="545" t="s">
        <v>218</v>
      </c>
      <c r="J154" s="978" t="s">
        <v>360</v>
      </c>
      <c r="K154" s="978"/>
      <c r="L154" s="978"/>
      <c r="M154" s="978"/>
      <c r="N154" s="978"/>
      <c r="O154" s="978"/>
      <c r="P154" s="978"/>
      <c r="Q154" s="978"/>
      <c r="R154" s="978"/>
    </row>
    <row r="155" spans="1:20" ht="16" customHeight="1">
      <c r="A155" s="208">
        <v>0</v>
      </c>
      <c r="B155" s="41" t="s">
        <v>136</v>
      </c>
      <c r="C155" s="41"/>
      <c r="D155" s="41"/>
      <c r="E155" s="34">
        <f ca="1">-OFFSET(Budget!$AU$82,0,'Loan Sizing'!A155)</f>
        <v>-1.8036161931051151</v>
      </c>
      <c r="F155" s="34">
        <f ca="1">+'S&amp;U'!$T$20*'Loan Sizing'!E155/'Loan Sizing'!$E$163+G155</f>
        <v>32087500.352506734</v>
      </c>
      <c r="G155" s="34">
        <f>+'S&amp;U'!$J$20</f>
        <v>32087500</v>
      </c>
      <c r="H155" s="42">
        <f>+Budget!$J$11</f>
        <v>6.9599999999999992E-3</v>
      </c>
    </row>
    <row r="156" spans="1:20" ht="16" customHeight="1">
      <c r="A156" s="208">
        <f>+A155+1</f>
        <v>1</v>
      </c>
      <c r="B156" s="41" t="s">
        <v>804</v>
      </c>
      <c r="C156" s="41"/>
      <c r="D156" s="41"/>
      <c r="E156" s="34">
        <f ca="1">-OFFSET(Budget!$AU$82,0,'Loan Sizing'!A156)</f>
        <v>-135284075.30232906</v>
      </c>
      <c r="F156" s="34">
        <f ca="1">+'S&amp;U'!$T$20*'Loan Sizing'!E156/'Loan Sizing'!$E$163+G156</f>
        <v>26440518.586087469</v>
      </c>
      <c r="G156" s="34">
        <f>+'S&amp;U'!$J$22</f>
        <v>0</v>
      </c>
      <c r="H156" s="42">
        <f>+Budget!$J$12</f>
        <v>477840</v>
      </c>
    </row>
    <row r="157" spans="1:20" ht="16" customHeight="1">
      <c r="A157" s="208">
        <f t="shared" ref="A157:A162" si="13">+A156+1</f>
        <v>2</v>
      </c>
      <c r="B157" s="41" t="s">
        <v>25</v>
      </c>
      <c r="C157" s="41"/>
      <c r="D157" s="41"/>
      <c r="E157" s="34">
        <f ca="1">-OFFSET(Budget!$AU$82,0,'Loan Sizing'!A157)</f>
        <v>-3.439519127922501E-4</v>
      </c>
      <c r="F157" s="34">
        <f ca="1">+'S&amp;U'!$T$20*'Loan Sizing'!E157/'Loan Sizing'!$E$163+G157</f>
        <v>6.7223484527504155E-5</v>
      </c>
      <c r="G157" s="34">
        <v>0</v>
      </c>
      <c r="H157" s="42">
        <f>+Budget!$J$13</f>
        <v>1.1999999999999999E-6</v>
      </c>
    </row>
    <row r="158" spans="1:20" ht="16" customHeight="1">
      <c r="A158" s="208">
        <f t="shared" si="13"/>
        <v>3</v>
      </c>
      <c r="B158" s="41" t="s">
        <v>26</v>
      </c>
      <c r="C158" s="41"/>
      <c r="D158" s="41"/>
      <c r="E158" s="34">
        <f ca="1">-OFFSET(Budget!$AU$82,0,'Loan Sizing'!A158)</f>
        <v>-0.27822683787623648</v>
      </c>
      <c r="F158" s="34">
        <f ca="1">+'S&amp;U'!$T$20*'Loan Sizing'!E158/'Loan Sizing'!$E$163+G158</f>
        <v>5.4377884917903019E-2</v>
      </c>
      <c r="G158" s="34">
        <v>0</v>
      </c>
      <c r="H158" s="42">
        <f>+Budget!$J$14</f>
        <v>5.4000000000000001E-4</v>
      </c>
    </row>
    <row r="159" spans="1:20" ht="16" customHeight="1">
      <c r="A159" s="208">
        <f t="shared" si="13"/>
        <v>4</v>
      </c>
      <c r="B159" s="41" t="s">
        <v>827</v>
      </c>
      <c r="C159" s="41"/>
      <c r="D159" s="41"/>
      <c r="E159" s="34">
        <f ca="1">-OFFSET(Budget!$AU$82,0,'Loan Sizing'!A159)</f>
        <v>-3.2344966387677443E-3</v>
      </c>
      <c r="F159" s="34">
        <f ca="1">+'S&amp;U'!$T$20*'Loan Sizing'!E159/'Loan Sizing'!$E$163+G159</f>
        <v>287994.08763472753</v>
      </c>
      <c r="G159" s="34">
        <f>+'S&amp;U'!$J$21</f>
        <v>287994.08700256317</v>
      </c>
      <c r="H159" s="42">
        <f>+Budget!$J$15</f>
        <v>1.2E-5</v>
      </c>
    </row>
    <row r="160" spans="1:20" ht="16" customHeight="1">
      <c r="A160" s="208">
        <f t="shared" si="13"/>
        <v>5</v>
      </c>
      <c r="B160" s="41" t="s">
        <v>139</v>
      </c>
      <c r="C160" s="41"/>
      <c r="D160" s="41"/>
      <c r="E160" s="34">
        <f ca="1">-OFFSET(Budget!$AU$82,0,'Loan Sizing'!A160)</f>
        <v>-235412060.87898171</v>
      </c>
      <c r="F160" s="34">
        <f ca="1">+'S&amp;U'!$T$20*'Loan Sizing'!E160/'Loan Sizing'!$E$163+G160</f>
        <v>46009975.358516648</v>
      </c>
      <c r="G160" s="34">
        <v>0</v>
      </c>
      <c r="H160" s="42">
        <f>+Budget!$J$16</f>
        <v>854462.40000120003</v>
      </c>
    </row>
    <row r="161" spans="1:8" ht="16" customHeight="1">
      <c r="A161" s="208">
        <f t="shared" si="13"/>
        <v>6</v>
      </c>
      <c r="B161" s="41" t="s">
        <v>710</v>
      </c>
      <c r="C161" s="41"/>
      <c r="D161" s="41"/>
      <c r="E161" s="34">
        <f ca="1">-OFFSET(Budget!$AU$82,0,'Loan Sizing'!A161)</f>
        <v>-1.9841358976339922E-2</v>
      </c>
      <c r="F161" s="34">
        <f ca="1">+'S&amp;U'!$T$20*'Loan Sizing'!E161/'Loan Sizing'!$E$163+G161</f>
        <v>3.8778830369705555E-3</v>
      </c>
      <c r="G161" s="34">
        <v>0</v>
      </c>
      <c r="H161" s="42">
        <f>+Budget!$J$17</f>
        <v>1.2E-4</v>
      </c>
    </row>
    <row r="162" spans="1:8" ht="16" customHeight="1">
      <c r="A162" s="208">
        <f t="shared" si="13"/>
        <v>7</v>
      </c>
      <c r="B162" s="41" t="s">
        <v>212</v>
      </c>
      <c r="C162" s="41"/>
      <c r="D162" s="41"/>
      <c r="E162" s="34">
        <f ca="1">-Budget!BB82-Budget!BC82</f>
        <v>-58672334.791174605</v>
      </c>
      <c r="F162" s="34">
        <f ca="1">+'S&amp;U'!$T$20*'Loan Sizing'!E162/'Loan Sizing'!$E$163+G162</f>
        <v>11467180.856788477</v>
      </c>
      <c r="G162" s="34">
        <v>0</v>
      </c>
      <c r="H162" s="42">
        <f>+Budget!$J$18+Budget!$J$19</f>
        <v>507993.59999999998</v>
      </c>
    </row>
    <row r="163" spans="1:8" ht="16" customHeight="1">
      <c r="B163" s="119" t="s">
        <v>17</v>
      </c>
      <c r="C163" s="41"/>
      <c r="D163" s="41"/>
      <c r="E163" s="34">
        <f ca="1">+SUM(E155:E162)</f>
        <v>-429368473.07774824</v>
      </c>
      <c r="F163" s="34">
        <f ca="1">+SUM(F155:F162)</f>
        <v>116293169.29985704</v>
      </c>
      <c r="G163" s="34">
        <f>+SUM(G155:G162)</f>
        <v>32375494.087002564</v>
      </c>
      <c r="H163" s="41"/>
    </row>
    <row r="164" spans="1:8" ht="16" customHeight="1">
      <c r="B164" s="41"/>
      <c r="C164" s="41"/>
      <c r="D164" s="41"/>
      <c r="E164" s="34"/>
      <c r="F164" s="544"/>
      <c r="G164" s="41"/>
      <c r="H164" s="41"/>
    </row>
    <row r="165" spans="1:8" ht="16" customHeight="1">
      <c r="B165" s="119"/>
      <c r="C165" s="41"/>
      <c r="D165" s="41"/>
      <c r="E165" s="545" t="s">
        <v>240</v>
      </c>
      <c r="F165" s="545" t="s">
        <v>676</v>
      </c>
      <c r="G165" s="545" t="s">
        <v>599</v>
      </c>
      <c r="H165" s="41"/>
    </row>
    <row r="166" spans="1:8" ht="16" customHeight="1">
      <c r="B166" s="41" t="str">
        <f t="shared" ref="B166:B173" si="14">+B155</f>
        <v>Affordable Residential</v>
      </c>
      <c r="C166" s="41"/>
      <c r="D166" s="41"/>
      <c r="E166" s="116">
        <f ca="1">-$H$15/E155</f>
        <v>3.721606290526993E-2</v>
      </c>
      <c r="F166" s="116">
        <f ca="1">-$H$15/SUM(E155:F155)</f>
        <v>-2.0918892632683671E-9</v>
      </c>
      <c r="G166" s="116">
        <f>+$G$79</f>
        <v>7.4999999999999997E-2</v>
      </c>
      <c r="H166" s="116"/>
    </row>
    <row r="167" spans="1:8" ht="16" customHeight="1">
      <c r="B167" s="41" t="str">
        <f t="shared" si="14"/>
        <v>Multifamily</v>
      </c>
      <c r="C167" s="41"/>
      <c r="D167" s="41"/>
      <c r="E167" s="116">
        <f ca="1">-$H$16/E156</f>
        <v>7.304335801149886E-2</v>
      </c>
      <c r="F167" s="116">
        <f ca="1">-$H$16/SUM(E156:F156)</f>
        <v>9.0787212800517242E-2</v>
      </c>
      <c r="G167" s="116">
        <f>+$G$80</f>
        <v>6.5000000000000002E-2</v>
      </c>
      <c r="H167" s="116"/>
    </row>
    <row r="168" spans="1:8" ht="16" customHeight="1">
      <c r="B168" s="41" t="str">
        <f t="shared" si="14"/>
        <v>Retail</v>
      </c>
      <c r="C168" s="41"/>
      <c r="D168" s="41"/>
      <c r="E168" s="116">
        <f ca="1">-$H$17/E157</f>
        <v>0.13129358119433937</v>
      </c>
      <c r="F168" s="116">
        <f ca="1">-$H$17/SUM(E157:F157)</f>
        <v>0.16318770959785289</v>
      </c>
      <c r="G168" s="116">
        <f>+$G$81</f>
        <v>0.06</v>
      </c>
      <c r="H168" s="116"/>
    </row>
    <row r="169" spans="1:8" ht="16" customHeight="1">
      <c r="B169" s="41" t="str">
        <f t="shared" si="14"/>
        <v>Hotel</v>
      </c>
      <c r="C169" s="41"/>
      <c r="D169" s="41"/>
      <c r="E169" s="116">
        <f ca="1">-$H$36/E158</f>
        <v>4.588491351483983E-2</v>
      </c>
      <c r="F169" s="116">
        <f ca="1">-$H$36/SUM(E158:F158)</f>
        <v>5.7031378636087579E-2</v>
      </c>
      <c r="G169" s="116">
        <f>+$G$82</f>
        <v>0.08</v>
      </c>
      <c r="H169" s="116"/>
    </row>
    <row r="170" spans="1:8" ht="16" customHeight="1">
      <c r="B170" s="41" t="str">
        <f t="shared" si="14"/>
        <v>Gallery &amp; Museum Facility</v>
      </c>
      <c r="C170" s="41"/>
      <c r="D170" s="41"/>
      <c r="E170" s="116">
        <f ca="1">-$H$18/E159</f>
        <v>0.1236668467067535</v>
      </c>
      <c r="F170" s="116">
        <f ca="1">-$H$18/SUM(E159:F159)</f>
        <v>-1.3889174176373442E-9</v>
      </c>
      <c r="G170" s="116">
        <f>+$G$83</f>
        <v>0.09</v>
      </c>
      <c r="H170" s="116"/>
    </row>
    <row r="171" spans="1:8" ht="16" customHeight="1">
      <c r="B171" s="41" t="str">
        <f t="shared" si="14"/>
        <v>Office</v>
      </c>
      <c r="C171" s="41"/>
      <c r="D171" s="41"/>
      <c r="E171" s="116">
        <f ca="1">-$H$19/E160</f>
        <v>0.10854485899863774</v>
      </c>
      <c r="F171" s="116">
        <f ca="1">-$H$19/SUM(E160:F160)</f>
        <v>0.13491281727162815</v>
      </c>
      <c r="G171" s="116">
        <f>+$G$84</f>
        <v>6.5000000000000002E-2</v>
      </c>
      <c r="H171" s="116"/>
    </row>
    <row r="172" spans="1:8" ht="16" customHeight="1">
      <c r="B172" s="41" t="str">
        <f t="shared" si="14"/>
        <v>School</v>
      </c>
      <c r="C172" s="41"/>
      <c r="D172" s="41"/>
      <c r="E172" s="116">
        <f ca="1">-$H$52/E161</f>
        <v>0</v>
      </c>
      <c r="F172" s="116">
        <f ca="1">-$H$52/SUM(E161:F161)</f>
        <v>0</v>
      </c>
      <c r="G172" s="116">
        <f>+$G$85</f>
        <v>0.08</v>
      </c>
      <c r="H172" s="116"/>
    </row>
    <row r="173" spans="1:8" ht="16" customHeight="1">
      <c r="B173" s="41" t="str">
        <f t="shared" si="14"/>
        <v>Parking</v>
      </c>
      <c r="C173" s="41"/>
      <c r="D173" s="41"/>
      <c r="E173" s="116">
        <f ca="1">-$H$20/E162</f>
        <v>1.1829754133216542E-2</v>
      </c>
      <c r="F173" s="116">
        <f ca="1">-$H$20/SUM(E162:F162)</f>
        <v>1.4703464286253864E-2</v>
      </c>
      <c r="G173" s="116">
        <f>+$G$86</f>
        <v>7.0000000000000007E-2</v>
      </c>
      <c r="H173" s="116"/>
    </row>
    <row r="174" spans="1:8" ht="16" customHeight="1">
      <c r="B174" s="119"/>
      <c r="C174" s="41"/>
      <c r="D174" s="41"/>
      <c r="E174" s="34"/>
      <c r="F174" s="34"/>
      <c r="G174" s="34"/>
      <c r="H174" s="41"/>
    </row>
    <row r="175" spans="1:8" ht="16" customHeight="1">
      <c r="B175" s="119"/>
      <c r="C175" s="41"/>
      <c r="D175" s="41"/>
      <c r="E175" s="545" t="s">
        <v>677</v>
      </c>
    </row>
    <row r="176" spans="1:8" ht="16" customHeight="1">
      <c r="B176" s="41" t="s">
        <v>375</v>
      </c>
      <c r="C176" s="41"/>
      <c r="D176" s="41"/>
      <c r="E176" s="116">
        <f ca="1">+'Cash Flow Roll-up'!C57</f>
        <v>0.18557150677640988</v>
      </c>
    </row>
    <row r="177" spans="2:5" ht="16" customHeight="1">
      <c r="B177" s="41" t="s">
        <v>678</v>
      </c>
      <c r="C177" s="41"/>
      <c r="D177" s="41"/>
      <c r="E177" s="116">
        <f ca="1">+'Cash Flow Roll-up'!D57</f>
        <v>0.31217669917177293</v>
      </c>
    </row>
    <row r="178" spans="2:5" ht="16" customHeight="1">
      <c r="B178" s="41" t="s">
        <v>679</v>
      </c>
      <c r="C178" s="41"/>
      <c r="D178" s="41"/>
      <c r="E178" s="116">
        <f ca="1">+'Cash Flow Roll-up'!E57</f>
        <v>0.36994413526401992</v>
      </c>
    </row>
  </sheetData>
  <mergeCells count="8">
    <mergeCell ref="J96:R96"/>
    <mergeCell ref="J125:R125"/>
    <mergeCell ref="J154:R154"/>
    <mergeCell ref="B65:H65"/>
    <mergeCell ref="I3:J3"/>
    <mergeCell ref="K3:L3"/>
    <mergeCell ref="M3:N3"/>
    <mergeCell ref="J67:R67"/>
  </mergeCells>
  <phoneticPr fontId="79" type="noConversion"/>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2:Z435"/>
  <sheetViews>
    <sheetView showGridLines="0" topLeftCell="A137" zoomScale="55" zoomScaleNormal="55" workbookViewId="0">
      <selection activeCell="P155" sqref="P155"/>
    </sheetView>
  </sheetViews>
  <sheetFormatPr defaultColWidth="14.453125" defaultRowHeight="15.25"/>
  <cols>
    <col min="1" max="1" width="8.453125" style="41" customWidth="1"/>
    <col min="2" max="2" width="17.81640625" style="41" customWidth="1"/>
    <col min="3" max="3" width="23.453125" style="41" customWidth="1"/>
    <col min="4" max="4" width="17.453125" style="41" bestFit="1" customWidth="1"/>
    <col min="5" max="5" width="14.81640625" style="41" customWidth="1"/>
    <col min="6" max="6" width="18" style="41" bestFit="1" customWidth="1"/>
    <col min="7" max="8" width="15.453125" style="41" bestFit="1" customWidth="1"/>
    <col min="9" max="10" width="14.453125" style="41"/>
    <col min="11" max="11" width="15.453125" style="41" bestFit="1" customWidth="1"/>
    <col min="12" max="16384" width="14.453125" style="41"/>
  </cols>
  <sheetData>
    <row r="2" spans="1:26" ht="15.5">
      <c r="B2" s="146" t="s">
        <v>243</v>
      </c>
      <c r="E2" s="146">
        <v>0</v>
      </c>
      <c r="F2" s="147">
        <f>+IF(F7&gt;=Assumptions!$F$26,'Phase I Pro Forma'!E2+1,'Phase I Pro Forma'!E2)</f>
        <v>0</v>
      </c>
      <c r="G2" s="147">
        <f>+IF(G7&gt;=Assumptions!$F$26,'Phase I Pro Forma'!F2+1,'Phase I Pro Forma'!F2)</f>
        <v>0</v>
      </c>
      <c r="H2" s="147">
        <f>+IF(H7&gt;=Assumptions!$F$26,'Phase I Pro Forma'!G2+1,'Phase I Pro Forma'!G2)</f>
        <v>0</v>
      </c>
      <c r="I2" s="147">
        <f>+IF(I7&gt;=Assumptions!$F$26,'Phase I Pro Forma'!H2+1,'Phase I Pro Forma'!H2)</f>
        <v>1</v>
      </c>
      <c r="J2" s="147">
        <f>+IF(J7&gt;=Assumptions!$F$26,'Phase I Pro Forma'!I2+1,'Phase I Pro Forma'!I2)</f>
        <v>2</v>
      </c>
      <c r="K2" s="147">
        <f>+IF(K7&gt;=Assumptions!$F$26,'Phase I Pro Forma'!J2+1,'Phase I Pro Forma'!J2)</f>
        <v>3</v>
      </c>
      <c r="L2" s="147">
        <f>+IF(L7&gt;=Assumptions!$F$26,'Phase I Pro Forma'!K2+1,'Phase I Pro Forma'!K2)</f>
        <v>4</v>
      </c>
      <c r="M2" s="147">
        <f>+IF(M7&gt;=Assumptions!$F$26,'Phase I Pro Forma'!L2+1,'Phase I Pro Forma'!L2)</f>
        <v>5</v>
      </c>
      <c r="N2" s="147">
        <f>+IF(N7&gt;=Assumptions!$F$26,'Phase I Pro Forma'!M2+1,'Phase I Pro Forma'!M2)</f>
        <v>6</v>
      </c>
      <c r="O2" s="147">
        <f>+IF(O7&gt;=Assumptions!$F$26,'Phase I Pro Forma'!N2+1,'Phase I Pro Forma'!N2)</f>
        <v>7</v>
      </c>
      <c r="P2" s="147">
        <f>+IF(P7&gt;=Assumptions!$F$26,'Phase I Pro Forma'!O2+1,'Phase I Pro Forma'!O2)</f>
        <v>8</v>
      </c>
      <c r="Q2" s="147">
        <f>+IF(Q7&gt;=Assumptions!$F$26,'Phase I Pro Forma'!P2+1,'Phase I Pro Forma'!P2)</f>
        <v>9</v>
      </c>
      <c r="R2" s="147">
        <f>+IF(R7&gt;=Assumptions!$F$26,'Phase I Pro Forma'!Q2+1,'Phase I Pro Forma'!Q2)</f>
        <v>10</v>
      </c>
      <c r="S2" s="147">
        <f>+IF(S7&gt;=Assumptions!$F$26,'Phase I Pro Forma'!R2+1,'Phase I Pro Forma'!R2)</f>
        <v>11</v>
      </c>
      <c r="T2" s="147">
        <f>+IF(T7&gt;=Assumptions!$F$26,'Phase I Pro Forma'!S2+1,'Phase I Pro Forma'!S2)</f>
        <v>12</v>
      </c>
      <c r="U2" s="147">
        <f>+IF(U7&gt;=Assumptions!$F$26,'Phase I Pro Forma'!T2+1,'Phase I Pro Forma'!T2)</f>
        <v>13</v>
      </c>
      <c r="V2" s="147">
        <f>+IF(V7&gt;=Assumptions!$F$26,'Phase I Pro Forma'!U2+1,'Phase I Pro Forma'!U2)</f>
        <v>14</v>
      </c>
      <c r="W2" s="147">
        <f>+IF(W7&gt;=Assumptions!$F$26,'Phase I Pro Forma'!V2+1,'Phase I Pro Forma'!V2)</f>
        <v>15</v>
      </c>
      <c r="X2" s="147">
        <f>+IF(X7&gt;=Assumptions!$F$26,'Phase I Pro Forma'!W2+1,'Phase I Pro Forma'!W2)</f>
        <v>16</v>
      </c>
      <c r="Y2" s="147">
        <f>+IF(Y7&gt;=Assumptions!$F$26,'Phase I Pro Forma'!X2+1,'Phase I Pro Forma'!X2)</f>
        <v>17</v>
      </c>
      <c r="Z2" s="147">
        <f>+IF(Z7&gt;=Assumptions!$F$26,'Phase I Pro Forma'!Y2+1,'Phase I Pro Forma'!Y2)</f>
        <v>18</v>
      </c>
    </row>
    <row r="3" spans="1:26" ht="15.5">
      <c r="B3" s="146" t="s">
        <v>261</v>
      </c>
      <c r="F3" s="147">
        <f>+IF(F7&gt;=Assumptions!$F$28,'Phase I Pro Forma'!E3+1,'Phase I Pro Forma'!E3)</f>
        <v>0</v>
      </c>
      <c r="G3" s="147">
        <f>+IF(G7&gt;=Assumptions!$F$28,'Phase I Pro Forma'!F3+1,'Phase I Pro Forma'!F3)</f>
        <v>0</v>
      </c>
      <c r="H3" s="147">
        <f>+IF(H7&gt;=Assumptions!$F$28,'Phase I Pro Forma'!G3+1,'Phase I Pro Forma'!G3)</f>
        <v>0</v>
      </c>
      <c r="I3" s="147">
        <f>+IF(I7&gt;=Assumptions!$F$28,'Phase I Pro Forma'!H3+1,'Phase I Pro Forma'!H3)</f>
        <v>0</v>
      </c>
      <c r="J3" s="147">
        <f>+IF(J7&gt;=Assumptions!$F$28,'Phase I Pro Forma'!I3+1,'Phase I Pro Forma'!I3)</f>
        <v>0</v>
      </c>
      <c r="K3" s="147">
        <f>+IF(K7&gt;=Assumptions!$F$28,'Phase I Pro Forma'!J3+1,'Phase I Pro Forma'!J3)</f>
        <v>1</v>
      </c>
      <c r="L3" s="147">
        <f>+IF(L7&gt;=Assumptions!$F$28,'Phase I Pro Forma'!K3+1,'Phase I Pro Forma'!K3)</f>
        <v>2</v>
      </c>
      <c r="M3" s="147">
        <f>+IF(M7&gt;=Assumptions!$F$28,'Phase I Pro Forma'!L3+1,'Phase I Pro Forma'!L3)</f>
        <v>3</v>
      </c>
      <c r="N3" s="147">
        <f>+IF(N7&gt;=Assumptions!$F$28,'Phase I Pro Forma'!M3+1,'Phase I Pro Forma'!M3)</f>
        <v>4</v>
      </c>
      <c r="O3" s="147">
        <f>+IF(O7&gt;=Assumptions!$F$28,'Phase I Pro Forma'!N3+1,'Phase I Pro Forma'!N3)</f>
        <v>5</v>
      </c>
      <c r="P3" s="147">
        <f>+IF(P7&gt;=Assumptions!$F$28,'Phase I Pro Forma'!O3+1,'Phase I Pro Forma'!O3)</f>
        <v>6</v>
      </c>
      <c r="Q3" s="147">
        <f>+IF(Q7&gt;=Assumptions!$F$28,'Phase I Pro Forma'!P3+1,'Phase I Pro Forma'!P3)</f>
        <v>7</v>
      </c>
      <c r="R3" s="147">
        <f>+IF(R7&gt;=Assumptions!$F$28,'Phase I Pro Forma'!Q3+1,'Phase I Pro Forma'!Q3)</f>
        <v>8</v>
      </c>
      <c r="S3" s="147">
        <f>+IF(S7&gt;=Assumptions!$F$28,'Phase I Pro Forma'!R3+1,'Phase I Pro Forma'!R3)</f>
        <v>9</v>
      </c>
      <c r="T3" s="147">
        <f>+IF(T7&gt;=Assumptions!$F$28,'Phase I Pro Forma'!S3+1,'Phase I Pro Forma'!S3)</f>
        <v>10</v>
      </c>
      <c r="U3" s="147">
        <f>+IF(U7&gt;=Assumptions!$F$28,'Phase I Pro Forma'!T3+1,'Phase I Pro Forma'!T3)</f>
        <v>11</v>
      </c>
      <c r="V3" s="147">
        <f>+IF(V7&gt;=Assumptions!$F$28,'Phase I Pro Forma'!U3+1,'Phase I Pro Forma'!U3)</f>
        <v>12</v>
      </c>
      <c r="W3" s="147">
        <f>+IF(W7&gt;=Assumptions!$F$28,'Phase I Pro Forma'!V3+1,'Phase I Pro Forma'!V3)</f>
        <v>13</v>
      </c>
      <c r="X3" s="147">
        <f>+IF(X7&gt;=Assumptions!$F$28,'Phase I Pro Forma'!W3+1,'Phase I Pro Forma'!W3)</f>
        <v>14</v>
      </c>
      <c r="Y3" s="147">
        <f>+IF(Y7&gt;=Assumptions!$F$28,'Phase I Pro Forma'!X3+1,'Phase I Pro Forma'!X3)</f>
        <v>15</v>
      </c>
      <c r="Z3" s="147">
        <f>+IF(Z7&gt;=Assumptions!$F$28,'Phase I Pro Forma'!Y3+1,'Phase I Pro Forma'!Y3)</f>
        <v>16</v>
      </c>
    </row>
    <row r="4" spans="1:26">
      <c r="F4" s="42"/>
      <c r="G4" s="42"/>
      <c r="H4" s="42"/>
      <c r="I4" s="42"/>
      <c r="J4" s="42"/>
      <c r="K4" s="42"/>
      <c r="L4" s="42"/>
      <c r="M4" s="42"/>
      <c r="N4" s="42"/>
    </row>
    <row r="5" spans="1:26" ht="15.5">
      <c r="B5" s="37" t="s">
        <v>697</v>
      </c>
      <c r="C5" s="38"/>
      <c r="D5" s="38"/>
      <c r="E5" s="38"/>
      <c r="F5" s="136"/>
      <c r="G5" s="136"/>
      <c r="H5" s="136"/>
      <c r="I5" s="136"/>
      <c r="J5" s="136"/>
      <c r="K5" s="136"/>
      <c r="L5" s="136"/>
      <c r="M5" s="136"/>
      <c r="N5" s="136"/>
      <c r="O5" s="136"/>
      <c r="P5" s="136"/>
      <c r="Q5" s="136"/>
      <c r="R5" s="136"/>
      <c r="S5" s="136"/>
      <c r="T5" s="136"/>
      <c r="U5" s="136"/>
      <c r="V5" s="136"/>
      <c r="W5" s="136"/>
      <c r="X5" s="136"/>
      <c r="Y5" s="136"/>
      <c r="Z5" s="136"/>
    </row>
    <row r="6" spans="1:26" ht="15.5">
      <c r="B6" s="119"/>
      <c r="F6" s="229">
        <f>+YEAR(F7)</f>
        <v>2021</v>
      </c>
      <c r="G6" s="229">
        <f t="shared" ref="G6:Z6" si="0">+YEAR(G7)</f>
        <v>2022</v>
      </c>
      <c r="H6" s="229">
        <f t="shared" si="0"/>
        <v>2023</v>
      </c>
      <c r="I6" s="229">
        <f t="shared" si="0"/>
        <v>2024</v>
      </c>
      <c r="J6" s="229">
        <f t="shared" si="0"/>
        <v>2025</v>
      </c>
      <c r="K6" s="229">
        <f t="shared" si="0"/>
        <v>2026</v>
      </c>
      <c r="L6" s="229">
        <f t="shared" si="0"/>
        <v>2027</v>
      </c>
      <c r="M6" s="229">
        <f t="shared" si="0"/>
        <v>2028</v>
      </c>
      <c r="N6" s="229">
        <f t="shared" si="0"/>
        <v>2029</v>
      </c>
      <c r="O6" s="229">
        <f t="shared" si="0"/>
        <v>2030</v>
      </c>
      <c r="P6" s="229">
        <f t="shared" si="0"/>
        <v>2031</v>
      </c>
      <c r="Q6" s="229">
        <f t="shared" si="0"/>
        <v>2032</v>
      </c>
      <c r="R6" s="229">
        <f t="shared" si="0"/>
        <v>2033</v>
      </c>
      <c r="S6" s="229">
        <f t="shared" si="0"/>
        <v>2034</v>
      </c>
      <c r="T6" s="229">
        <f t="shared" si="0"/>
        <v>2035</v>
      </c>
      <c r="U6" s="229">
        <f t="shared" si="0"/>
        <v>2036</v>
      </c>
      <c r="V6" s="229">
        <f t="shared" si="0"/>
        <v>2037</v>
      </c>
      <c r="W6" s="229">
        <f t="shared" si="0"/>
        <v>2038</v>
      </c>
      <c r="X6" s="229">
        <f t="shared" si="0"/>
        <v>2039</v>
      </c>
      <c r="Y6" s="229">
        <f t="shared" si="0"/>
        <v>2040</v>
      </c>
      <c r="Z6" s="229">
        <f t="shared" si="0"/>
        <v>2041</v>
      </c>
    </row>
    <row r="7" spans="1:26" ht="15.5">
      <c r="B7" s="148" t="s">
        <v>136</v>
      </c>
      <c r="C7" s="149"/>
      <c r="D7" s="149"/>
      <c r="E7" s="149"/>
      <c r="F7" s="150">
        <f>+Assumptions!$F$22</f>
        <v>44561</v>
      </c>
      <c r="G7" s="150">
        <f>+EOMONTH(F7,12)</f>
        <v>44926</v>
      </c>
      <c r="H7" s="150">
        <f t="shared" ref="H7:V7" si="1">+EOMONTH(G7,12)</f>
        <v>45291</v>
      </c>
      <c r="I7" s="150">
        <f t="shared" si="1"/>
        <v>45657</v>
      </c>
      <c r="J7" s="150">
        <f t="shared" si="1"/>
        <v>46022</v>
      </c>
      <c r="K7" s="150">
        <f t="shared" si="1"/>
        <v>46387</v>
      </c>
      <c r="L7" s="150">
        <f t="shared" si="1"/>
        <v>46752</v>
      </c>
      <c r="M7" s="150">
        <f t="shared" si="1"/>
        <v>47118</v>
      </c>
      <c r="N7" s="150">
        <f t="shared" si="1"/>
        <v>47483</v>
      </c>
      <c r="O7" s="150">
        <f t="shared" si="1"/>
        <v>47848</v>
      </c>
      <c r="P7" s="150">
        <f t="shared" si="1"/>
        <v>48213</v>
      </c>
      <c r="Q7" s="150">
        <f t="shared" si="1"/>
        <v>48579</v>
      </c>
      <c r="R7" s="150">
        <f t="shared" si="1"/>
        <v>48944</v>
      </c>
      <c r="S7" s="150">
        <f t="shared" si="1"/>
        <v>49309</v>
      </c>
      <c r="T7" s="150">
        <f t="shared" si="1"/>
        <v>49674</v>
      </c>
      <c r="U7" s="150">
        <f t="shared" si="1"/>
        <v>50040</v>
      </c>
      <c r="V7" s="150">
        <f t="shared" si="1"/>
        <v>50405</v>
      </c>
      <c r="W7" s="150">
        <f t="shared" ref="W7:Z7" si="2">+EOMONTH(V7,12)</f>
        <v>50770</v>
      </c>
      <c r="X7" s="150">
        <f t="shared" si="2"/>
        <v>51135</v>
      </c>
      <c r="Y7" s="150">
        <f t="shared" si="2"/>
        <v>51501</v>
      </c>
      <c r="Z7" s="150">
        <f t="shared" si="2"/>
        <v>51866</v>
      </c>
    </row>
    <row r="8" spans="1:26" ht="15.5">
      <c r="A8" s="140" t="b">
        <f>+SUM(F8:Z8)=Assumptions!$F$55</f>
        <v>1</v>
      </c>
      <c r="B8" s="33" t="s">
        <v>690</v>
      </c>
      <c r="C8" s="33"/>
      <c r="D8" s="40"/>
      <c r="E8" s="40"/>
      <c r="F8" s="42">
        <f>+IF(AND(F7&gt;=Assumptions!$F$26,F7&lt;Assumptions!$F$28),Assumptions!$F$55/ROUNDUP((Assumptions!$F$27/12),0),0)</f>
        <v>0</v>
      </c>
      <c r="G8" s="42">
        <f>+IF(AND(G7&gt;=Assumptions!$F$26,G7&lt;Assumptions!$F$28),Assumptions!$F$55/ROUNDUP((Assumptions!$F$27/12),0),0)</f>
        <v>0</v>
      </c>
      <c r="H8" s="42">
        <f>+IF(AND(H7&gt;=Assumptions!$F$26,H7&lt;Assumptions!$F$28),Assumptions!$F$55/ROUNDUP((Assumptions!$F$27/12),0),0)</f>
        <v>0</v>
      </c>
      <c r="I8" s="42">
        <f>+IF(AND(I7&gt;=Assumptions!$F$26,I7&lt;Assumptions!$F$28),Assumptions!$F$55/ROUNDUP((Assumptions!$F$27/12),0),0)</f>
        <v>265425</v>
      </c>
      <c r="J8" s="42">
        <f>+IF(AND(J7&gt;=Assumptions!$F$26,J7&lt;Assumptions!$F$28),Assumptions!$F$55/ROUNDUP((Assumptions!$F$27/12),0),0)</f>
        <v>265425</v>
      </c>
      <c r="K8" s="42">
        <f>+IF(AND(K7&gt;=Assumptions!$F$26,K7&lt;Assumptions!$F$28),Assumptions!$F$55/ROUNDUP((Assumptions!$F$27/12),0),0)</f>
        <v>0</v>
      </c>
      <c r="L8" s="42">
        <f>+IF(AND(L7&gt;=Assumptions!$F$26,L7&lt;Assumptions!$F$28),Assumptions!$F$55/ROUNDUP((Assumptions!$F$27/12),0),0)</f>
        <v>0</v>
      </c>
      <c r="M8" s="42">
        <f>+IF(AND(M7&gt;=Assumptions!$F$26,M7&lt;Assumptions!$F$28),Assumptions!$F$55/ROUNDUP((Assumptions!$F$27/12),0),0)</f>
        <v>0</v>
      </c>
      <c r="N8" s="42">
        <f>+IF(AND(N7&gt;=Assumptions!$F$26,N7&lt;Assumptions!$F$28),Assumptions!$F$55/ROUNDUP((Assumptions!$F$27/12),0),0)</f>
        <v>0</v>
      </c>
      <c r="O8" s="42">
        <f>+IF(AND(O7&gt;=Assumptions!$F$26,O7&lt;Assumptions!$F$28),Assumptions!$F$55/ROUNDUP((Assumptions!$F$27/12),0),0)</f>
        <v>0</v>
      </c>
      <c r="P8" s="42">
        <f>+IF(AND(P7&gt;=Assumptions!$F$26,P7&lt;Assumptions!$F$28),Assumptions!$F$55/ROUNDUP((Assumptions!$F$27/12),0),0)</f>
        <v>0</v>
      </c>
      <c r="Q8" s="42">
        <f>+IF(AND(Q7&gt;=Assumptions!$F$26,Q7&lt;Assumptions!$F$28),Assumptions!$F$55/ROUNDUP((Assumptions!$F$27/12),0),0)</f>
        <v>0</v>
      </c>
      <c r="R8" s="42">
        <f>+IF(AND(R7&gt;=Assumptions!$F$26,R7&lt;Assumptions!$F$28),Assumptions!$F$55/ROUNDUP((Assumptions!$F$27/12),0),0)</f>
        <v>0</v>
      </c>
      <c r="S8" s="42">
        <f>+IF(AND(S7&gt;=Assumptions!$F$26,S7&lt;Assumptions!$F$28),Assumptions!$F$55/ROUNDUP((Assumptions!$F$27/12),0),0)</f>
        <v>0</v>
      </c>
      <c r="T8" s="42">
        <f>+IF(AND(T7&gt;=Assumptions!$F$26,T7&lt;Assumptions!$F$28),Assumptions!$F$55/ROUNDUP((Assumptions!$F$27/12),0),0)</f>
        <v>0</v>
      </c>
      <c r="U8" s="42">
        <f>+IF(AND(U7&gt;=Assumptions!$F$26,U7&lt;Assumptions!$F$28),Assumptions!$F$55/ROUNDUP((Assumptions!$F$27/12),0),0)</f>
        <v>0</v>
      </c>
      <c r="V8" s="42">
        <f>+IF(AND(V7&gt;=Assumptions!$F$26,V7&lt;Assumptions!$F$28),Assumptions!$F$55/ROUNDUP((Assumptions!$F$27/12),0),0)</f>
        <v>0</v>
      </c>
      <c r="W8" s="42">
        <f>+IF(AND(W7&gt;=Assumptions!$F$26,W7&lt;Assumptions!$F$28),Assumptions!$F$55/ROUNDUP((Assumptions!$F$27/12),0),0)</f>
        <v>0</v>
      </c>
      <c r="X8" s="42">
        <f>+IF(AND(X7&gt;=Assumptions!$F$26,X7&lt;Assumptions!$F$28),Assumptions!$F$55/ROUNDUP((Assumptions!$F$27/12),0),0)</f>
        <v>0</v>
      </c>
      <c r="Y8" s="42">
        <f>+IF(AND(Y7&gt;=Assumptions!$F$26,Y7&lt;Assumptions!$F$28),Assumptions!$F$55/ROUNDUP((Assumptions!$F$27/12),0),0)</f>
        <v>0</v>
      </c>
      <c r="Z8" s="42">
        <f>+IF(AND(Z7&gt;=Assumptions!$F$26,Z7&lt;Assumptions!$F$28),Assumptions!$F$55/ROUNDUP((Assumptions!$F$27/12),0),0)</f>
        <v>0</v>
      </c>
    </row>
    <row r="9" spans="1:26">
      <c r="B9" s="33" t="s">
        <v>231</v>
      </c>
      <c r="C9" s="33"/>
      <c r="D9" s="42">
        <v>0</v>
      </c>
      <c r="E9" s="42"/>
      <c r="F9" s="42">
        <f>+D9+F8</f>
        <v>0</v>
      </c>
      <c r="G9" s="42">
        <f t="shared" ref="G9:Z9" si="3">+F9+G8</f>
        <v>0</v>
      </c>
      <c r="H9" s="42">
        <f t="shared" si="3"/>
        <v>0</v>
      </c>
      <c r="I9" s="42">
        <f t="shared" si="3"/>
        <v>265425</v>
      </c>
      <c r="J9" s="42">
        <f t="shared" si="3"/>
        <v>530850</v>
      </c>
      <c r="K9" s="42">
        <f t="shared" si="3"/>
        <v>530850</v>
      </c>
      <c r="L9" s="42">
        <f t="shared" si="3"/>
        <v>530850</v>
      </c>
      <c r="M9" s="42">
        <f t="shared" si="3"/>
        <v>530850</v>
      </c>
      <c r="N9" s="42">
        <f t="shared" si="3"/>
        <v>530850</v>
      </c>
      <c r="O9" s="42">
        <f t="shared" si="3"/>
        <v>530850</v>
      </c>
      <c r="P9" s="42">
        <f t="shared" si="3"/>
        <v>530850</v>
      </c>
      <c r="Q9" s="42">
        <f t="shared" si="3"/>
        <v>530850</v>
      </c>
      <c r="R9" s="42">
        <f t="shared" si="3"/>
        <v>530850</v>
      </c>
      <c r="S9" s="42">
        <f t="shared" si="3"/>
        <v>530850</v>
      </c>
      <c r="T9" s="42">
        <f t="shared" si="3"/>
        <v>530850</v>
      </c>
      <c r="U9" s="42">
        <f t="shared" si="3"/>
        <v>530850</v>
      </c>
      <c r="V9" s="42">
        <f t="shared" si="3"/>
        <v>530850</v>
      </c>
      <c r="W9" s="42">
        <f t="shared" si="3"/>
        <v>530850</v>
      </c>
      <c r="X9" s="42">
        <f t="shared" si="3"/>
        <v>530850</v>
      </c>
      <c r="Y9" s="42">
        <f t="shared" si="3"/>
        <v>530850</v>
      </c>
      <c r="Z9" s="42">
        <f t="shared" si="3"/>
        <v>530850</v>
      </c>
    </row>
    <row r="10" spans="1:26">
      <c r="B10" s="33" t="s">
        <v>466</v>
      </c>
      <c r="C10" s="33"/>
      <c r="D10" s="42"/>
      <c r="E10" s="42"/>
      <c r="F10" s="42">
        <f>+F11-E11</f>
        <v>0</v>
      </c>
      <c r="G10" s="42">
        <f t="shared" ref="G10:Z10" si="4">+G11-F11</f>
        <v>0</v>
      </c>
      <c r="H10" s="42">
        <f t="shared" si="4"/>
        <v>0</v>
      </c>
      <c r="I10" s="42">
        <f t="shared" si="4"/>
        <v>377.5</v>
      </c>
      <c r="J10" s="42">
        <f t="shared" si="4"/>
        <v>377.5</v>
      </c>
      <c r="K10" s="42">
        <f t="shared" si="4"/>
        <v>0</v>
      </c>
      <c r="L10" s="42">
        <f t="shared" si="4"/>
        <v>0</v>
      </c>
      <c r="M10" s="42">
        <f t="shared" si="4"/>
        <v>0</v>
      </c>
      <c r="N10" s="42">
        <f t="shared" si="4"/>
        <v>0</v>
      </c>
      <c r="O10" s="42">
        <f t="shared" si="4"/>
        <v>0</v>
      </c>
      <c r="P10" s="42">
        <f t="shared" si="4"/>
        <v>0</v>
      </c>
      <c r="Q10" s="42">
        <f t="shared" si="4"/>
        <v>0</v>
      </c>
      <c r="R10" s="42">
        <f t="shared" si="4"/>
        <v>0</v>
      </c>
      <c r="S10" s="42">
        <f t="shared" si="4"/>
        <v>0</v>
      </c>
      <c r="T10" s="42">
        <f t="shared" si="4"/>
        <v>0</v>
      </c>
      <c r="U10" s="42">
        <f t="shared" si="4"/>
        <v>0</v>
      </c>
      <c r="V10" s="42">
        <f t="shared" si="4"/>
        <v>0</v>
      </c>
      <c r="W10" s="42">
        <f t="shared" si="4"/>
        <v>0</v>
      </c>
      <c r="X10" s="42">
        <f t="shared" si="4"/>
        <v>0</v>
      </c>
      <c r="Y10" s="42">
        <f t="shared" si="4"/>
        <v>0</v>
      </c>
      <c r="Z10" s="42">
        <f t="shared" si="4"/>
        <v>0</v>
      </c>
    </row>
    <row r="11" spans="1:26">
      <c r="B11" s="33" t="s">
        <v>232</v>
      </c>
      <c r="C11" s="33"/>
      <c r="D11" s="42"/>
      <c r="E11" s="42"/>
      <c r="F11" s="42">
        <f>+F12*Assumptions!$F$56</f>
        <v>0</v>
      </c>
      <c r="G11" s="42">
        <f>+G12*Assumptions!$F$56</f>
        <v>0</v>
      </c>
      <c r="H11" s="42">
        <f>+H12*Assumptions!$F$56</f>
        <v>0</v>
      </c>
      <c r="I11" s="42">
        <f>+I12*Assumptions!$F$56</f>
        <v>377.5</v>
      </c>
      <c r="J11" s="42">
        <f>+J12*Assumptions!$F$56</f>
        <v>755</v>
      </c>
      <c r="K11" s="42">
        <f>+K12*Assumptions!$F$56</f>
        <v>755</v>
      </c>
      <c r="L11" s="42">
        <f>+L12*Assumptions!$F$56</f>
        <v>755</v>
      </c>
      <c r="M11" s="42">
        <f>+M12*Assumptions!$F$56</f>
        <v>755</v>
      </c>
      <c r="N11" s="42">
        <f>+N12*Assumptions!$F$56</f>
        <v>755</v>
      </c>
      <c r="O11" s="42">
        <f>+O12*Assumptions!$F$56</f>
        <v>755</v>
      </c>
      <c r="P11" s="42">
        <f>+P12*Assumptions!$F$56</f>
        <v>755</v>
      </c>
      <c r="Q11" s="42">
        <f>+Q12*Assumptions!$F$56</f>
        <v>755</v>
      </c>
      <c r="R11" s="42">
        <f>+R12*Assumptions!$F$56</f>
        <v>755</v>
      </c>
      <c r="S11" s="42">
        <f>+S12*Assumptions!$F$56</f>
        <v>755</v>
      </c>
      <c r="T11" s="42">
        <f>+T12*Assumptions!$F$56</f>
        <v>755</v>
      </c>
      <c r="U11" s="42">
        <f>+U12*Assumptions!$F$56</f>
        <v>755</v>
      </c>
      <c r="V11" s="42">
        <f>+V12*Assumptions!$F$56</f>
        <v>755</v>
      </c>
      <c r="W11" s="42">
        <f>+W12*Assumptions!$F$56</f>
        <v>755</v>
      </c>
      <c r="X11" s="42">
        <f>+X12*Assumptions!$F$56</f>
        <v>755</v>
      </c>
      <c r="Y11" s="42">
        <f>+Y12*Assumptions!$F$56</f>
        <v>755</v>
      </c>
      <c r="Z11" s="42">
        <f>+Z12*Assumptions!$F$56</f>
        <v>755</v>
      </c>
    </row>
    <row r="12" spans="1:26">
      <c r="B12" s="33" t="s">
        <v>285</v>
      </c>
      <c r="C12" s="33"/>
      <c r="D12" s="42"/>
      <c r="E12" s="42"/>
      <c r="F12" s="108">
        <f t="shared" ref="F12:Z12" si="5">+F9/SUM($F$8:$Z$8)</f>
        <v>0</v>
      </c>
      <c r="G12" s="108">
        <f t="shared" si="5"/>
        <v>0</v>
      </c>
      <c r="H12" s="108">
        <f t="shared" si="5"/>
        <v>0</v>
      </c>
      <c r="I12" s="108">
        <f t="shared" si="5"/>
        <v>0.5</v>
      </c>
      <c r="J12" s="108">
        <f t="shared" si="5"/>
        <v>1</v>
      </c>
      <c r="K12" s="108">
        <f t="shared" si="5"/>
        <v>1</v>
      </c>
      <c r="L12" s="108">
        <f t="shared" si="5"/>
        <v>1</v>
      </c>
      <c r="M12" s="108">
        <f t="shared" si="5"/>
        <v>1</v>
      </c>
      <c r="N12" s="108">
        <f t="shared" si="5"/>
        <v>1</v>
      </c>
      <c r="O12" s="108">
        <f t="shared" si="5"/>
        <v>1</v>
      </c>
      <c r="P12" s="108">
        <f t="shared" si="5"/>
        <v>1</v>
      </c>
      <c r="Q12" s="108">
        <f t="shared" si="5"/>
        <v>1</v>
      </c>
      <c r="R12" s="108">
        <f t="shared" si="5"/>
        <v>1</v>
      </c>
      <c r="S12" s="108">
        <f t="shared" si="5"/>
        <v>1</v>
      </c>
      <c r="T12" s="108">
        <f t="shared" si="5"/>
        <v>1</v>
      </c>
      <c r="U12" s="108">
        <f t="shared" si="5"/>
        <v>1</v>
      </c>
      <c r="V12" s="108">
        <f t="shared" si="5"/>
        <v>1</v>
      </c>
      <c r="W12" s="108">
        <f t="shared" si="5"/>
        <v>1</v>
      </c>
      <c r="X12" s="108">
        <f t="shared" si="5"/>
        <v>1</v>
      </c>
      <c r="Y12" s="108">
        <f t="shared" si="5"/>
        <v>1</v>
      </c>
      <c r="Z12" s="108">
        <f t="shared" si="5"/>
        <v>1</v>
      </c>
    </row>
    <row r="13" spans="1:26">
      <c r="B13" s="33"/>
      <c r="C13" s="33"/>
      <c r="D13" s="42"/>
      <c r="E13" s="42"/>
      <c r="F13" s="108"/>
      <c r="G13" s="108"/>
      <c r="H13" s="108"/>
      <c r="I13" s="108"/>
      <c r="J13" s="108"/>
      <c r="K13" s="108"/>
      <c r="L13" s="108"/>
      <c r="M13" s="108"/>
      <c r="N13" s="108"/>
      <c r="O13" s="108"/>
      <c r="P13" s="108"/>
      <c r="Q13" s="108"/>
      <c r="R13" s="108"/>
      <c r="S13" s="108"/>
      <c r="T13" s="108"/>
      <c r="U13" s="108"/>
      <c r="V13" s="108"/>
      <c r="W13" s="108"/>
      <c r="X13" s="108"/>
      <c r="Y13" s="108"/>
      <c r="Z13" s="108"/>
    </row>
    <row r="14" spans="1:26">
      <c r="B14" s="33" t="s">
        <v>236</v>
      </c>
      <c r="C14" s="33"/>
      <c r="D14" s="42"/>
      <c r="E14" s="42"/>
      <c r="F14" s="108">
        <v>1</v>
      </c>
      <c r="G14" s="108">
        <f>+F14*(1+Assumptions!$N$63)</f>
        <v>1.02</v>
      </c>
      <c r="H14" s="108">
        <f>+G14*(1+Assumptions!$N$63)</f>
        <v>1.0404</v>
      </c>
      <c r="I14" s="108">
        <f>+H14*(1+Assumptions!$N$63)</f>
        <v>1.0612079999999999</v>
      </c>
      <c r="J14" s="108">
        <f>+I14*(1+Assumptions!$N$63)</f>
        <v>1.08243216</v>
      </c>
      <c r="K14" s="108">
        <f>+J14*(1+Assumptions!$N$63)</f>
        <v>1.1040808032</v>
      </c>
      <c r="L14" s="108">
        <f>+K14*(1+Assumptions!$N$63)</f>
        <v>1.1261624192640001</v>
      </c>
      <c r="M14" s="108">
        <f>+L14*(1+Assumptions!$N$63)</f>
        <v>1.14868566764928</v>
      </c>
      <c r="N14" s="108">
        <f>+M14*(1+Assumptions!$N$63)</f>
        <v>1.1716593810022657</v>
      </c>
      <c r="O14" s="108">
        <f>+N14*(1+Assumptions!$N$63)</f>
        <v>1.1950925686223111</v>
      </c>
      <c r="P14" s="108">
        <f>+O14*(1+Assumptions!$N$63)</f>
        <v>1.2189944199947573</v>
      </c>
      <c r="Q14" s="108">
        <f>+P14*(1+Assumptions!$N$63)</f>
        <v>1.2433743083946525</v>
      </c>
      <c r="R14" s="108">
        <f>+Q14*(1+Assumptions!$N$63)</f>
        <v>1.2682417945625455</v>
      </c>
      <c r="S14" s="108">
        <f>+R14*(1+Assumptions!$N$63)</f>
        <v>1.2936066304537963</v>
      </c>
      <c r="T14" s="108">
        <f>+S14*(1+Assumptions!$N$63)</f>
        <v>1.3194787630628724</v>
      </c>
      <c r="U14" s="108">
        <f>+T14*(1+Assumptions!$N$63)</f>
        <v>1.3458683383241299</v>
      </c>
      <c r="V14" s="108">
        <f>+U14*(1+Assumptions!$N$63)</f>
        <v>1.3727857050906125</v>
      </c>
      <c r="W14" s="108">
        <f>+V14*(1+Assumptions!$N$63)</f>
        <v>1.4002414191924248</v>
      </c>
      <c r="X14" s="108">
        <f>+W14*(1+Assumptions!$N$63)</f>
        <v>1.4282462475762734</v>
      </c>
      <c r="Y14" s="108">
        <f>+X14*(1+Assumptions!$N$63)</f>
        <v>1.4568111725277988</v>
      </c>
      <c r="Z14" s="108">
        <f>+Y14*(1+Assumptions!$N$63)</f>
        <v>1.4859473959783549</v>
      </c>
    </row>
    <row r="15" spans="1:26">
      <c r="B15" s="33" t="s">
        <v>237</v>
      </c>
      <c r="C15" s="33"/>
      <c r="D15" s="42"/>
      <c r="E15" s="42"/>
      <c r="F15" s="108">
        <v>1</v>
      </c>
      <c r="G15" s="108">
        <f>+F15*(1+Assumptions!$N$76)</f>
        <v>1.03</v>
      </c>
      <c r="H15" s="108">
        <f>+G15*(1+Assumptions!$N$76)</f>
        <v>1.0609</v>
      </c>
      <c r="I15" s="108">
        <f>+H15*(1+Assumptions!$N$76)</f>
        <v>1.092727</v>
      </c>
      <c r="J15" s="108">
        <f>+I15*(1+Assumptions!$N$76)</f>
        <v>1.1255088100000001</v>
      </c>
      <c r="K15" s="108">
        <f>+J15*(1+Assumptions!$N$76)</f>
        <v>1.1592740743000001</v>
      </c>
      <c r="L15" s="108">
        <f>+K15*(1+Assumptions!$N$76)</f>
        <v>1.1940522965290001</v>
      </c>
      <c r="M15" s="108">
        <f>+L15*(1+Assumptions!$N$76)</f>
        <v>1.2298738654248702</v>
      </c>
      <c r="N15" s="108">
        <f>+M15*(1+Assumptions!$N$76)</f>
        <v>1.2667700813876164</v>
      </c>
      <c r="O15" s="108">
        <f>+N15*(1+Assumptions!$N$76)</f>
        <v>1.3047731838292449</v>
      </c>
      <c r="P15" s="108">
        <f>+O15*(1+Assumptions!$N$76)</f>
        <v>1.3439163793441222</v>
      </c>
      <c r="Q15" s="108">
        <f>+P15*(1+Assumptions!$N$76)</f>
        <v>1.3842338707244459</v>
      </c>
      <c r="R15" s="108">
        <f>+Q15*(1+Assumptions!$N$76)</f>
        <v>1.4257608868461793</v>
      </c>
      <c r="S15" s="108">
        <f>+R15*(1+Assumptions!$N$76)</f>
        <v>1.4685337134515648</v>
      </c>
      <c r="T15" s="108">
        <f>+S15*(1+Assumptions!$N$76)</f>
        <v>1.5125897248551119</v>
      </c>
      <c r="U15" s="108">
        <f>+T15*(1+Assumptions!$N$76)</f>
        <v>1.5579674166007653</v>
      </c>
      <c r="V15" s="108">
        <f>+U15*(1+Assumptions!$N$76)</f>
        <v>1.6047064390987884</v>
      </c>
      <c r="W15" s="108">
        <f>+V15*(1+Assumptions!$N$76)</f>
        <v>1.652847632271752</v>
      </c>
      <c r="X15" s="108">
        <f>+W15*(1+Assumptions!$N$76)</f>
        <v>1.7024330612399046</v>
      </c>
      <c r="Y15" s="108">
        <f>+X15*(1+Assumptions!$N$76)</f>
        <v>1.7535060530771018</v>
      </c>
      <c r="Z15" s="108">
        <f>+Y15*(1+Assumptions!$N$76)</f>
        <v>1.806111234669415</v>
      </c>
    </row>
    <row r="16" spans="1:26">
      <c r="B16" s="33"/>
      <c r="C16" s="33"/>
      <c r="D16" s="40"/>
      <c r="E16" s="40"/>
      <c r="F16" s="34"/>
      <c r="G16" s="34"/>
      <c r="H16" s="34"/>
      <c r="I16" s="34"/>
      <c r="J16" s="34"/>
      <c r="K16" s="34"/>
      <c r="L16" s="34"/>
      <c r="M16" s="34"/>
      <c r="N16" s="34"/>
      <c r="O16" s="34"/>
      <c r="P16" s="34"/>
      <c r="Q16" s="34"/>
      <c r="R16" s="34"/>
      <c r="S16" s="34"/>
      <c r="T16" s="34"/>
      <c r="U16" s="34"/>
      <c r="V16" s="34"/>
      <c r="W16" s="34"/>
      <c r="X16" s="34"/>
      <c r="Y16" s="34"/>
      <c r="Z16" s="34"/>
    </row>
    <row r="17" spans="2:26">
      <c r="B17" s="33" t="s">
        <v>228</v>
      </c>
      <c r="C17" s="33"/>
      <c r="D17" s="40"/>
      <c r="E17" s="40"/>
      <c r="F17" s="34">
        <f>+F12*Assumptions!$F$54*F14</f>
        <v>0</v>
      </c>
      <c r="G17" s="34">
        <f>+G12*Assumptions!$F$54*G14</f>
        <v>0</v>
      </c>
      <c r="H17" s="34">
        <f>+H12*Assumptions!$F$54*H14</f>
        <v>0</v>
      </c>
      <c r="I17" s="34">
        <f>+I12*Assumptions!$F$54*I14</f>
        <v>6243086.6639999999</v>
      </c>
      <c r="J17" s="34">
        <f>+J12*Assumptions!$F$54*J14</f>
        <v>12735896.79456</v>
      </c>
      <c r="K17" s="34">
        <f>+K12*Assumptions!$F$54*K14</f>
        <v>12990614.7304512</v>
      </c>
      <c r="L17" s="34">
        <f>+L12*Assumptions!$F$54*L14</f>
        <v>13250427.025060225</v>
      </c>
      <c r="M17" s="34">
        <f>+M12*Assumptions!$F$54*M14</f>
        <v>13515435.565561429</v>
      </c>
      <c r="N17" s="34">
        <f>+N12*Assumptions!$F$54*N14</f>
        <v>13785744.276872659</v>
      </c>
      <c r="O17" s="34">
        <f>+O12*Assumptions!$F$54*O14</f>
        <v>14061459.162410112</v>
      </c>
      <c r="P17" s="34">
        <f>+P12*Assumptions!$F$54*P14</f>
        <v>14342688.345658315</v>
      </c>
      <c r="Q17" s="34">
        <f>+Q12*Assumptions!$F$54*Q14</f>
        <v>14629542.112571482</v>
      </c>
      <c r="R17" s="34">
        <f>+R12*Assumptions!$F$54*R14</f>
        <v>14922132.954822911</v>
      </c>
      <c r="S17" s="34">
        <f>+S12*Assumptions!$F$54*S14</f>
        <v>15220575.613919368</v>
      </c>
      <c r="T17" s="34">
        <f>+T12*Assumptions!$F$54*T14</f>
        <v>15524987.126197757</v>
      </c>
      <c r="U17" s="34">
        <f>+U12*Assumptions!$F$54*U14</f>
        <v>15835486.868721712</v>
      </c>
      <c r="V17" s="34">
        <f>+V12*Assumptions!$F$54*V14</f>
        <v>16152196.606096147</v>
      </c>
      <c r="W17" s="34">
        <f>+W12*Assumptions!$F$54*W14</f>
        <v>16475240.53821807</v>
      </c>
      <c r="X17" s="34">
        <f>+X12*Assumptions!$F$54*X14</f>
        <v>16804745.348982431</v>
      </c>
      <c r="Y17" s="34">
        <f>+Y12*Assumptions!$F$54*Y14</f>
        <v>17140840.255962081</v>
      </c>
      <c r="Z17" s="34">
        <f>+Z12*Assumptions!$F$54*Z14</f>
        <v>17483657.061081324</v>
      </c>
    </row>
    <row r="18" spans="2:26">
      <c r="B18" s="33" t="s">
        <v>229</v>
      </c>
      <c r="C18" s="33"/>
      <c r="D18" s="40"/>
      <c r="E18" s="40"/>
      <c r="F18" s="42">
        <f>-F17*Assumptions!$N$54</f>
        <v>0</v>
      </c>
      <c r="G18" s="42">
        <f>-G17*Assumptions!$N$54</f>
        <v>0</v>
      </c>
      <c r="H18" s="42">
        <f>-H17*Assumptions!$N$54</f>
        <v>0</v>
      </c>
      <c r="I18" s="42">
        <f>-I17*Assumptions!$N$54</f>
        <v>-312154.33319999999</v>
      </c>
      <c r="J18" s="42">
        <f>-J17*Assumptions!$N$54</f>
        <v>-636794.83972800011</v>
      </c>
      <c r="K18" s="42">
        <f>-K17*Assumptions!$N$54</f>
        <v>-649530.73652256001</v>
      </c>
      <c r="L18" s="42">
        <f>-L17*Assumptions!$N$54</f>
        <v>-662521.35125301126</v>
      </c>
      <c r="M18" s="42">
        <f>-M17*Assumptions!$N$54</f>
        <v>-675771.77827807143</v>
      </c>
      <c r="N18" s="42">
        <f>-N17*Assumptions!$N$54</f>
        <v>-689287.21384363296</v>
      </c>
      <c r="O18" s="42">
        <f>-O17*Assumptions!$N$54</f>
        <v>-703072.95812050567</v>
      </c>
      <c r="P18" s="42">
        <f>-P17*Assumptions!$N$54</f>
        <v>-717134.41728291579</v>
      </c>
      <c r="Q18" s="42">
        <f>-Q17*Assumptions!$N$54</f>
        <v>-731477.10562857415</v>
      </c>
      <c r="R18" s="42">
        <f>-R17*Assumptions!$N$54</f>
        <v>-746106.64774114557</v>
      </c>
      <c r="S18" s="42">
        <f>-S17*Assumptions!$N$54</f>
        <v>-761028.78069596842</v>
      </c>
      <c r="T18" s="42">
        <f>-T17*Assumptions!$N$54</f>
        <v>-776249.35630988795</v>
      </c>
      <c r="U18" s="42">
        <f>-U17*Assumptions!$N$54</f>
        <v>-791774.34343608562</v>
      </c>
      <c r="V18" s="42">
        <f>-V17*Assumptions!$N$54</f>
        <v>-807609.8303048074</v>
      </c>
      <c r="W18" s="42">
        <f>-W17*Assumptions!$N$54</f>
        <v>-823762.02691090351</v>
      </c>
      <c r="X18" s="42">
        <f>-X17*Assumptions!$N$54</f>
        <v>-840237.26744912157</v>
      </c>
      <c r="Y18" s="42">
        <f>-Y17*Assumptions!$N$54</f>
        <v>-857042.01279810409</v>
      </c>
      <c r="Z18" s="42">
        <f>-Z17*Assumptions!$N$54</f>
        <v>-874182.85305406619</v>
      </c>
    </row>
    <row r="19" spans="2:26">
      <c r="B19" s="33" t="s">
        <v>361</v>
      </c>
      <c r="C19" s="33"/>
      <c r="D19" s="40"/>
      <c r="E19" s="40"/>
      <c r="F19" s="151">
        <f>+F11*Assumptions!$F$89*(1-Assumptions!$N$54)*12</f>
        <v>0</v>
      </c>
      <c r="G19" s="151">
        <f>+G11*Assumptions!$F$89*(1-Assumptions!$N$54)*12</f>
        <v>0</v>
      </c>
      <c r="H19" s="151">
        <f>+H11*Assumptions!$F$89*(1-Assumptions!$N$54)*12</f>
        <v>0</v>
      </c>
      <c r="I19" s="151">
        <f>+I11*Assumptions!$F$89*(1-Assumptions!$N$54)*12</f>
        <v>21517.5</v>
      </c>
      <c r="J19" s="151">
        <f>+J11*Assumptions!$F$89*(1-Assumptions!$N$54)*12</f>
        <v>43035</v>
      </c>
      <c r="K19" s="151">
        <f>+K11*Assumptions!$F$89*(1-Assumptions!$N$54)*12</f>
        <v>43035</v>
      </c>
      <c r="L19" s="151">
        <f>+L11*Assumptions!$F$89*(1-Assumptions!$N$54)*12</f>
        <v>43035</v>
      </c>
      <c r="M19" s="151">
        <f>+M11*Assumptions!$F$89*(1-Assumptions!$N$54)*12</f>
        <v>43035</v>
      </c>
      <c r="N19" s="151">
        <f>+N11*Assumptions!$F$89*(1-Assumptions!$N$54)*12</f>
        <v>43035</v>
      </c>
      <c r="O19" s="151">
        <f>+O11*Assumptions!$F$89*(1-Assumptions!$N$54)*12</f>
        <v>43035</v>
      </c>
      <c r="P19" s="151">
        <f>+P11*Assumptions!$F$89*(1-Assumptions!$N$54)*12</f>
        <v>43035</v>
      </c>
      <c r="Q19" s="151">
        <f>+Q11*Assumptions!$F$89*(1-Assumptions!$N$54)*12</f>
        <v>43035</v>
      </c>
      <c r="R19" s="151">
        <f>+R11*Assumptions!$F$89*(1-Assumptions!$N$54)*12</f>
        <v>43035</v>
      </c>
      <c r="S19" s="151">
        <f>+S11*Assumptions!$F$89*(1-Assumptions!$N$54)*12</f>
        <v>43035</v>
      </c>
      <c r="T19" s="151">
        <f>+T11*Assumptions!$F$89*(1-Assumptions!$N$54)*12</f>
        <v>43035</v>
      </c>
      <c r="U19" s="151">
        <f>+U11*Assumptions!$F$89*(1-Assumptions!$N$54)*12</f>
        <v>43035</v>
      </c>
      <c r="V19" s="151">
        <f>+V11*Assumptions!$F$89*(1-Assumptions!$N$54)*12</f>
        <v>43035</v>
      </c>
      <c r="W19" s="151">
        <f>+W11*Assumptions!$F$89*(1-Assumptions!$N$54)*12</f>
        <v>43035</v>
      </c>
      <c r="X19" s="151">
        <f>+X11*Assumptions!$F$89*(1-Assumptions!$N$54)*12</f>
        <v>43035</v>
      </c>
      <c r="Y19" s="151">
        <f>+Y11*Assumptions!$F$89*(1-Assumptions!$N$54)*12</f>
        <v>43035</v>
      </c>
      <c r="Z19" s="151">
        <f>+Z11*Assumptions!$F$89*(1-Assumptions!$N$54)*12</f>
        <v>43035</v>
      </c>
    </row>
    <row r="20" spans="2:26">
      <c r="B20" s="137" t="s">
        <v>238</v>
      </c>
      <c r="C20" s="137"/>
      <c r="D20" s="137"/>
      <c r="E20" s="137"/>
      <c r="F20" s="129">
        <f t="shared" ref="F20:Z20" si="6">+SUM(F17:F19)</f>
        <v>0</v>
      </c>
      <c r="G20" s="129">
        <f t="shared" si="6"/>
        <v>0</v>
      </c>
      <c r="H20" s="129">
        <f t="shared" si="6"/>
        <v>0</v>
      </c>
      <c r="I20" s="129">
        <f t="shared" si="6"/>
        <v>5952449.8307999996</v>
      </c>
      <c r="J20" s="129">
        <f t="shared" si="6"/>
        <v>12142136.954832001</v>
      </c>
      <c r="K20" s="129">
        <f t="shared" si="6"/>
        <v>12384118.993928641</v>
      </c>
      <c r="L20" s="129">
        <f t="shared" si="6"/>
        <v>12630940.673807215</v>
      </c>
      <c r="M20" s="129">
        <f t="shared" si="6"/>
        <v>12882698.787283357</v>
      </c>
      <c r="N20" s="129">
        <f t="shared" si="6"/>
        <v>13139492.063029027</v>
      </c>
      <c r="O20" s="129">
        <f t="shared" si="6"/>
        <v>13401421.204289606</v>
      </c>
      <c r="P20" s="129">
        <f t="shared" si="6"/>
        <v>13668588.928375399</v>
      </c>
      <c r="Q20" s="129">
        <f t="shared" si="6"/>
        <v>13941100.006942907</v>
      </c>
      <c r="R20" s="129">
        <f t="shared" si="6"/>
        <v>14219061.307081765</v>
      </c>
      <c r="S20" s="129">
        <f t="shared" si="6"/>
        <v>14502581.833223399</v>
      </c>
      <c r="T20" s="129">
        <f t="shared" si="6"/>
        <v>14791772.769887868</v>
      </c>
      <c r="U20" s="129">
        <f t="shared" si="6"/>
        <v>15086747.525285628</v>
      </c>
      <c r="V20" s="129">
        <f t="shared" si="6"/>
        <v>15387621.77579134</v>
      </c>
      <c r="W20" s="129">
        <f t="shared" si="6"/>
        <v>15694513.511307167</v>
      </c>
      <c r="X20" s="129">
        <f t="shared" si="6"/>
        <v>16007543.081533309</v>
      </c>
      <c r="Y20" s="129">
        <f t="shared" si="6"/>
        <v>16326833.243163977</v>
      </c>
      <c r="Z20" s="129">
        <f t="shared" si="6"/>
        <v>16652509.208027259</v>
      </c>
    </row>
    <row r="22" spans="2:26">
      <c r="B22" s="33" t="s">
        <v>371</v>
      </c>
      <c r="F22" s="34">
        <f>+F11*Assumptions!$N$95*F15</f>
        <v>0</v>
      </c>
      <c r="G22" s="34">
        <f>+G11*Assumptions!$N$95*G15</f>
        <v>0</v>
      </c>
      <c r="H22" s="34">
        <f>+H11*Assumptions!$N$95*H15</f>
        <v>0</v>
      </c>
      <c r="I22" s="34">
        <f>+I11*Assumptions!$N$95*I15</f>
        <v>2076665.3780609998</v>
      </c>
      <c r="J22" s="34">
        <f>+J11*Assumptions!$N$95*J15</f>
        <v>4277930.6788056605</v>
      </c>
      <c r="K22" s="34">
        <f>+K11*Assumptions!$N$95*K15</f>
        <v>4406268.5991698299</v>
      </c>
      <c r="L22" s="34">
        <f>+L11*Assumptions!$N$95*L15</f>
        <v>4538456.6571449246</v>
      </c>
      <c r="M22" s="34">
        <f>+M11*Assumptions!$N$95*M15</f>
        <v>4674610.3568592723</v>
      </c>
      <c r="N22" s="34">
        <f>+N11*Assumptions!$N$95*N15</f>
        <v>4814848.6675650515</v>
      </c>
      <c r="O22" s="34">
        <f>+O11*Assumptions!$N$95*O15</f>
        <v>4959294.127592003</v>
      </c>
      <c r="P22" s="34">
        <f>+P11*Assumptions!$N$95*P15</f>
        <v>5108072.9514197623</v>
      </c>
      <c r="Q22" s="34">
        <f>+Q11*Assumptions!$N$95*Q15</f>
        <v>5261315.1399623556</v>
      </c>
      <c r="R22" s="34">
        <f>+R11*Assumptions!$N$95*R15</f>
        <v>5419154.5941612264</v>
      </c>
      <c r="S22" s="34">
        <f>+S11*Assumptions!$N$95*S15</f>
        <v>5581729.2319860635</v>
      </c>
      <c r="T22" s="34">
        <f>+T11*Assumptions!$N$95*T15</f>
        <v>5749181.1089456463</v>
      </c>
      <c r="U22" s="34">
        <f>+U11*Assumptions!$N$95*U15</f>
        <v>5921656.5422140155</v>
      </c>
      <c r="V22" s="34">
        <f>+V11*Assumptions!$N$95*V15</f>
        <v>6099306.2384804366</v>
      </c>
      <c r="W22" s="34">
        <f>+W11*Assumptions!$N$95*W15</f>
        <v>6282285.4256348498</v>
      </c>
      <c r="X22" s="34">
        <f>+X11*Assumptions!$N$95*X15</f>
        <v>6470753.9884038949</v>
      </c>
      <c r="Y22" s="34">
        <f>+Y11*Assumptions!$N$95*Y15</f>
        <v>6664876.6080560125</v>
      </c>
      <c r="Z22" s="34">
        <f>+Z11*Assumptions!$N$95*Z15</f>
        <v>6864822.906297693</v>
      </c>
    </row>
    <row r="23" spans="2:26">
      <c r="B23" s="33" t="s">
        <v>308</v>
      </c>
      <c r="F23" s="151">
        <f>+IFERROR(INDEX('Taxes and TIF'!$R$11:$R$45,MATCH('Phase I Pro Forma'!F$7,'Taxes and TIF'!$AC$11:$AC$45,0)),0)*'Loan Sizing'!$J$15*F12</f>
        <v>0</v>
      </c>
      <c r="G23" s="151">
        <f>+IFERROR(INDEX('Taxes and TIF'!$R$11:$R$45,MATCH('Phase I Pro Forma'!G$7,'Taxes and TIF'!$AC$11:$AC$45,0)),0)*'Loan Sizing'!$J$15*G12</f>
        <v>0</v>
      </c>
      <c r="H23" s="151">
        <f>+IFERROR(INDEX('Taxes and TIF'!$R$11:$R$45,MATCH('Phase I Pro Forma'!H$7,'Taxes and TIF'!$AC$11:$AC$45,0)),0)*'Loan Sizing'!$J$15*H12</f>
        <v>0</v>
      </c>
      <c r="I23" s="151">
        <f>+IFERROR(INDEX('Taxes and TIF'!$R$11:$R$45,MATCH('Phase I Pro Forma'!I$7,'Taxes and TIF'!$AC$11:$AC$45,0)),0)*'Loan Sizing'!$J$15*I12</f>
        <v>0</v>
      </c>
      <c r="J23" s="151">
        <f>+IFERROR(INDEX('Taxes and TIF'!$R$11:$R$45,MATCH('Phase I Pro Forma'!J$7,'Taxes and TIF'!$AC$11:$AC$45,0)),0)*'Loan Sizing'!$J$15*J12</f>
        <v>0</v>
      </c>
      <c r="K23" s="151">
        <f>+IFERROR(INDEX('Taxes and TIF'!$R$11:$R$45,MATCH('Phase I Pro Forma'!K$7,'Taxes and TIF'!$AC$11:$AC$45,0)),0)*'Loan Sizing'!$J$15*K12</f>
        <v>0</v>
      </c>
      <c r="L23" s="151">
        <f>+IFERROR(INDEX('Taxes and TIF'!$R$11:$R$45,MATCH('Phase I Pro Forma'!L$7,'Taxes and TIF'!$AC$11:$AC$45,0)),0)*'Loan Sizing'!$J$15*L12</f>
        <v>0</v>
      </c>
      <c r="M23" s="151">
        <f>+IFERROR(INDEX('Taxes and TIF'!$R$11:$R$45,MATCH('Phase I Pro Forma'!M$7,'Taxes and TIF'!$AC$11:$AC$45,0)),0)*'Loan Sizing'!$J$15*M12</f>
        <v>0</v>
      </c>
      <c r="N23" s="151">
        <f>+IFERROR(INDEX('Taxes and TIF'!$R$11:$R$45,MATCH('Phase I Pro Forma'!N$7,'Taxes and TIF'!$AC$11:$AC$45,0)),0)*'Loan Sizing'!$J$15*N12</f>
        <v>0</v>
      </c>
      <c r="O23" s="151">
        <f>+IFERROR(INDEX('Taxes and TIF'!$R$11:$R$45,MATCH('Phase I Pro Forma'!O$7,'Taxes and TIF'!$AC$11:$AC$45,0)),0)*'Loan Sizing'!$J$15*O12</f>
        <v>0</v>
      </c>
      <c r="P23" s="151">
        <f>+IFERROR(INDEX('Taxes and TIF'!$R$11:$R$45,MATCH('Phase I Pro Forma'!P$7,'Taxes and TIF'!$AC$11:$AC$45,0)),0)*'Loan Sizing'!$J$15*P12</f>
        <v>0</v>
      </c>
      <c r="Q23" s="151">
        <f>+IFERROR(INDEX('Taxes and TIF'!$R$11:$R$45,MATCH('Phase I Pro Forma'!Q$7,'Taxes and TIF'!$AC$11:$AC$45,0)),0)*'Loan Sizing'!$J$15*Q12</f>
        <v>0</v>
      </c>
      <c r="R23" s="151">
        <f>+IFERROR(INDEX('Taxes and TIF'!$R$11:$R$45,MATCH('Phase I Pro Forma'!R$7,'Taxes and TIF'!$AC$11:$AC$45,0)),0)*'Loan Sizing'!$J$15*R12</f>
        <v>0</v>
      </c>
      <c r="S23" s="151">
        <f>+IFERROR(INDEX('Taxes and TIF'!$R$11:$R$45,MATCH('Phase I Pro Forma'!S$7,'Taxes and TIF'!$AC$11:$AC$45,0)),0)*'Loan Sizing'!$J$15*S12</f>
        <v>0</v>
      </c>
      <c r="T23" s="151">
        <f>+IFERROR(INDEX('Taxes and TIF'!$R$11:$R$45,MATCH('Phase I Pro Forma'!T$7,'Taxes and TIF'!$AC$11:$AC$45,0)),0)*'Loan Sizing'!$J$15*T12</f>
        <v>0</v>
      </c>
      <c r="U23" s="151">
        <f>+IFERROR(INDEX('Taxes and TIF'!$R$11:$R$45,MATCH('Phase I Pro Forma'!U$7,'Taxes and TIF'!$AC$11:$AC$45,0)),0)*'Loan Sizing'!$J$15*U12</f>
        <v>0</v>
      </c>
      <c r="V23" s="151">
        <f>+IFERROR(INDEX('Taxes and TIF'!$R$11:$R$45,MATCH('Phase I Pro Forma'!V$7,'Taxes and TIF'!$AC$11:$AC$45,0)),0)*'Loan Sizing'!$J$15*V12</f>
        <v>0</v>
      </c>
      <c r="W23" s="151">
        <f>+IFERROR(INDEX('Taxes and TIF'!$R$11:$R$45,MATCH('Phase I Pro Forma'!W$7,'Taxes and TIF'!$AC$11:$AC$45,0)),0)*'Loan Sizing'!$J$15*W12</f>
        <v>0</v>
      </c>
      <c r="X23" s="151">
        <f>+IFERROR(INDEX('Taxes and TIF'!$R$11:$R$45,MATCH('Phase I Pro Forma'!X$7,'Taxes and TIF'!$AC$11:$AC$45,0)),0)*'Loan Sizing'!$J$15*X12</f>
        <v>0</v>
      </c>
      <c r="Y23" s="151">
        <f>+IFERROR(INDEX('Taxes and TIF'!$R$11:$R$45,MATCH('Phase I Pro Forma'!Y$7,'Taxes and TIF'!$AC$11:$AC$45,0)),0)*'Loan Sizing'!$J$15*Y12</f>
        <v>0</v>
      </c>
      <c r="Z23" s="151">
        <f>+IFERROR(INDEX('Taxes and TIF'!$R$11:$R$45,MATCH('Phase I Pro Forma'!Z$7,'Taxes and TIF'!$AC$11:$AC$45,0)),0)*'Loan Sizing'!$J$15*Z12</f>
        <v>0</v>
      </c>
    </row>
    <row r="24" spans="2:26">
      <c r="B24" s="137" t="s">
        <v>234</v>
      </c>
      <c r="C24" s="137"/>
      <c r="D24" s="137"/>
      <c r="E24" s="137"/>
      <c r="F24" s="129">
        <f t="shared" ref="F24:Z24" si="7">+SUM(F22:F23)</f>
        <v>0</v>
      </c>
      <c r="G24" s="129">
        <f t="shared" si="7"/>
        <v>0</v>
      </c>
      <c r="H24" s="129">
        <f t="shared" si="7"/>
        <v>0</v>
      </c>
      <c r="I24" s="129">
        <f t="shared" si="7"/>
        <v>2076665.3780609998</v>
      </c>
      <c r="J24" s="129">
        <f t="shared" si="7"/>
        <v>4277930.6788056605</v>
      </c>
      <c r="K24" s="129">
        <f t="shared" si="7"/>
        <v>4406268.5991698299</v>
      </c>
      <c r="L24" s="129">
        <f t="shared" si="7"/>
        <v>4538456.6571449246</v>
      </c>
      <c r="M24" s="129">
        <f t="shared" si="7"/>
        <v>4674610.3568592723</v>
      </c>
      <c r="N24" s="129">
        <f t="shared" si="7"/>
        <v>4814848.6675650515</v>
      </c>
      <c r="O24" s="129">
        <f t="shared" si="7"/>
        <v>4959294.127592003</v>
      </c>
      <c r="P24" s="129">
        <f t="shared" si="7"/>
        <v>5108072.9514197623</v>
      </c>
      <c r="Q24" s="129">
        <f t="shared" si="7"/>
        <v>5261315.1399623556</v>
      </c>
      <c r="R24" s="129">
        <f t="shared" si="7"/>
        <v>5419154.5941612264</v>
      </c>
      <c r="S24" s="129">
        <f t="shared" si="7"/>
        <v>5581729.2319860635</v>
      </c>
      <c r="T24" s="129">
        <f t="shared" si="7"/>
        <v>5749181.1089456463</v>
      </c>
      <c r="U24" s="129">
        <f t="shared" si="7"/>
        <v>5921656.5422140155</v>
      </c>
      <c r="V24" s="129">
        <f t="shared" si="7"/>
        <v>6099306.2384804366</v>
      </c>
      <c r="W24" s="129">
        <f t="shared" si="7"/>
        <v>6282285.4256348498</v>
      </c>
      <c r="X24" s="129">
        <f t="shared" si="7"/>
        <v>6470753.9884038949</v>
      </c>
      <c r="Y24" s="129">
        <f t="shared" si="7"/>
        <v>6664876.6080560125</v>
      </c>
      <c r="Z24" s="129">
        <f t="shared" si="7"/>
        <v>6864822.906297693</v>
      </c>
    </row>
    <row r="25" spans="2:26">
      <c r="B25" s="33"/>
    </row>
    <row r="26" spans="2:26" ht="15.5">
      <c r="B26" s="138" t="s">
        <v>233</v>
      </c>
      <c r="C26" s="138"/>
      <c r="D26" s="138"/>
      <c r="E26" s="138"/>
      <c r="F26" s="139">
        <f t="shared" ref="F26:Z26" si="8">+F20-F24</f>
        <v>0</v>
      </c>
      <c r="G26" s="139">
        <f t="shared" si="8"/>
        <v>0</v>
      </c>
      <c r="H26" s="139">
        <f t="shared" si="8"/>
        <v>0</v>
      </c>
      <c r="I26" s="139">
        <f t="shared" si="8"/>
        <v>3875784.4527389999</v>
      </c>
      <c r="J26" s="139">
        <f t="shared" si="8"/>
        <v>7864206.2760263402</v>
      </c>
      <c r="K26" s="139">
        <f t="shared" si="8"/>
        <v>7977850.3947588112</v>
      </c>
      <c r="L26" s="139">
        <f t="shared" si="8"/>
        <v>8092484.0166622903</v>
      </c>
      <c r="M26" s="139">
        <f t="shared" si="8"/>
        <v>8208088.4304240849</v>
      </c>
      <c r="N26" s="139">
        <f t="shared" si="8"/>
        <v>8324643.3954639751</v>
      </c>
      <c r="O26" s="139">
        <f t="shared" si="8"/>
        <v>8442127.0766976029</v>
      </c>
      <c r="P26" s="139">
        <f t="shared" si="8"/>
        <v>8560515.9769556373</v>
      </c>
      <c r="Q26" s="139">
        <f t="shared" si="8"/>
        <v>8679784.8669805527</v>
      </c>
      <c r="R26" s="139">
        <f t="shared" si="8"/>
        <v>8799906.7129205391</v>
      </c>
      <c r="S26" s="139">
        <f t="shared" si="8"/>
        <v>8920852.6012373343</v>
      </c>
      <c r="T26" s="139">
        <f t="shared" si="8"/>
        <v>9042591.6609422229</v>
      </c>
      <c r="U26" s="139">
        <f t="shared" si="8"/>
        <v>9165090.9830716122</v>
      </c>
      <c r="V26" s="139">
        <f t="shared" si="8"/>
        <v>9288315.537310902</v>
      </c>
      <c r="W26" s="139">
        <f t="shared" si="8"/>
        <v>9412228.0856723171</v>
      </c>
      <c r="X26" s="139">
        <f t="shared" si="8"/>
        <v>9536789.0931294151</v>
      </c>
      <c r="Y26" s="139">
        <f t="shared" si="8"/>
        <v>9661956.6351079643</v>
      </c>
      <c r="Z26" s="139">
        <f t="shared" si="8"/>
        <v>9787686.3017295655</v>
      </c>
    </row>
    <row r="27" spans="2:26" ht="15.5">
      <c r="B27" s="143" t="s">
        <v>239</v>
      </c>
      <c r="C27" s="141"/>
      <c r="D27" s="141"/>
      <c r="E27" s="141"/>
      <c r="F27" s="144" t="str">
        <f t="shared" ref="F27:Z27" si="9">+IFERROR(F26/F20,"")</f>
        <v/>
      </c>
      <c r="G27" s="144" t="str">
        <f t="shared" si="9"/>
        <v/>
      </c>
      <c r="H27" s="144" t="str">
        <f t="shared" si="9"/>
        <v/>
      </c>
      <c r="I27" s="145">
        <f t="shared" si="9"/>
        <v>0.65112425352740866</v>
      </c>
      <c r="J27" s="145">
        <f t="shared" si="9"/>
        <v>0.64767893042886127</v>
      </c>
      <c r="K27" s="145">
        <f t="shared" si="9"/>
        <v>0.64420007581241601</v>
      </c>
      <c r="L27" s="145">
        <f t="shared" si="9"/>
        <v>0.64068735857842141</v>
      </c>
      <c r="M27" s="145">
        <f t="shared" si="9"/>
        <v>0.6371404444017873</v>
      </c>
      <c r="N27" s="145">
        <f t="shared" si="9"/>
        <v>0.63355899570024232</v>
      </c>
      <c r="O27" s="145">
        <f t="shared" si="9"/>
        <v>0.62994267160227735</v>
      </c>
      <c r="P27" s="145">
        <f t="shared" si="9"/>
        <v>0.62629112791477526</v>
      </c>
      <c r="Q27" s="145">
        <f t="shared" si="9"/>
        <v>0.62260401709032076</v>
      </c>
      <c r="R27" s="145">
        <f t="shared" si="9"/>
        <v>0.61888098819419035</v>
      </c>
      <c r="S27" s="145">
        <f t="shared" si="9"/>
        <v>0.61512168687101643</v>
      </c>
      <c r="T27" s="145">
        <f t="shared" si="9"/>
        <v>0.61132575531112432</v>
      </c>
      <c r="U27" s="145">
        <f t="shared" si="9"/>
        <v>0.60749283221653805</v>
      </c>
      <c r="V27" s="145">
        <f t="shared" si="9"/>
        <v>0.60362255276665266</v>
      </c>
      <c r="W27" s="145">
        <f t="shared" si="9"/>
        <v>0.59971454858356998</v>
      </c>
      <c r="X27" s="145">
        <f t="shared" si="9"/>
        <v>0.59576844769709147</v>
      </c>
      <c r="Y27" s="145">
        <f t="shared" si="9"/>
        <v>0.5917838745093702</v>
      </c>
      <c r="Z27" s="145">
        <f t="shared" si="9"/>
        <v>0.58776044975921471</v>
      </c>
    </row>
    <row r="28" spans="2:26" ht="15.5">
      <c r="B28" s="143" t="s">
        <v>179</v>
      </c>
      <c r="C28" s="141"/>
      <c r="D28" s="141"/>
      <c r="E28" s="141"/>
      <c r="F28" s="142">
        <f>+F26/Assumptions!$N$128</f>
        <v>0</v>
      </c>
      <c r="G28" s="142">
        <f>+G26/Assumptions!$N$128</f>
        <v>0</v>
      </c>
      <c r="H28" s="142">
        <f>+H26/Assumptions!$N$128</f>
        <v>0</v>
      </c>
      <c r="I28" s="142">
        <f>+I26/Assumptions!$N$128</f>
        <v>51677126.036519997</v>
      </c>
      <c r="J28" s="142">
        <f>+J26/Assumptions!$N$128</f>
        <v>104856083.68035121</v>
      </c>
      <c r="K28" s="142">
        <f>+K26/Assumptions!$N$128</f>
        <v>106371338.59678416</v>
      </c>
      <c r="L28" s="142">
        <f>+L26/Assumptions!$N$128</f>
        <v>107899786.88883054</v>
      </c>
      <c r="M28" s="142">
        <f>+M26/Assumptions!$N$128</f>
        <v>109441179.07232113</v>
      </c>
      <c r="N28" s="142">
        <f>+N26/Assumptions!$N$128</f>
        <v>110995245.272853</v>
      </c>
      <c r="O28" s="142">
        <f>+O26/Assumptions!$N$128</f>
        <v>112561694.35596804</v>
      </c>
      <c r="P28" s="142">
        <f>+P26/Assumptions!$N$128</f>
        <v>114140213.02607517</v>
      </c>
      <c r="Q28" s="142">
        <f>+Q26/Assumptions!$N$128</f>
        <v>115730464.89307404</v>
      </c>
      <c r="R28" s="142">
        <f>+R26/Assumptions!$N$128</f>
        <v>117332089.50560719</v>
      </c>
      <c r="S28" s="142">
        <f>+S26/Assumptions!$N$128</f>
        <v>118944701.34983113</v>
      </c>
      <c r="T28" s="142">
        <f>+T26/Assumptions!$N$128</f>
        <v>120567888.81256297</v>
      </c>
      <c r="U28" s="142">
        <f>+U26/Assumptions!$N$128</f>
        <v>122201213.10762151</v>
      </c>
      <c r="V28" s="142">
        <f>+V26/Assumptions!$N$128</f>
        <v>123844207.16414537</v>
      </c>
      <c r="W28" s="142">
        <f>+W26/Assumptions!$N$128</f>
        <v>125496374.47563089</v>
      </c>
      <c r="X28" s="142">
        <f>+X26/Assumptions!$N$128</f>
        <v>127157187.90839221</v>
      </c>
      <c r="Y28" s="142">
        <f>+Y26/Assumptions!$N$128</f>
        <v>128826088.4681062</v>
      </c>
      <c r="Z28" s="142">
        <f>+Z26/Assumptions!$N$128</f>
        <v>130502484.02306087</v>
      </c>
    </row>
    <row r="30" spans="2:26" ht="15.5">
      <c r="B30" s="148" t="s">
        <v>245</v>
      </c>
      <c r="C30" s="149"/>
      <c r="D30" s="149"/>
      <c r="E30" s="149"/>
      <c r="F30" s="150">
        <f>+Assumptions!$F$22</f>
        <v>44561</v>
      </c>
      <c r="G30" s="150">
        <f>+EOMONTH(F30,12)</f>
        <v>44926</v>
      </c>
      <c r="H30" s="150">
        <f t="shared" ref="H30:Z30" si="10">+EOMONTH(G30,12)</f>
        <v>45291</v>
      </c>
      <c r="I30" s="150">
        <f t="shared" si="10"/>
        <v>45657</v>
      </c>
      <c r="J30" s="150">
        <f t="shared" si="10"/>
        <v>46022</v>
      </c>
      <c r="K30" s="150">
        <f t="shared" si="10"/>
        <v>46387</v>
      </c>
      <c r="L30" s="150">
        <f t="shared" si="10"/>
        <v>46752</v>
      </c>
      <c r="M30" s="150">
        <f t="shared" si="10"/>
        <v>47118</v>
      </c>
      <c r="N30" s="150">
        <f t="shared" si="10"/>
        <v>47483</v>
      </c>
      <c r="O30" s="150">
        <f t="shared" si="10"/>
        <v>47848</v>
      </c>
      <c r="P30" s="150">
        <f t="shared" si="10"/>
        <v>48213</v>
      </c>
      <c r="Q30" s="150">
        <f t="shared" si="10"/>
        <v>48579</v>
      </c>
      <c r="R30" s="150">
        <f t="shared" si="10"/>
        <v>48944</v>
      </c>
      <c r="S30" s="150">
        <f t="shared" si="10"/>
        <v>49309</v>
      </c>
      <c r="T30" s="150">
        <f t="shared" si="10"/>
        <v>49674</v>
      </c>
      <c r="U30" s="150">
        <f t="shared" si="10"/>
        <v>50040</v>
      </c>
      <c r="V30" s="150">
        <f t="shared" si="10"/>
        <v>50405</v>
      </c>
      <c r="W30" s="150">
        <f t="shared" si="10"/>
        <v>50770</v>
      </c>
      <c r="X30" s="150">
        <f t="shared" si="10"/>
        <v>51135</v>
      </c>
      <c r="Y30" s="150">
        <f t="shared" si="10"/>
        <v>51501</v>
      </c>
      <c r="Z30" s="150">
        <f t="shared" si="10"/>
        <v>51866</v>
      </c>
    </row>
    <row r="31" spans="2:26">
      <c r="B31" s="33" t="s">
        <v>690</v>
      </c>
      <c r="C31" s="33"/>
      <c r="D31" s="40"/>
      <c r="E31" s="40"/>
      <c r="F31" s="42">
        <f>+IF(AND(F30&gt;=Assumptions!$F$26,F30&lt;Assumptions!$F$28),Assumptions!$F$83/ROUNDUP((Assumptions!$F$27/12),0),0)</f>
        <v>0</v>
      </c>
      <c r="G31" s="42">
        <f>+IF(AND(G30&gt;=Assumptions!$F$26,G30&lt;Assumptions!$F$28),Assumptions!$F$83/ROUNDUP((Assumptions!$F$27/12),0),0)</f>
        <v>0</v>
      </c>
      <c r="H31" s="42">
        <f>+IF(AND(H30&gt;=Assumptions!$F$26,H30&lt;Assumptions!$F$28),Assumptions!$F$83/ROUNDUP((Assumptions!$F$27/12),0),0)</f>
        <v>0</v>
      </c>
      <c r="I31" s="42">
        <f>+IF(AND(I30&gt;=Assumptions!$F$26,I30&lt;Assumptions!$F$28),Assumptions!$F$83/ROUNDUP((Assumptions!$F$27/12),0),0)</f>
        <v>121900.0009</v>
      </c>
      <c r="J31" s="42">
        <f>+IF(AND(J30&gt;=Assumptions!$F$26,J30&lt;Assumptions!$F$28),Assumptions!$F$83/ROUNDUP((Assumptions!$F$27/12),0),0)</f>
        <v>121900.0009</v>
      </c>
      <c r="K31" s="42">
        <f>+IF(AND(K30&gt;=Assumptions!$F$26,K30&lt;Assumptions!$F$28),Assumptions!$F$83/ROUNDUP((Assumptions!$F$27/12),0),0)</f>
        <v>0</v>
      </c>
      <c r="L31" s="42">
        <f>+IF(AND(L30&gt;=Assumptions!$F$26,L30&lt;Assumptions!$F$28),Assumptions!$F$83/ROUNDUP((Assumptions!$F$27/12),0),0)</f>
        <v>0</v>
      </c>
      <c r="M31" s="42">
        <f>+IF(AND(M30&gt;=Assumptions!$F$26,M30&lt;Assumptions!$F$28),Assumptions!$F$83/ROUNDUP((Assumptions!$F$27/12),0),0)</f>
        <v>0</v>
      </c>
      <c r="N31" s="42">
        <f>+IF(AND(N30&gt;=Assumptions!$F$26,N30&lt;Assumptions!$F$28),Assumptions!$F$83/ROUNDUP((Assumptions!$F$27/12),0),0)</f>
        <v>0</v>
      </c>
      <c r="O31" s="42">
        <f>+IF(AND(O30&gt;=Assumptions!$F$26,O30&lt;Assumptions!$F$28),Assumptions!$F$83/ROUNDUP((Assumptions!$F$27/12),0),0)</f>
        <v>0</v>
      </c>
      <c r="P31" s="42">
        <f>+IF(AND(P30&gt;=Assumptions!$F$26,P30&lt;Assumptions!$F$28),Assumptions!$F$83/ROUNDUP((Assumptions!$F$27/12),0),0)</f>
        <v>0</v>
      </c>
      <c r="Q31" s="42">
        <f>+IF(AND(Q30&gt;=Assumptions!$F$26,Q30&lt;Assumptions!$F$28),Assumptions!$F$83/ROUNDUP((Assumptions!$F$27/12),0),0)</f>
        <v>0</v>
      </c>
      <c r="R31" s="42">
        <f>+IF(AND(R30&gt;=Assumptions!$F$26,R30&lt;Assumptions!$F$28),Assumptions!$F$83/ROUNDUP((Assumptions!$F$27/12),0),0)</f>
        <v>0</v>
      </c>
      <c r="S31" s="42">
        <f>+IF(AND(S30&gt;=Assumptions!$F$26,S30&lt;Assumptions!$F$28),Assumptions!$F$83/ROUNDUP((Assumptions!$F$27/12),0),0)</f>
        <v>0</v>
      </c>
      <c r="T31" s="42">
        <f>+IF(AND(T30&gt;=Assumptions!$F$26,T30&lt;Assumptions!$F$28),Assumptions!$F$83/ROUNDUP((Assumptions!$F$27/12),0),0)</f>
        <v>0</v>
      </c>
      <c r="U31" s="42">
        <f>+IF(AND(U30&gt;=Assumptions!$F$26,U30&lt;Assumptions!$F$28),Assumptions!$F$83/ROUNDUP((Assumptions!$F$27/12),0),0)</f>
        <v>0</v>
      </c>
      <c r="V31" s="42">
        <f>+IF(AND(V30&gt;=Assumptions!$F$26,V30&lt;Assumptions!$F$28),Assumptions!$F$83/ROUNDUP((Assumptions!$F$27/12),0),0)</f>
        <v>0</v>
      </c>
      <c r="W31" s="42">
        <f>+IF(AND(W30&gt;=Assumptions!$F$26,W30&lt;Assumptions!$F$28),Assumptions!$F$83/ROUNDUP((Assumptions!$F$27/12),0),0)</f>
        <v>0</v>
      </c>
      <c r="X31" s="42">
        <f>+IF(AND(X30&gt;=Assumptions!$F$26,X30&lt;Assumptions!$F$28),Assumptions!$F$83/ROUNDUP((Assumptions!$F$27/12),0),0)</f>
        <v>0</v>
      </c>
      <c r="Y31" s="42">
        <f>+IF(AND(Y30&gt;=Assumptions!$F$26,Y30&lt;Assumptions!$F$28),Assumptions!$F$83/ROUNDUP((Assumptions!$F$27/12),0),0)</f>
        <v>0</v>
      </c>
      <c r="Z31" s="42">
        <f>+IF(AND(Z30&gt;=Assumptions!$F$26,Z30&lt;Assumptions!$F$28),Assumptions!$F$83/ROUNDUP((Assumptions!$F$27/12),0),0)</f>
        <v>0</v>
      </c>
    </row>
    <row r="32" spans="2:26">
      <c r="B32" s="33" t="s">
        <v>231</v>
      </c>
      <c r="C32" s="33"/>
      <c r="D32" s="42">
        <v>0</v>
      </c>
      <c r="E32" s="42"/>
      <c r="F32" s="42">
        <f>+D32+F31</f>
        <v>0</v>
      </c>
      <c r="G32" s="42">
        <f t="shared" ref="G32" si="11">+F32+G31</f>
        <v>0</v>
      </c>
      <c r="H32" s="42">
        <f t="shared" ref="H32" si="12">+G32+H31</f>
        <v>0</v>
      </c>
      <c r="I32" s="42">
        <f t="shared" ref="I32" si="13">+H32+I31</f>
        <v>121900.0009</v>
      </c>
      <c r="J32" s="42">
        <f t="shared" ref="J32" si="14">+I32+J31</f>
        <v>243800.0018</v>
      </c>
      <c r="K32" s="42">
        <f t="shared" ref="K32" si="15">+J32+K31</f>
        <v>243800.0018</v>
      </c>
      <c r="L32" s="42">
        <f t="shared" ref="L32" si="16">+K32+L31</f>
        <v>243800.0018</v>
      </c>
      <c r="M32" s="42">
        <f t="shared" ref="M32" si="17">+L32+M31</f>
        <v>243800.0018</v>
      </c>
      <c r="N32" s="42">
        <f t="shared" ref="N32" si="18">+M32+N31</f>
        <v>243800.0018</v>
      </c>
      <c r="O32" s="42">
        <f t="shared" ref="O32" si="19">+N32+O31</f>
        <v>243800.0018</v>
      </c>
      <c r="P32" s="42">
        <f t="shared" ref="P32" si="20">+O32+P31</f>
        <v>243800.0018</v>
      </c>
      <c r="Q32" s="42">
        <f t="shared" ref="Q32" si="21">+P32+Q31</f>
        <v>243800.0018</v>
      </c>
      <c r="R32" s="42">
        <f t="shared" ref="R32" si="22">+Q32+R31</f>
        <v>243800.0018</v>
      </c>
      <c r="S32" s="42">
        <f t="shared" ref="S32" si="23">+R32+S31</f>
        <v>243800.0018</v>
      </c>
      <c r="T32" s="42">
        <f t="shared" ref="T32" si="24">+S32+T31</f>
        <v>243800.0018</v>
      </c>
      <c r="U32" s="42">
        <f t="shared" ref="U32" si="25">+T32+U31</f>
        <v>243800.0018</v>
      </c>
      <c r="V32" s="42">
        <f t="shared" ref="V32" si="26">+U32+V31</f>
        <v>243800.0018</v>
      </c>
      <c r="W32" s="42">
        <f t="shared" ref="W32" si="27">+V32+W31</f>
        <v>243800.0018</v>
      </c>
      <c r="X32" s="42">
        <f t="shared" ref="X32" si="28">+W32+X31</f>
        <v>243800.0018</v>
      </c>
      <c r="Y32" s="42">
        <f t="shared" ref="Y32" si="29">+X32+Y31</f>
        <v>243800.0018</v>
      </c>
      <c r="Z32" s="42">
        <f t="shared" ref="Z32" si="30">+Y32+Z31</f>
        <v>243800.0018</v>
      </c>
    </row>
    <row r="33" spans="2:26">
      <c r="B33" s="33" t="s">
        <v>466</v>
      </c>
      <c r="C33" s="33"/>
      <c r="D33" s="42"/>
      <c r="E33" s="42"/>
      <c r="F33" s="42">
        <f>+F34-E34</f>
        <v>0</v>
      </c>
      <c r="G33" s="42">
        <f t="shared" ref="G33" si="31">+G34-F34</f>
        <v>0</v>
      </c>
      <c r="H33" s="42">
        <f t="shared" ref="H33" si="32">+H34-G34</f>
        <v>0</v>
      </c>
      <c r="I33" s="42">
        <f t="shared" ref="I33" si="33">+I34-H34</f>
        <v>153.5000005</v>
      </c>
      <c r="J33" s="42">
        <f t="shared" ref="J33" si="34">+J34-I34</f>
        <v>153.5000005</v>
      </c>
      <c r="K33" s="42">
        <f t="shared" ref="K33" si="35">+K34-J34</f>
        <v>0</v>
      </c>
      <c r="L33" s="42">
        <f t="shared" ref="L33" si="36">+L34-K34</f>
        <v>0</v>
      </c>
      <c r="M33" s="42">
        <f t="shared" ref="M33" si="37">+M34-L34</f>
        <v>0</v>
      </c>
      <c r="N33" s="42">
        <f t="shared" ref="N33" si="38">+N34-M34</f>
        <v>0</v>
      </c>
      <c r="O33" s="42">
        <f t="shared" ref="O33" si="39">+O34-N34</f>
        <v>0</v>
      </c>
      <c r="P33" s="42">
        <f t="shared" ref="P33" si="40">+P34-O34</f>
        <v>0</v>
      </c>
      <c r="Q33" s="42">
        <f t="shared" ref="Q33" si="41">+Q34-P34</f>
        <v>0</v>
      </c>
      <c r="R33" s="42">
        <f t="shared" ref="R33" si="42">+R34-Q34</f>
        <v>0</v>
      </c>
      <c r="S33" s="42">
        <f t="shared" ref="S33" si="43">+S34-R34</f>
        <v>0</v>
      </c>
      <c r="T33" s="42">
        <f t="shared" ref="T33" si="44">+T34-S34</f>
        <v>0</v>
      </c>
      <c r="U33" s="42">
        <f t="shared" ref="U33" si="45">+U34-T34</f>
        <v>0</v>
      </c>
      <c r="V33" s="42">
        <f t="shared" ref="V33" si="46">+V34-U34</f>
        <v>0</v>
      </c>
      <c r="W33" s="42">
        <f t="shared" ref="W33" si="47">+W34-V34</f>
        <v>0</v>
      </c>
      <c r="X33" s="42">
        <f t="shared" ref="X33" si="48">+X34-W34</f>
        <v>0</v>
      </c>
      <c r="Y33" s="42">
        <f t="shared" ref="Y33" si="49">+Y34-X34</f>
        <v>0</v>
      </c>
      <c r="Z33" s="42">
        <f t="shared" ref="Z33" si="50">+Z34-Y34</f>
        <v>0</v>
      </c>
    </row>
    <row r="34" spans="2:26">
      <c r="B34" s="33" t="s">
        <v>232</v>
      </c>
      <c r="C34" s="33"/>
      <c r="D34" s="42"/>
      <c r="E34" s="42"/>
      <c r="F34" s="42">
        <f>+F35*Assumptions!$F$84</f>
        <v>0</v>
      </c>
      <c r="G34" s="42">
        <f>+G35*Assumptions!$F$84</f>
        <v>0</v>
      </c>
      <c r="H34" s="42">
        <f>+H35*Assumptions!$F$84</f>
        <v>0</v>
      </c>
      <c r="I34" s="42">
        <f>+I35*Assumptions!$F$84</f>
        <v>153.5000005</v>
      </c>
      <c r="J34" s="42">
        <f>+J35*Assumptions!$F$84</f>
        <v>307.000001</v>
      </c>
      <c r="K34" s="42">
        <f>+K35*Assumptions!$F$84</f>
        <v>307.000001</v>
      </c>
      <c r="L34" s="42">
        <f>+L35*Assumptions!$F$84</f>
        <v>307.000001</v>
      </c>
      <c r="M34" s="42">
        <f>+M35*Assumptions!$F$84</f>
        <v>307.000001</v>
      </c>
      <c r="N34" s="42">
        <f>+N35*Assumptions!$F$84</f>
        <v>307.000001</v>
      </c>
      <c r="O34" s="42">
        <f>+O35*Assumptions!$F$84</f>
        <v>307.000001</v>
      </c>
      <c r="P34" s="42">
        <f>+P35*Assumptions!$F$84</f>
        <v>307.000001</v>
      </c>
      <c r="Q34" s="42">
        <f>+Q35*Assumptions!$F$84</f>
        <v>307.000001</v>
      </c>
      <c r="R34" s="42">
        <f>+R35*Assumptions!$F$84</f>
        <v>307.000001</v>
      </c>
      <c r="S34" s="42">
        <f>+S35*Assumptions!$F$84</f>
        <v>307.000001</v>
      </c>
      <c r="T34" s="42">
        <f>+T35*Assumptions!$F$84</f>
        <v>307.000001</v>
      </c>
      <c r="U34" s="42">
        <f>+U35*Assumptions!$F$84</f>
        <v>307.000001</v>
      </c>
      <c r="V34" s="42">
        <f>+V35*Assumptions!$F$84</f>
        <v>307.000001</v>
      </c>
      <c r="W34" s="42">
        <f>+W35*Assumptions!$F$84</f>
        <v>307.000001</v>
      </c>
      <c r="X34" s="42">
        <f>+X35*Assumptions!$F$84</f>
        <v>307.000001</v>
      </c>
      <c r="Y34" s="42">
        <f>+Y35*Assumptions!$F$84</f>
        <v>307.000001</v>
      </c>
      <c r="Z34" s="42">
        <f>+Z35*Assumptions!$F$84</f>
        <v>307.000001</v>
      </c>
    </row>
    <row r="35" spans="2:26">
      <c r="B35" s="33" t="s">
        <v>285</v>
      </c>
      <c r="C35" s="33"/>
      <c r="D35" s="42"/>
      <c r="E35" s="42"/>
      <c r="F35" s="108">
        <f>+F32/SUM($F31:$Z31)</f>
        <v>0</v>
      </c>
      <c r="G35" s="108">
        <f>+G32/SUM($F31:$Z31)</f>
        <v>0</v>
      </c>
      <c r="H35" s="108">
        <f t="shared" ref="H35:Z35" si="51">+H32/SUM($F31:$Z31)</f>
        <v>0</v>
      </c>
      <c r="I35" s="108">
        <f t="shared" si="51"/>
        <v>0.5</v>
      </c>
      <c r="J35" s="108">
        <f t="shared" si="51"/>
        <v>1</v>
      </c>
      <c r="K35" s="108">
        <f t="shared" si="51"/>
        <v>1</v>
      </c>
      <c r="L35" s="108">
        <f t="shared" si="51"/>
        <v>1</v>
      </c>
      <c r="M35" s="108">
        <f t="shared" si="51"/>
        <v>1</v>
      </c>
      <c r="N35" s="108">
        <f t="shared" si="51"/>
        <v>1</v>
      </c>
      <c r="O35" s="108">
        <f t="shared" si="51"/>
        <v>1</v>
      </c>
      <c r="P35" s="108">
        <f t="shared" si="51"/>
        <v>1</v>
      </c>
      <c r="Q35" s="108">
        <f t="shared" si="51"/>
        <v>1</v>
      </c>
      <c r="R35" s="108">
        <f t="shared" si="51"/>
        <v>1</v>
      </c>
      <c r="S35" s="108">
        <f t="shared" si="51"/>
        <v>1</v>
      </c>
      <c r="T35" s="108">
        <f t="shared" si="51"/>
        <v>1</v>
      </c>
      <c r="U35" s="108">
        <f t="shared" si="51"/>
        <v>1</v>
      </c>
      <c r="V35" s="108">
        <f t="shared" si="51"/>
        <v>1</v>
      </c>
      <c r="W35" s="108">
        <f t="shared" si="51"/>
        <v>1</v>
      </c>
      <c r="X35" s="108">
        <f t="shared" si="51"/>
        <v>1</v>
      </c>
      <c r="Y35" s="108">
        <f t="shared" si="51"/>
        <v>1</v>
      </c>
      <c r="Z35" s="108">
        <f t="shared" si="51"/>
        <v>1</v>
      </c>
    </row>
    <row r="36" spans="2:26">
      <c r="B36" s="33"/>
      <c r="C36" s="33"/>
      <c r="D36" s="40"/>
      <c r="E36" s="40"/>
      <c r="F36" s="34"/>
      <c r="G36" s="34"/>
      <c r="H36" s="34"/>
      <c r="I36" s="34"/>
      <c r="J36" s="34"/>
      <c r="K36" s="34"/>
      <c r="L36" s="34"/>
      <c r="M36" s="34"/>
      <c r="N36" s="34"/>
      <c r="O36" s="34"/>
      <c r="P36" s="34"/>
      <c r="Q36" s="34"/>
      <c r="R36" s="34"/>
      <c r="S36" s="34"/>
      <c r="T36" s="34"/>
      <c r="U36" s="34"/>
      <c r="V36" s="34"/>
      <c r="W36" s="34"/>
      <c r="X36" s="34"/>
      <c r="Y36" s="34"/>
      <c r="Z36" s="34"/>
    </row>
    <row r="37" spans="2:26">
      <c r="B37" s="33" t="s">
        <v>236</v>
      </c>
      <c r="C37" s="33"/>
      <c r="D37" s="42"/>
      <c r="E37" s="42"/>
      <c r="F37" s="108">
        <v>1</v>
      </c>
      <c r="G37" s="108">
        <f>+F37*(1+Assumptions!$N$64)</f>
        <v>1.03</v>
      </c>
      <c r="H37" s="108">
        <f>+G37*(1+Assumptions!$N$64)</f>
        <v>1.0609</v>
      </c>
      <c r="I37" s="108">
        <f>+H37*(1+Assumptions!$N$64)</f>
        <v>1.092727</v>
      </c>
      <c r="J37" s="108">
        <f>+I37*(1+Assumptions!$N$64)</f>
        <v>1.1255088100000001</v>
      </c>
      <c r="K37" s="108">
        <f>+J37*(1+Assumptions!$N$64)</f>
        <v>1.1592740743000001</v>
      </c>
      <c r="L37" s="108">
        <f>+K37*(1+Assumptions!$N$64)</f>
        <v>1.1940522965290001</v>
      </c>
      <c r="M37" s="108">
        <f>+L37*(1+Assumptions!$N$64)</f>
        <v>1.2298738654248702</v>
      </c>
      <c r="N37" s="108">
        <f>+M37*(1+Assumptions!$N$64)</f>
        <v>1.2667700813876164</v>
      </c>
      <c r="O37" s="108">
        <f>+N37*(1+Assumptions!$N$64)</f>
        <v>1.3047731838292449</v>
      </c>
      <c r="P37" s="108">
        <f>+O37*(1+Assumptions!$N$64)</f>
        <v>1.3439163793441222</v>
      </c>
      <c r="Q37" s="108">
        <f>+P37*(1+Assumptions!$N$64)</f>
        <v>1.3842338707244459</v>
      </c>
      <c r="R37" s="108">
        <f>+Q37*(1+Assumptions!$N$64)</f>
        <v>1.4257608868461793</v>
      </c>
      <c r="S37" s="108">
        <f>+R37*(1+Assumptions!$N$64)</f>
        <v>1.4685337134515648</v>
      </c>
      <c r="T37" s="108">
        <f>+S37*(1+Assumptions!$N$64)</f>
        <v>1.5125897248551119</v>
      </c>
      <c r="U37" s="108">
        <f>+T37*(1+Assumptions!$N$64)</f>
        <v>1.5579674166007653</v>
      </c>
      <c r="V37" s="108">
        <f>+U37*(1+Assumptions!$N$64)</f>
        <v>1.6047064390987884</v>
      </c>
      <c r="W37" s="108">
        <f>+V37*(1+Assumptions!$N$64)</f>
        <v>1.652847632271752</v>
      </c>
      <c r="X37" s="108">
        <f>+W37*(1+Assumptions!$N$64)</f>
        <v>1.7024330612399046</v>
      </c>
      <c r="Y37" s="108">
        <f>+X37*(1+Assumptions!$N$64)</f>
        <v>1.7535060530771018</v>
      </c>
      <c r="Z37" s="108">
        <f>+Y37*(1+Assumptions!$N$64)</f>
        <v>1.806111234669415</v>
      </c>
    </row>
    <row r="38" spans="2:26">
      <c r="B38" s="33" t="s">
        <v>237</v>
      </c>
      <c r="C38" s="33"/>
      <c r="D38" s="42"/>
      <c r="E38" s="42"/>
      <c r="F38" s="108">
        <v>1</v>
      </c>
      <c r="G38" s="108">
        <f>+F38*(1+Assumptions!$N$77)</f>
        <v>1.03</v>
      </c>
      <c r="H38" s="108">
        <f>+G38*(1+Assumptions!$N$77)</f>
        <v>1.0609</v>
      </c>
      <c r="I38" s="108">
        <f>+H38*(1+Assumptions!$N$77)</f>
        <v>1.092727</v>
      </c>
      <c r="J38" s="108">
        <f>+I38*(1+Assumptions!$N$77)</f>
        <v>1.1255088100000001</v>
      </c>
      <c r="K38" s="108">
        <f>+J38*(1+Assumptions!$N$77)</f>
        <v>1.1592740743000001</v>
      </c>
      <c r="L38" s="108">
        <f>+K38*(1+Assumptions!$N$77)</f>
        <v>1.1940522965290001</v>
      </c>
      <c r="M38" s="108">
        <f>+L38*(1+Assumptions!$N$77)</f>
        <v>1.2298738654248702</v>
      </c>
      <c r="N38" s="108">
        <f>+M38*(1+Assumptions!$N$77)</f>
        <v>1.2667700813876164</v>
      </c>
      <c r="O38" s="108">
        <f>+N38*(1+Assumptions!$N$77)</f>
        <v>1.3047731838292449</v>
      </c>
      <c r="P38" s="108">
        <f>+O38*(1+Assumptions!$N$77)</f>
        <v>1.3439163793441222</v>
      </c>
      <c r="Q38" s="108">
        <f>+P38*(1+Assumptions!$N$77)</f>
        <v>1.3842338707244459</v>
      </c>
      <c r="R38" s="108">
        <f>+Q38*(1+Assumptions!$N$77)</f>
        <v>1.4257608868461793</v>
      </c>
      <c r="S38" s="108">
        <f>+R38*(1+Assumptions!$N$77)</f>
        <v>1.4685337134515648</v>
      </c>
      <c r="T38" s="108">
        <f>+S38*(1+Assumptions!$N$77)</f>
        <v>1.5125897248551119</v>
      </c>
      <c r="U38" s="108">
        <f>+T38*(1+Assumptions!$N$77)</f>
        <v>1.5579674166007653</v>
      </c>
      <c r="V38" s="108">
        <f>+U38*(1+Assumptions!$N$77)</f>
        <v>1.6047064390987884</v>
      </c>
      <c r="W38" s="108">
        <f>+V38*(1+Assumptions!$N$77)</f>
        <v>1.652847632271752</v>
      </c>
      <c r="X38" s="108">
        <f>+W38*(1+Assumptions!$N$77)</f>
        <v>1.7024330612399046</v>
      </c>
      <c r="Y38" s="108">
        <f>+X38*(1+Assumptions!$N$77)</f>
        <v>1.7535060530771018</v>
      </c>
      <c r="Z38" s="108">
        <f>+Y38*(1+Assumptions!$N$77)</f>
        <v>1.806111234669415</v>
      </c>
    </row>
    <row r="39" spans="2:26">
      <c r="B39" s="33"/>
      <c r="C39" s="33"/>
      <c r="D39" s="40"/>
      <c r="E39" s="40"/>
      <c r="F39" s="34"/>
      <c r="G39" s="34"/>
      <c r="H39" s="34"/>
      <c r="I39" s="34"/>
      <c r="J39" s="34"/>
      <c r="K39" s="34"/>
      <c r="L39" s="34"/>
      <c r="M39" s="34"/>
      <c r="N39" s="34"/>
      <c r="O39" s="34"/>
      <c r="P39" s="34"/>
      <c r="Q39" s="34"/>
      <c r="R39" s="34"/>
      <c r="S39" s="34"/>
      <c r="T39" s="34"/>
      <c r="U39" s="34"/>
      <c r="V39" s="34"/>
      <c r="W39" s="34"/>
      <c r="X39" s="34"/>
      <c r="Y39" s="34"/>
      <c r="Z39" s="34"/>
    </row>
    <row r="40" spans="2:26">
      <c r="B40" s="33" t="s">
        <v>228</v>
      </c>
      <c r="C40" s="33"/>
      <c r="D40" s="40"/>
      <c r="E40" s="40"/>
      <c r="F40" s="34">
        <f>+F35*Assumptions!$F$82*F37</f>
        <v>0</v>
      </c>
      <c r="G40" s="34">
        <f>+G35*Assumptions!$F$82*G37</f>
        <v>0</v>
      </c>
      <c r="H40" s="34">
        <f>+H35*Assumptions!$F$82*H37</f>
        <v>0</v>
      </c>
      <c r="I40" s="34">
        <f>+I35*Assumptions!$F$82*I37</f>
        <v>4013367.7590374462</v>
      </c>
      <c r="J40" s="34">
        <f>+J35*Assumptions!$F$82*J37</f>
        <v>8267537.5836171405</v>
      </c>
      <c r="K40" s="34">
        <f>+K35*Assumptions!$F$82*K37</f>
        <v>8515563.7111256551</v>
      </c>
      <c r="L40" s="34">
        <f>+L35*Assumptions!$F$82*L37</f>
        <v>8771030.6224594247</v>
      </c>
      <c r="M40" s="34">
        <f>+M35*Assumptions!$F$82*M37</f>
        <v>9034161.5411332082</v>
      </c>
      <c r="N40" s="34">
        <f>+N35*Assumptions!$F$82*N37</f>
        <v>9305186.3873672038</v>
      </c>
      <c r="O40" s="34">
        <f>+O35*Assumptions!$F$82*O37</f>
        <v>9584341.9789882209</v>
      </c>
      <c r="P40" s="34">
        <f>+P35*Assumptions!$F$82*P37</f>
        <v>9871872.2383578662</v>
      </c>
      <c r="Q40" s="34">
        <f>+Q35*Assumptions!$F$82*Q37</f>
        <v>10168028.405508604</v>
      </c>
      <c r="R40" s="34">
        <f>+R35*Assumptions!$F$82*R37</f>
        <v>10473069.257673861</v>
      </c>
      <c r="S40" s="34">
        <f>+S35*Assumptions!$F$82*S37</f>
        <v>10787261.335404078</v>
      </c>
      <c r="T40" s="34">
        <f>+T35*Assumptions!$F$82*T37</f>
        <v>11110879.175466202</v>
      </c>
      <c r="U40" s="34">
        <f>+U35*Assumptions!$F$82*U37</f>
        <v>11444205.550730187</v>
      </c>
      <c r="V40" s="34">
        <f>+V35*Assumptions!$F$82*V37</f>
        <v>11787531.717252094</v>
      </c>
      <c r="W40" s="34">
        <f>+W35*Assumptions!$F$82*W37</f>
        <v>12141157.668769658</v>
      </c>
      <c r="X40" s="34">
        <f>+X35*Assumptions!$F$82*X37</f>
        <v>12505392.398832748</v>
      </c>
      <c r="Y40" s="34">
        <f>+Y35*Assumptions!$F$82*Y37</f>
        <v>12880554.17079773</v>
      </c>
      <c r="Z40" s="34">
        <f>+Z35*Assumptions!$F$82*Z37</f>
        <v>13266970.795921663</v>
      </c>
    </row>
    <row r="41" spans="2:26">
      <c r="B41" s="33" t="s">
        <v>229</v>
      </c>
      <c r="C41" s="33"/>
      <c r="D41" s="40"/>
      <c r="E41" s="40"/>
      <c r="F41" s="42">
        <f>-F40*Assumptions!$N$55</f>
        <v>0</v>
      </c>
      <c r="G41" s="42">
        <f>-G40*Assumptions!$N$55</f>
        <v>0</v>
      </c>
      <c r="H41" s="42">
        <f>-H40*Assumptions!$N$55</f>
        <v>0</v>
      </c>
      <c r="I41" s="42">
        <f>-I40*Assumptions!$N$55</f>
        <v>-561871.48626524257</v>
      </c>
      <c r="J41" s="42">
        <f>-J40*Assumptions!$N$55</f>
        <v>-1157455.2617063997</v>
      </c>
      <c r="K41" s="42">
        <f>-K40*Assumptions!$N$55</f>
        <v>-1192178.9195575919</v>
      </c>
      <c r="L41" s="42">
        <f>-L40*Assumptions!$N$55</f>
        <v>-1227944.2871443196</v>
      </c>
      <c r="M41" s="42">
        <f>-M40*Assumptions!$N$55</f>
        <v>-1264782.6157586493</v>
      </c>
      <c r="N41" s="42">
        <f>-N40*Assumptions!$N$55</f>
        <v>-1302726.0942314086</v>
      </c>
      <c r="O41" s="42">
        <f>-O40*Assumptions!$N$55</f>
        <v>-1341807.8770583509</v>
      </c>
      <c r="P41" s="42">
        <f>-P40*Assumptions!$N$55</f>
        <v>-1382062.1133701014</v>
      </c>
      <c r="Q41" s="42">
        <f>-Q40*Assumptions!$N$55</f>
        <v>-1423523.9767712047</v>
      </c>
      <c r="R41" s="42">
        <f>-R40*Assumptions!$N$55</f>
        <v>-1466229.6960743407</v>
      </c>
      <c r="S41" s="42">
        <f>-S40*Assumptions!$N$55</f>
        <v>-1510216.5869565711</v>
      </c>
      <c r="T41" s="42">
        <f>-T40*Assumptions!$N$55</f>
        <v>-1555523.0845652684</v>
      </c>
      <c r="U41" s="42">
        <f>-U40*Assumptions!$N$55</f>
        <v>-1602188.7771022264</v>
      </c>
      <c r="V41" s="42">
        <f>-V40*Assumptions!$N$55</f>
        <v>-1650254.4404152934</v>
      </c>
      <c r="W41" s="42">
        <f>-W40*Assumptions!$N$55</f>
        <v>-1699762.0736277523</v>
      </c>
      <c r="X41" s="42">
        <f>-X40*Assumptions!$N$55</f>
        <v>-1750754.9358365848</v>
      </c>
      <c r="Y41" s="42">
        <f>-Y40*Assumptions!$N$55</f>
        <v>-1803277.5839116822</v>
      </c>
      <c r="Z41" s="42">
        <f>-Z40*Assumptions!$N$55</f>
        <v>-1857375.9114290329</v>
      </c>
    </row>
    <row r="42" spans="2:26">
      <c r="B42" s="33" t="s">
        <v>326</v>
      </c>
      <c r="C42" s="33"/>
      <c r="D42" s="40"/>
      <c r="E42" s="40"/>
      <c r="F42" s="151">
        <f>+F34*Assumptions!$F$90*(1-Assumptions!$N$55)*12</f>
        <v>0</v>
      </c>
      <c r="G42" s="151">
        <f>+G34*Assumptions!$F$90*(1-Assumptions!$N$55)*12</f>
        <v>0</v>
      </c>
      <c r="H42" s="151">
        <f>+H34*Assumptions!$F$90*(1-Assumptions!$N$55)*12</f>
        <v>0</v>
      </c>
      <c r="I42" s="151">
        <f>+I34*Assumptions!$F$90*(1-Assumptions!$N$55)*12</f>
        <v>87126.600283799999</v>
      </c>
      <c r="J42" s="151">
        <f>+J34*Assumptions!$F$90*(1-Assumptions!$N$55)*12</f>
        <v>174253.2005676</v>
      </c>
      <c r="K42" s="151">
        <f>+K34*Assumptions!$F$90*(1-Assumptions!$N$55)*12</f>
        <v>174253.2005676</v>
      </c>
      <c r="L42" s="151">
        <f>+L34*Assumptions!$F$90*(1-Assumptions!$N$55)*12</f>
        <v>174253.2005676</v>
      </c>
      <c r="M42" s="151">
        <f>+M34*Assumptions!$F$90*(1-Assumptions!$N$55)*12</f>
        <v>174253.2005676</v>
      </c>
      <c r="N42" s="151">
        <f>+N34*Assumptions!$F$90*(1-Assumptions!$N$55)*12</f>
        <v>174253.2005676</v>
      </c>
      <c r="O42" s="151">
        <f>+O34*Assumptions!$F$90*(1-Assumptions!$N$55)*12</f>
        <v>174253.2005676</v>
      </c>
      <c r="P42" s="151">
        <f>+P34*Assumptions!$F$90*(1-Assumptions!$N$55)*12</f>
        <v>174253.2005676</v>
      </c>
      <c r="Q42" s="151">
        <f>+Q34*Assumptions!$F$90*(1-Assumptions!$N$55)*12</f>
        <v>174253.2005676</v>
      </c>
      <c r="R42" s="151">
        <f>+R34*Assumptions!$F$90*(1-Assumptions!$N$55)*12</f>
        <v>174253.2005676</v>
      </c>
      <c r="S42" s="151">
        <f>+S34*Assumptions!$F$90*(1-Assumptions!$N$55)*12</f>
        <v>174253.2005676</v>
      </c>
      <c r="T42" s="151">
        <f>+T34*Assumptions!$F$90*(1-Assumptions!$N$55)*12</f>
        <v>174253.2005676</v>
      </c>
      <c r="U42" s="151">
        <f>+U34*Assumptions!$F$90*(1-Assumptions!$N$55)*12</f>
        <v>174253.2005676</v>
      </c>
      <c r="V42" s="151">
        <f>+V34*Assumptions!$F$90*(1-Assumptions!$N$55)*12</f>
        <v>174253.2005676</v>
      </c>
      <c r="W42" s="151">
        <f>+W34*Assumptions!$F$90*(1-Assumptions!$N$55)*12</f>
        <v>174253.2005676</v>
      </c>
      <c r="X42" s="151">
        <f>+X34*Assumptions!$F$90*(1-Assumptions!$N$55)*12</f>
        <v>174253.2005676</v>
      </c>
      <c r="Y42" s="151">
        <f>+Y34*Assumptions!$F$90*(1-Assumptions!$N$55)*12</f>
        <v>174253.2005676</v>
      </c>
      <c r="Z42" s="151">
        <f>+Z34*Assumptions!$F$90*(1-Assumptions!$N$55)*12</f>
        <v>174253.2005676</v>
      </c>
    </row>
    <row r="43" spans="2:26">
      <c r="B43" s="137" t="s">
        <v>238</v>
      </c>
      <c r="C43" s="137"/>
      <c r="D43" s="137"/>
      <c r="E43" s="137"/>
      <c r="F43" s="129">
        <f t="shared" ref="F43:Z43" si="52">+SUM(F40:F42)</f>
        <v>0</v>
      </c>
      <c r="G43" s="129">
        <f t="shared" si="52"/>
        <v>0</v>
      </c>
      <c r="H43" s="129">
        <f t="shared" si="52"/>
        <v>0</v>
      </c>
      <c r="I43" s="129">
        <f t="shared" si="52"/>
        <v>3538622.8730560038</v>
      </c>
      <c r="J43" s="129">
        <f t="shared" si="52"/>
        <v>7284335.5224783411</v>
      </c>
      <c r="K43" s="129">
        <f t="shared" si="52"/>
        <v>7497637.9921356635</v>
      </c>
      <c r="L43" s="129">
        <f t="shared" si="52"/>
        <v>7717339.5358827049</v>
      </c>
      <c r="M43" s="129">
        <f t="shared" si="52"/>
        <v>7943632.1259421594</v>
      </c>
      <c r="N43" s="129">
        <f t="shared" si="52"/>
        <v>8176713.4937033961</v>
      </c>
      <c r="O43" s="129">
        <f t="shared" si="52"/>
        <v>8416787.3024974689</v>
      </c>
      <c r="P43" s="129">
        <f t="shared" si="52"/>
        <v>8664063.3255553637</v>
      </c>
      <c r="Q43" s="129">
        <f t="shared" si="52"/>
        <v>8918757.6293049976</v>
      </c>
      <c r="R43" s="129">
        <f t="shared" si="52"/>
        <v>9181092.7621671204</v>
      </c>
      <c r="S43" s="129">
        <f t="shared" si="52"/>
        <v>9451297.9490151051</v>
      </c>
      <c r="T43" s="129">
        <f t="shared" si="52"/>
        <v>9729609.2914685328</v>
      </c>
      <c r="U43" s="129">
        <f t="shared" si="52"/>
        <v>10016269.97419556</v>
      </c>
      <c r="V43" s="129">
        <f t="shared" si="52"/>
        <v>10311530.477404401</v>
      </c>
      <c r="W43" s="129">
        <f t="shared" si="52"/>
        <v>10615648.795709506</v>
      </c>
      <c r="X43" s="129">
        <f t="shared" si="52"/>
        <v>10928890.663563762</v>
      </c>
      <c r="Y43" s="129">
        <f t="shared" si="52"/>
        <v>11251529.787453648</v>
      </c>
      <c r="Z43" s="129">
        <f t="shared" si="52"/>
        <v>11583848.08506023</v>
      </c>
    </row>
    <row r="45" spans="2:26">
      <c r="B45" s="33" t="s">
        <v>371</v>
      </c>
      <c r="F45" s="34">
        <f>+F34*Assumptions!$N$96*F38</f>
        <v>0</v>
      </c>
      <c r="G45" s="34">
        <f>+G34*Assumptions!$N$96*G38</f>
        <v>0</v>
      </c>
      <c r="H45" s="34">
        <f>+H34*Assumptions!$N$96*H38</f>
        <v>0</v>
      </c>
      <c r="I45" s="34">
        <f>+I34*Assumptions!$N$96*I38</f>
        <v>1143975.3319529961</v>
      </c>
      <c r="J45" s="34">
        <f>+J34*Assumptions!$N$96*J38</f>
        <v>2356589.183823172</v>
      </c>
      <c r="K45" s="34">
        <f>+K34*Assumptions!$N$96*K38</f>
        <v>2427286.8593378668</v>
      </c>
      <c r="L45" s="34">
        <f>+L34*Assumptions!$N$96*L38</f>
        <v>2500105.4651180031</v>
      </c>
      <c r="M45" s="34">
        <f>+M34*Assumptions!$N$96*M38</f>
        <v>2575108.6290715435</v>
      </c>
      <c r="N45" s="34">
        <f>+N34*Assumptions!$N$96*N38</f>
        <v>2652361.8879436897</v>
      </c>
      <c r="O45" s="34">
        <f>+O34*Assumptions!$N$96*O38</f>
        <v>2731932.7445820007</v>
      </c>
      <c r="P45" s="34">
        <f>+P34*Assumptions!$N$96*P38</f>
        <v>2813890.7269194606</v>
      </c>
      <c r="Q45" s="34">
        <f>+Q34*Assumptions!$N$96*Q38</f>
        <v>2898307.4487270443</v>
      </c>
      <c r="R45" s="34">
        <f>+R34*Assumptions!$N$96*R38</f>
        <v>2985256.6721888557</v>
      </c>
      <c r="S45" s="34">
        <f>+S34*Assumptions!$N$96*S38</f>
        <v>3074814.3723545219</v>
      </c>
      <c r="T45" s="34">
        <f>+T34*Assumptions!$N$96*T38</f>
        <v>3167058.8035251577</v>
      </c>
      <c r="U45" s="34">
        <f>+U34*Assumptions!$N$96*U38</f>
        <v>3262070.5676309126</v>
      </c>
      <c r="V45" s="34">
        <f>+V34*Assumptions!$N$96*V38</f>
        <v>3359932.6846598401</v>
      </c>
      <c r="W45" s="34">
        <f>+W34*Assumptions!$N$96*W38</f>
        <v>3460730.6651996351</v>
      </c>
      <c r="X45" s="34">
        <f>+X34*Assumptions!$N$96*X38</f>
        <v>3564552.5851556244</v>
      </c>
      <c r="Y45" s="34">
        <f>+Y34*Assumptions!$N$96*Y38</f>
        <v>3671489.1627102932</v>
      </c>
      <c r="Z45" s="34">
        <f>+Z34*Assumptions!$N$96*Z38</f>
        <v>3781633.8375916025</v>
      </c>
    </row>
    <row r="46" spans="2:26">
      <c r="B46" s="33" t="s">
        <v>308</v>
      </c>
      <c r="F46" s="812">
        <f ca="1">+IFERROR(IFERROR(INDEX('Taxes and TIF'!$M$11:$M$45,MATCH('Phase I Pro Forma'!F$7,'Taxes and TIF'!$B$11:$B$45,0)),0)*'Loan Sizing'!$I$16*F35,0)</f>
        <v>0</v>
      </c>
      <c r="G46" s="151">
        <f ca="1">+IFERROR(IFERROR(INDEX('Taxes and TIF'!$M$11:$M$45,MATCH('Phase I Pro Forma'!G$7,'Taxes and TIF'!$B$11:$B$45,0)),0)*'Loan Sizing'!$I$16*G35,0)</f>
        <v>0</v>
      </c>
      <c r="H46" s="151">
        <f ca="1">+IFERROR(IFERROR(INDEX('Taxes and TIF'!$M$11:$M$45,MATCH('Phase I Pro Forma'!H$7,'Taxes and TIF'!$B$11:$B$45,0)),0)*'Loan Sizing'!$I$16*H35,0)</f>
        <v>0</v>
      </c>
      <c r="I46" s="151">
        <f ca="1">+IFERROR(IFERROR(INDEX('Taxes and TIF'!$M$11:$M$45,MATCH('Phase I Pro Forma'!I$7,'Taxes and TIF'!$B$11:$B$45,0)),0)*'Loan Sizing'!$I$16*I35,0)</f>
        <v>661532.4978036281</v>
      </c>
      <c r="J46" s="151">
        <f ca="1">+IFERROR(IFERROR(INDEX('Taxes and TIF'!$M$11:$M$45,MATCH('Phase I Pro Forma'!J$7,'Taxes and TIF'!$B$11:$B$45,0)),0)*'Loan Sizing'!$I$16*J35,0)</f>
        <v>1349526.2955194013</v>
      </c>
      <c r="K46" s="151">
        <f ca="1">+IFERROR(IFERROR(INDEX('Taxes and TIF'!$M$11:$M$45,MATCH('Phase I Pro Forma'!K$7,'Taxes and TIF'!$B$11:$B$45,0)),0)*'Loan Sizing'!$I$16*K35,0)</f>
        <v>1349526.2955194013</v>
      </c>
      <c r="L46" s="151">
        <f ca="1">+IFERROR(IFERROR(INDEX('Taxes and TIF'!$M$11:$M$45,MATCH('Phase I Pro Forma'!L$7,'Taxes and TIF'!$B$11:$B$45,0)),0)*'Loan Sizing'!$I$16*L35,0)</f>
        <v>1349526.2955194013</v>
      </c>
      <c r="M46" s="151">
        <f ca="1">+IFERROR(IFERROR(INDEX('Taxes and TIF'!$M$11:$M$45,MATCH('Phase I Pro Forma'!M$7,'Taxes and TIF'!$B$11:$B$45,0)),0)*'Loan Sizing'!$I$16*M35,0)</f>
        <v>1376516.8214297895</v>
      </c>
      <c r="N46" s="151">
        <f ca="1">+IFERROR(IFERROR(INDEX('Taxes and TIF'!$M$11:$M$45,MATCH('Phase I Pro Forma'!N$7,'Taxes and TIF'!$B$11:$B$45,0)),0)*'Loan Sizing'!$I$16*N35,0)</f>
        <v>1376516.8214297895</v>
      </c>
      <c r="O46" s="151">
        <f ca="1">+IFERROR(IFERROR(INDEX('Taxes and TIF'!$M$11:$M$45,MATCH('Phase I Pro Forma'!O$7,'Taxes and TIF'!$B$11:$B$45,0)),0)*'Loan Sizing'!$I$16*O35,0)</f>
        <v>1376516.8214297895</v>
      </c>
      <c r="P46" s="151">
        <f ca="1">+IFERROR(IFERROR(INDEX('Taxes and TIF'!$M$11:$M$45,MATCH('Phase I Pro Forma'!P$7,'Taxes and TIF'!$B$11:$B$45,0)),0)*'Loan Sizing'!$I$16*P35,0)</f>
        <v>1404047.157858385</v>
      </c>
      <c r="Q46" s="151">
        <f ca="1">+IFERROR(IFERROR(INDEX('Taxes and TIF'!$M$11:$M$45,MATCH('Phase I Pro Forma'!Q$7,'Taxes and TIF'!$B$11:$B$45,0)),0)*'Loan Sizing'!$I$16*Q35,0)</f>
        <v>1404047.157858385</v>
      </c>
      <c r="R46" s="151">
        <f ca="1">+IFERROR(IFERROR(INDEX('Taxes and TIF'!$M$11:$M$45,MATCH('Phase I Pro Forma'!R$7,'Taxes and TIF'!$B$11:$B$45,0)),0)*'Loan Sizing'!$I$16*R35,0)</f>
        <v>1404047.157858385</v>
      </c>
      <c r="S46" s="151">
        <f ca="1">+IFERROR(IFERROR(INDEX('Taxes and TIF'!$M$11:$M$45,MATCH('Phase I Pro Forma'!S$7,'Taxes and TIF'!$B$11:$B$45,0)),0)*'Loan Sizing'!$I$16*S35,0)</f>
        <v>1432128.1010155526</v>
      </c>
      <c r="T46" s="151">
        <f ca="1">+IFERROR(IFERROR(INDEX('Taxes and TIF'!$M$11:$M$45,MATCH('Phase I Pro Forma'!T$7,'Taxes and TIF'!$B$11:$B$45,0)),0)*'Loan Sizing'!$I$16*T35,0)</f>
        <v>1432128.1010155526</v>
      </c>
      <c r="U46" s="151">
        <f ca="1">+IFERROR(IFERROR(INDEX('Taxes and TIF'!$M$11:$M$45,MATCH('Phase I Pro Forma'!U$7,'Taxes and TIF'!$B$11:$B$45,0)),0)*'Loan Sizing'!$I$16*U35,0)</f>
        <v>1432128.1010155526</v>
      </c>
      <c r="V46" s="151">
        <f ca="1">+IFERROR(IFERROR(INDEX('Taxes and TIF'!$M$11:$M$45,MATCH('Phase I Pro Forma'!V$7,'Taxes and TIF'!$B$11:$B$45,0)),0)*'Loan Sizing'!$I$16*V35,0)</f>
        <v>1460770.663035864</v>
      </c>
      <c r="W46" s="151">
        <f ca="1">+IFERROR(IFERROR(INDEX('Taxes and TIF'!$M$11:$M$45,MATCH('Phase I Pro Forma'!W$7,'Taxes and TIF'!$B$11:$B$45,0)),0)*'Loan Sizing'!$I$16*W35,0)</f>
        <v>1460770.663035864</v>
      </c>
      <c r="X46" s="151">
        <f ca="1">+IFERROR(IFERROR(INDEX('Taxes and TIF'!$M$11:$M$45,MATCH('Phase I Pro Forma'!X$7,'Taxes and TIF'!$B$11:$B$45,0)),0)*'Loan Sizing'!$I$16*X35,0)</f>
        <v>1460770.663035864</v>
      </c>
      <c r="Y46" s="151">
        <f ca="1">+IFERROR(IFERROR(INDEX('Taxes and TIF'!$M$11:$M$45,MATCH('Phase I Pro Forma'!Y$7,'Taxes and TIF'!$B$11:$B$45,0)),0)*'Loan Sizing'!$I$16*Y35,0)</f>
        <v>1489986.0762965812</v>
      </c>
      <c r="Z46" s="151">
        <f ca="1">+IFERROR(IFERROR(INDEX('Taxes and TIF'!$M$11:$M$45,MATCH('Phase I Pro Forma'!Z$7,'Taxes and TIF'!$B$11:$B$45,0)),0)*'Loan Sizing'!$I$16*Z35,0)</f>
        <v>1489986.0762965812</v>
      </c>
    </row>
    <row r="47" spans="2:26">
      <c r="B47" s="137" t="s">
        <v>234</v>
      </c>
      <c r="C47" s="137"/>
      <c r="D47" s="137"/>
      <c r="E47" s="137"/>
      <c r="F47" s="129">
        <f ca="1">+SUM(F45:F46)</f>
        <v>0</v>
      </c>
      <c r="G47" s="129">
        <f t="shared" ref="G47" ca="1" si="53">+SUM(G45:G46)</f>
        <v>0</v>
      </c>
      <c r="H47" s="129">
        <f t="shared" ref="H47" ca="1" si="54">+SUM(H45:H46)</f>
        <v>0</v>
      </c>
      <c r="I47" s="129">
        <f t="shared" ref="I47" ca="1" si="55">+SUM(I45:I46)</f>
        <v>1805507.8297566241</v>
      </c>
      <c r="J47" s="129">
        <f t="shared" ref="J47" ca="1" si="56">+SUM(J45:J46)</f>
        <v>3706115.4793425733</v>
      </c>
      <c r="K47" s="129">
        <f t="shared" ref="K47" ca="1" si="57">+SUM(K45:K46)</f>
        <v>3776813.1548572681</v>
      </c>
      <c r="L47" s="129">
        <f ca="1">+SUM(L45:L46)</f>
        <v>3849631.7606374044</v>
      </c>
      <c r="M47" s="129">
        <f t="shared" ref="M47" ca="1" si="58">+SUM(M45:M46)</f>
        <v>3951625.450501333</v>
      </c>
      <c r="N47" s="129">
        <f t="shared" ref="N47" ca="1" si="59">+SUM(N45:N46)</f>
        <v>4028878.7093734792</v>
      </c>
      <c r="O47" s="129">
        <f t="shared" ref="O47" ca="1" si="60">+SUM(O45:O46)</f>
        <v>4108449.5660117902</v>
      </c>
      <c r="P47" s="129">
        <f t="shared" ref="P47" ca="1" si="61">+SUM(P45:P46)</f>
        <v>4217937.8847778458</v>
      </c>
      <c r="Q47" s="129">
        <f t="shared" ref="Q47" ca="1" si="62">+SUM(Q45:Q46)</f>
        <v>4302354.6065854291</v>
      </c>
      <c r="R47" s="129">
        <f t="shared" ref="R47" ca="1" si="63">+SUM(R45:R46)</f>
        <v>4389303.8300472405</v>
      </c>
      <c r="S47" s="129">
        <f t="shared" ref="S47" ca="1" si="64">+SUM(S45:S46)</f>
        <v>4506942.4733700743</v>
      </c>
      <c r="T47" s="129">
        <f t="shared" ref="T47" ca="1" si="65">+SUM(T45:T46)</f>
        <v>4599186.9045407102</v>
      </c>
      <c r="U47" s="129">
        <f t="shared" ref="U47" ca="1" si="66">+SUM(U45:U46)</f>
        <v>4694198.6686464651</v>
      </c>
      <c r="V47" s="129">
        <f t="shared" ref="V47" ca="1" si="67">+SUM(V45:V46)</f>
        <v>4820703.3476957045</v>
      </c>
      <c r="W47" s="129">
        <f t="shared" ref="W47" ca="1" si="68">+SUM(W45:W46)</f>
        <v>4921501.3282354996</v>
      </c>
      <c r="X47" s="129">
        <f t="shared" ref="X47" ca="1" si="69">+SUM(X45:X46)</f>
        <v>5025323.2481914889</v>
      </c>
      <c r="Y47" s="129">
        <f t="shared" ref="Y47" ca="1" si="70">+SUM(Y45:Y46)</f>
        <v>5161475.2390068742</v>
      </c>
      <c r="Z47" s="129">
        <f t="shared" ref="Z47" ca="1" si="71">+SUM(Z45:Z46)</f>
        <v>5271619.9138881834</v>
      </c>
    </row>
    <row r="48" spans="2:26">
      <c r="B48" s="33"/>
    </row>
    <row r="49" spans="1:26" ht="15.5">
      <c r="A49" s="108"/>
      <c r="B49" s="138" t="s">
        <v>233</v>
      </c>
      <c r="C49" s="138"/>
      <c r="D49" s="138"/>
      <c r="E49" s="138"/>
      <c r="F49" s="139">
        <f ca="1">+F43-F47</f>
        <v>0</v>
      </c>
      <c r="G49" s="139">
        <f t="shared" ref="G49:Z49" ca="1" si="72">+G43-G47</f>
        <v>0</v>
      </c>
      <c r="H49" s="139">
        <f t="shared" ca="1" si="72"/>
        <v>0</v>
      </c>
      <c r="I49" s="139">
        <f t="shared" ca="1" si="72"/>
        <v>1733115.0432993798</v>
      </c>
      <c r="J49" s="139">
        <f t="shared" ca="1" si="72"/>
        <v>3578220.0431357678</v>
      </c>
      <c r="K49" s="139">
        <f t="shared" ca="1" si="72"/>
        <v>3720824.8372783954</v>
      </c>
      <c r="L49" s="139">
        <f ca="1">+L43-L47</f>
        <v>3867707.7752453005</v>
      </c>
      <c r="M49" s="139">
        <f t="shared" ca="1" si="72"/>
        <v>3992006.6754408265</v>
      </c>
      <c r="N49" s="139">
        <f t="shared" ca="1" si="72"/>
        <v>4147834.7843299168</v>
      </c>
      <c r="O49" s="139">
        <f t="shared" ca="1" si="72"/>
        <v>4308337.7364856787</v>
      </c>
      <c r="P49" s="139">
        <f t="shared" ca="1" si="72"/>
        <v>4446125.4407775179</v>
      </c>
      <c r="Q49" s="139">
        <f t="shared" ca="1" si="72"/>
        <v>4616403.0227195686</v>
      </c>
      <c r="R49" s="139">
        <f t="shared" ca="1" si="72"/>
        <v>4791788.9321198799</v>
      </c>
      <c r="S49" s="139">
        <f t="shared" ca="1" si="72"/>
        <v>4944355.4756450308</v>
      </c>
      <c r="T49" s="139">
        <f t="shared" ca="1" si="72"/>
        <v>5130422.3869278226</v>
      </c>
      <c r="U49" s="139">
        <f t="shared" ca="1" si="72"/>
        <v>5322071.3055490954</v>
      </c>
      <c r="V49" s="139">
        <f t="shared" ca="1" si="72"/>
        <v>5490827.1297086962</v>
      </c>
      <c r="W49" s="139">
        <f t="shared" ca="1" si="72"/>
        <v>5694147.4674740061</v>
      </c>
      <c r="X49" s="139">
        <f t="shared" ca="1" si="72"/>
        <v>5903567.415372273</v>
      </c>
      <c r="Y49" s="139">
        <f t="shared" ca="1" si="72"/>
        <v>6090054.5484467736</v>
      </c>
      <c r="Z49" s="139">
        <f t="shared" ca="1" si="72"/>
        <v>6312228.1711720461</v>
      </c>
    </row>
    <row r="50" spans="1:26" ht="15.5">
      <c r="B50" s="143" t="s">
        <v>239</v>
      </c>
      <c r="C50" s="141"/>
      <c r="D50" s="141"/>
      <c r="E50" s="141"/>
      <c r="F50" s="144" t="str">
        <f ca="1">+IFERROR(F49/F43,"")</f>
        <v/>
      </c>
      <c r="G50" s="144" t="str">
        <f t="shared" ref="G50" ca="1" si="73">+IFERROR(G49/G43,"")</f>
        <v/>
      </c>
      <c r="H50" s="144" t="str">
        <f t="shared" ref="H50" ca="1" si="74">+IFERROR(H49/H43,"")</f>
        <v/>
      </c>
      <c r="I50" s="145">
        <f t="shared" ref="I50" ca="1" si="75">+IFERROR(I49/I43,"")</f>
        <v>0.48977105090677198</v>
      </c>
      <c r="J50" s="145">
        <f t="shared" ref="J50" ca="1" si="76">+IFERROR(J49/J43,"")</f>
        <v>0.49122120090349081</v>
      </c>
      <c r="K50" s="145">
        <f t="shared" ref="K50" ca="1" si="77">+IFERROR(K49/K43,"")</f>
        <v>0.49626626961467069</v>
      </c>
      <c r="L50" s="145">
        <f t="shared" ref="L50" ca="1" si="78">+IFERROR(L49/L43,"")</f>
        <v>0.50117112992915824</v>
      </c>
      <c r="M50" s="145">
        <f t="shared" ref="M50" ca="1" si="79">+IFERROR(M49/M43,"")</f>
        <v>0.50254173558765503</v>
      </c>
      <c r="N50" s="145">
        <f t="shared" ref="N50" ca="1" si="80">+IFERROR(N49/N43,"")</f>
        <v>0.50727407625619036</v>
      </c>
      <c r="O50" s="145">
        <f t="shared" ref="O50" ca="1" si="81">+IFERROR(O49/O43,"")</f>
        <v>0.51187437458557239</v>
      </c>
      <c r="P50" s="145">
        <f t="shared" ref="P50" ca="1" si="82">+IFERROR(P49/P43,"")</f>
        <v>0.51316862235566851</v>
      </c>
      <c r="Q50" s="145">
        <f t="shared" ref="Q50" ca="1" si="83">+IFERROR(Q49/Q43,"")</f>
        <v>0.51760606292866662</v>
      </c>
      <c r="R50" s="145">
        <f t="shared" ref="R50" ca="1" si="84">+IFERROR(R49/R43,"")</f>
        <v>0.52191923731187939</v>
      </c>
      <c r="S50" s="145">
        <f t="shared" ref="S50" ca="1" si="85">+IFERROR(S49/S43,"")</f>
        <v>0.52314036678531217</v>
      </c>
      <c r="T50" s="145">
        <f t="shared" ref="T50" ca="1" si="86">+IFERROR(T49/T43,"")</f>
        <v>0.52729993910716078</v>
      </c>
      <c r="U50" s="145">
        <f t="shared" ref="U50" ca="1" si="87">+IFERROR(U49/U43,"")</f>
        <v>0.53134263745487031</v>
      </c>
      <c r="V50" s="145">
        <f t="shared" ref="V50" ca="1" si="88">+IFERROR(V49/V43,"")</f>
        <v>0.53249390492911941</v>
      </c>
      <c r="W50" s="145">
        <f t="shared" ref="W50" ca="1" si="89">+IFERROR(W49/W43,"")</f>
        <v>0.53639184726753508</v>
      </c>
      <c r="X50" s="145">
        <f t="shared" ref="X50" ca="1" si="90">+IFERROR(X49/X43,"")</f>
        <v>0.5401799319902062</v>
      </c>
      <c r="Y50" s="145">
        <f t="shared" ref="Y50" ca="1" si="91">+IFERROR(Y49/Y43,"")</f>
        <v>0.54126458032734981</v>
      </c>
      <c r="Z50" s="145">
        <f t="shared" ref="Z50" ca="1" si="92">+IFERROR(Z49/Z43,"")</f>
        <v>0.5449163460036196</v>
      </c>
    </row>
    <row r="51" spans="1:26" ht="15.5">
      <c r="B51" s="143" t="s">
        <v>179</v>
      </c>
      <c r="C51" s="141"/>
      <c r="D51" s="141"/>
      <c r="E51" s="141"/>
      <c r="F51" s="142">
        <f ca="1">+F49/Assumptions!$N$129</f>
        <v>0</v>
      </c>
      <c r="G51" s="142">
        <f ca="1">+G49/Assumptions!$N$129</f>
        <v>0</v>
      </c>
      <c r="H51" s="142">
        <f ca="1">+H49/Assumptions!$N$129</f>
        <v>0</v>
      </c>
      <c r="I51" s="142">
        <f ca="1">+I49/Assumptions!$N$129</f>
        <v>26663308.358451996</v>
      </c>
      <c r="J51" s="142">
        <f ca="1">+J49/Assumptions!$N$129</f>
        <v>55049539.125165656</v>
      </c>
      <c r="K51" s="142">
        <f ca="1">+K49/Assumptions!$N$129</f>
        <v>57243459.035052232</v>
      </c>
      <c r="L51" s="142">
        <f ca="1">+L49/Assumptions!$N$129</f>
        <v>59503196.542235389</v>
      </c>
      <c r="M51" s="142">
        <f ca="1">+M49/Assumptions!$N$129</f>
        <v>61415487.314474247</v>
      </c>
      <c r="N51" s="142">
        <f ca="1">+N49/Assumptions!$N$129</f>
        <v>63812842.835844874</v>
      </c>
      <c r="O51" s="142">
        <f ca="1">+O49/Assumptions!$N$129</f>
        <v>66282119.022856593</v>
      </c>
      <c r="P51" s="142">
        <f ca="1">+P49/Assumptions!$N$129</f>
        <v>68401929.858115658</v>
      </c>
      <c r="Q51" s="142">
        <f ca="1">+Q49/Assumptions!$N$129</f>
        <v>71021584.964916438</v>
      </c>
      <c r="R51" s="142">
        <f ca="1">+R49/Assumptions!$N$129</f>
        <v>73719829.724921227</v>
      </c>
      <c r="S51" s="142">
        <f ca="1">+S49/Assumptions!$N$129</f>
        <v>76067007.317615852</v>
      </c>
      <c r="T51" s="142">
        <f ca="1">+T49/Assumptions!$N$129</f>
        <v>78929575.183504954</v>
      </c>
      <c r="U51" s="142">
        <f ca="1">+U49/Assumptions!$N$129</f>
        <v>81878020.08537069</v>
      </c>
      <c r="V51" s="142">
        <f ca="1">+V49/Assumptions!$N$129</f>
        <v>84474263.533979937</v>
      </c>
      <c r="W51" s="142">
        <f ca="1">+W49/Assumptions!$N$129</f>
        <v>87602268.730369315</v>
      </c>
      <c r="X51" s="142">
        <f ca="1">+X49/Assumptions!$N$129</f>
        <v>90824114.082650349</v>
      </c>
      <c r="Y51" s="142">
        <f ca="1">+Y49/Assumptions!$N$129</f>
        <v>93693146.899181128</v>
      </c>
      <c r="Z51" s="142">
        <f ca="1">+Z49/Assumptions!$N$129</f>
        <v>97111202.633416086</v>
      </c>
    </row>
    <row r="53" spans="1:26" ht="15.5">
      <c r="B53" s="148" t="s">
        <v>25</v>
      </c>
      <c r="C53" s="149"/>
      <c r="D53" s="149"/>
      <c r="E53" s="149"/>
      <c r="F53" s="150">
        <f>+Assumptions!$F$22</f>
        <v>44561</v>
      </c>
      <c r="G53" s="150">
        <f>+EOMONTH(F53,12)</f>
        <v>44926</v>
      </c>
      <c r="H53" s="150">
        <f t="shared" ref="H53:Z53" si="93">+EOMONTH(G53,12)</f>
        <v>45291</v>
      </c>
      <c r="I53" s="150">
        <f t="shared" si="93"/>
        <v>45657</v>
      </c>
      <c r="J53" s="150">
        <f t="shared" si="93"/>
        <v>46022</v>
      </c>
      <c r="K53" s="150">
        <f t="shared" si="93"/>
        <v>46387</v>
      </c>
      <c r="L53" s="150">
        <f t="shared" si="93"/>
        <v>46752</v>
      </c>
      <c r="M53" s="150">
        <f t="shared" si="93"/>
        <v>47118</v>
      </c>
      <c r="N53" s="150">
        <f t="shared" si="93"/>
        <v>47483</v>
      </c>
      <c r="O53" s="150">
        <f t="shared" si="93"/>
        <v>47848</v>
      </c>
      <c r="P53" s="150">
        <f t="shared" si="93"/>
        <v>48213</v>
      </c>
      <c r="Q53" s="150">
        <f t="shared" si="93"/>
        <v>48579</v>
      </c>
      <c r="R53" s="150">
        <f t="shared" si="93"/>
        <v>48944</v>
      </c>
      <c r="S53" s="150">
        <f t="shared" si="93"/>
        <v>49309</v>
      </c>
      <c r="T53" s="150">
        <f t="shared" si="93"/>
        <v>49674</v>
      </c>
      <c r="U53" s="150">
        <f t="shared" si="93"/>
        <v>50040</v>
      </c>
      <c r="V53" s="150">
        <f t="shared" si="93"/>
        <v>50405</v>
      </c>
      <c r="W53" s="150">
        <f t="shared" si="93"/>
        <v>50770</v>
      </c>
      <c r="X53" s="150">
        <f t="shared" si="93"/>
        <v>51135</v>
      </c>
      <c r="Y53" s="150">
        <f t="shared" si="93"/>
        <v>51501</v>
      </c>
      <c r="Z53" s="150">
        <f t="shared" si="93"/>
        <v>51866</v>
      </c>
    </row>
    <row r="54" spans="1:26">
      <c r="B54" s="33" t="s">
        <v>690</v>
      </c>
      <c r="C54" s="33"/>
      <c r="D54" s="40"/>
      <c r="E54" s="40"/>
      <c r="F54" s="42">
        <f>+IF(AND(F53&gt;=Assumptions!$F$26,F53&lt;Assumptions!$F$28),Assumptions!$F$137/ROUNDUP((Assumptions!$F$27/12),0),0)</f>
        <v>0</v>
      </c>
      <c r="G54" s="42">
        <f>+IF(AND(G53&gt;=Assumptions!$F$26,G53&lt;Assumptions!$F$28),Assumptions!$F$137/ROUNDUP((Assumptions!$F$27/12),0),0)</f>
        <v>0</v>
      </c>
      <c r="H54" s="42">
        <f>+IF(AND(H53&gt;=Assumptions!$F$26,H53&lt;Assumptions!$F$28),Assumptions!$F$137/ROUNDUP((Assumptions!$F$27/12),0),0)</f>
        <v>0</v>
      </c>
      <c r="I54" s="42">
        <f>+IF(AND(I53&gt;=Assumptions!$F$26,I53&lt;Assumptions!$F$28),Assumptions!$F$137/ROUNDUP((Assumptions!$F$27/12),0),0)</f>
        <v>197386</v>
      </c>
      <c r="J54" s="42">
        <f>+IF(AND(J53&gt;=Assumptions!$F$26,J53&lt;Assumptions!$F$28),Assumptions!$F$137/ROUNDUP((Assumptions!$F$27/12),0),0)</f>
        <v>197386</v>
      </c>
      <c r="K54" s="42">
        <f>+IF(AND(K53&gt;=Assumptions!$F$26,K53&lt;Assumptions!$F$28),Assumptions!$F$137/ROUNDUP((Assumptions!$F$27/12),0),0)</f>
        <v>0</v>
      </c>
      <c r="L54" s="42">
        <f>+IF(AND(L53&gt;=Assumptions!$F$26,L53&lt;Assumptions!$F$28),Assumptions!$F$137/ROUNDUP((Assumptions!$F$27/12),0),0)</f>
        <v>0</v>
      </c>
      <c r="M54" s="42">
        <f>+IF(AND(M53&gt;=Assumptions!$F$26,M53&lt;Assumptions!$F$28),Assumptions!$F$137/ROUNDUP((Assumptions!$F$27/12),0),0)</f>
        <v>0</v>
      </c>
      <c r="N54" s="42">
        <f>+IF(AND(N53&gt;=Assumptions!$F$26,N53&lt;Assumptions!$F$28),Assumptions!$F$137/ROUNDUP((Assumptions!$F$27/12),0),0)</f>
        <v>0</v>
      </c>
      <c r="O54" s="42">
        <f>+IF(AND(O53&gt;=Assumptions!$F$26,O53&lt;Assumptions!$F$28),Assumptions!$F$137/ROUNDUP((Assumptions!$F$27/12),0),0)</f>
        <v>0</v>
      </c>
      <c r="P54" s="42">
        <f>+IF(AND(P53&gt;=Assumptions!$F$26,P53&lt;Assumptions!$F$28),Assumptions!$F$137/ROUNDUP((Assumptions!$F$27/12),0),0)</f>
        <v>0</v>
      </c>
      <c r="Q54" s="42">
        <f>+IF(AND(Q53&gt;=Assumptions!$F$26,Q53&lt;Assumptions!$F$28),Assumptions!$F$137/ROUNDUP((Assumptions!$F$27/12),0),0)</f>
        <v>0</v>
      </c>
      <c r="R54" s="42">
        <f>+IF(AND(R53&gt;=Assumptions!$F$26,R53&lt;Assumptions!$F$28),Assumptions!$F$137/ROUNDUP((Assumptions!$F$27/12),0),0)</f>
        <v>0</v>
      </c>
      <c r="S54" s="42">
        <f>+IF(AND(S53&gt;=Assumptions!$F$26,S53&lt;Assumptions!$F$28),Assumptions!$F$137/ROUNDUP((Assumptions!$F$27/12),0),0)</f>
        <v>0</v>
      </c>
      <c r="T54" s="42">
        <f>+IF(AND(T53&gt;=Assumptions!$F$26,T53&lt;Assumptions!$F$28),Assumptions!$F$137/ROUNDUP((Assumptions!$F$27/12),0),0)</f>
        <v>0</v>
      </c>
      <c r="U54" s="42">
        <f>+IF(AND(U53&gt;=Assumptions!$F$26,U53&lt;Assumptions!$F$28),Assumptions!$F$137/ROUNDUP((Assumptions!$F$27/12),0),0)</f>
        <v>0</v>
      </c>
      <c r="V54" s="42">
        <f>+IF(AND(V53&gt;=Assumptions!$F$26,V53&lt;Assumptions!$F$28),Assumptions!$F$137/ROUNDUP((Assumptions!$F$27/12),0),0)</f>
        <v>0</v>
      </c>
      <c r="W54" s="42">
        <f>+IF(AND(W53&gt;=Assumptions!$F$26,W53&lt;Assumptions!$F$28),Assumptions!$F$137/ROUNDUP((Assumptions!$F$27/12),0),0)</f>
        <v>0</v>
      </c>
      <c r="X54" s="42">
        <f>+IF(AND(X53&gt;=Assumptions!$F$26,X53&lt;Assumptions!$F$28),Assumptions!$F$137/ROUNDUP((Assumptions!$F$27/12),0),0)</f>
        <v>0</v>
      </c>
      <c r="Y54" s="42">
        <f>+IF(AND(Y53&gt;=Assumptions!$F$26,Y53&lt;Assumptions!$F$28),Assumptions!$F$137/ROUNDUP((Assumptions!$F$27/12),0),0)</f>
        <v>0</v>
      </c>
      <c r="Z54" s="42">
        <f>+IF(AND(Z53&gt;=Assumptions!$F$26,Z53&lt;Assumptions!$F$28),Assumptions!$F$137/ROUNDUP((Assumptions!$F$27/12),0),0)</f>
        <v>0</v>
      </c>
    </row>
    <row r="55" spans="1:26">
      <c r="B55" s="33" t="s">
        <v>231</v>
      </c>
      <c r="C55" s="33"/>
      <c r="D55" s="42">
        <v>0</v>
      </c>
      <c r="E55" s="42"/>
      <c r="F55" s="42">
        <f>+D55+F54</f>
        <v>0</v>
      </c>
      <c r="G55" s="42">
        <f t="shared" ref="G55:Z55" si="94">+F55+G54</f>
        <v>0</v>
      </c>
      <c r="H55" s="42">
        <f t="shared" si="94"/>
        <v>0</v>
      </c>
      <c r="I55" s="42">
        <f t="shared" si="94"/>
        <v>197386</v>
      </c>
      <c r="J55" s="42">
        <f t="shared" si="94"/>
        <v>394772</v>
      </c>
      <c r="K55" s="42">
        <f t="shared" si="94"/>
        <v>394772</v>
      </c>
      <c r="L55" s="42">
        <f t="shared" si="94"/>
        <v>394772</v>
      </c>
      <c r="M55" s="42">
        <f t="shared" si="94"/>
        <v>394772</v>
      </c>
      <c r="N55" s="42">
        <f t="shared" si="94"/>
        <v>394772</v>
      </c>
      <c r="O55" s="42">
        <f t="shared" si="94"/>
        <v>394772</v>
      </c>
      <c r="P55" s="42">
        <f t="shared" si="94"/>
        <v>394772</v>
      </c>
      <c r="Q55" s="42">
        <f t="shared" si="94"/>
        <v>394772</v>
      </c>
      <c r="R55" s="42">
        <f t="shared" si="94"/>
        <v>394772</v>
      </c>
      <c r="S55" s="42">
        <f t="shared" si="94"/>
        <v>394772</v>
      </c>
      <c r="T55" s="42">
        <f t="shared" si="94"/>
        <v>394772</v>
      </c>
      <c r="U55" s="42">
        <f t="shared" si="94"/>
        <v>394772</v>
      </c>
      <c r="V55" s="42">
        <f t="shared" si="94"/>
        <v>394772</v>
      </c>
      <c r="W55" s="42">
        <f t="shared" si="94"/>
        <v>394772</v>
      </c>
      <c r="X55" s="42">
        <f t="shared" si="94"/>
        <v>394772</v>
      </c>
      <c r="Y55" s="42">
        <f t="shared" si="94"/>
        <v>394772</v>
      </c>
      <c r="Z55" s="42">
        <f t="shared" si="94"/>
        <v>394772</v>
      </c>
    </row>
    <row r="56" spans="1:26">
      <c r="B56" s="33" t="s">
        <v>285</v>
      </c>
      <c r="C56" s="33"/>
      <c r="D56" s="42"/>
      <c r="E56" s="42"/>
      <c r="F56" s="108">
        <f t="shared" ref="F56:Z56" si="95">+F55/SUM($F54:$Z54)</f>
        <v>0</v>
      </c>
      <c r="G56" s="108">
        <f t="shared" si="95"/>
        <v>0</v>
      </c>
      <c r="H56" s="108">
        <f t="shared" si="95"/>
        <v>0</v>
      </c>
      <c r="I56" s="108">
        <f t="shared" si="95"/>
        <v>0.5</v>
      </c>
      <c r="J56" s="108">
        <f t="shared" si="95"/>
        <v>1</v>
      </c>
      <c r="K56" s="108">
        <f t="shared" si="95"/>
        <v>1</v>
      </c>
      <c r="L56" s="108">
        <f t="shared" si="95"/>
        <v>1</v>
      </c>
      <c r="M56" s="108">
        <f t="shared" si="95"/>
        <v>1</v>
      </c>
      <c r="N56" s="108">
        <f t="shared" si="95"/>
        <v>1</v>
      </c>
      <c r="O56" s="108">
        <f t="shared" si="95"/>
        <v>1</v>
      </c>
      <c r="P56" s="108">
        <f t="shared" si="95"/>
        <v>1</v>
      </c>
      <c r="Q56" s="108">
        <f t="shared" si="95"/>
        <v>1</v>
      </c>
      <c r="R56" s="108">
        <f t="shared" si="95"/>
        <v>1</v>
      </c>
      <c r="S56" s="108">
        <f t="shared" si="95"/>
        <v>1</v>
      </c>
      <c r="T56" s="108">
        <f t="shared" si="95"/>
        <v>1</v>
      </c>
      <c r="U56" s="108">
        <f t="shared" si="95"/>
        <v>1</v>
      </c>
      <c r="V56" s="108">
        <f t="shared" si="95"/>
        <v>1</v>
      </c>
      <c r="W56" s="108">
        <f t="shared" si="95"/>
        <v>1</v>
      </c>
      <c r="X56" s="108">
        <f t="shared" si="95"/>
        <v>1</v>
      </c>
      <c r="Y56" s="108">
        <f t="shared" si="95"/>
        <v>1</v>
      </c>
      <c r="Z56" s="108">
        <f t="shared" si="95"/>
        <v>1</v>
      </c>
    </row>
    <row r="57" spans="1:26">
      <c r="B57" s="33"/>
      <c r="C57" s="33"/>
      <c r="D57" s="40"/>
      <c r="E57" s="40"/>
      <c r="F57" s="34"/>
      <c r="G57" s="34"/>
      <c r="H57" s="34"/>
      <c r="I57" s="34"/>
      <c r="J57" s="34"/>
      <c r="K57" s="34"/>
      <c r="L57" s="34"/>
      <c r="M57" s="34"/>
      <c r="N57" s="34"/>
      <c r="O57" s="34"/>
      <c r="P57" s="34"/>
      <c r="Q57" s="34"/>
      <c r="R57" s="34"/>
      <c r="S57" s="34"/>
      <c r="T57" s="34"/>
      <c r="U57" s="34"/>
      <c r="V57" s="34"/>
      <c r="W57" s="34"/>
      <c r="X57" s="34"/>
      <c r="Y57" s="34"/>
      <c r="Z57" s="34"/>
    </row>
    <row r="58" spans="1:26">
      <c r="B58" s="33" t="s">
        <v>236</v>
      </c>
      <c r="C58" s="33"/>
      <c r="D58" s="42"/>
      <c r="E58" s="42"/>
      <c r="F58" s="108">
        <v>1</v>
      </c>
      <c r="G58" s="108">
        <f>+IF(MOD(G$2,Assumptions!$N$66)=(Assumptions!$N$66-1),F58*(1+Assumptions!$N$65),'Phase I Pro Forma'!F58)</f>
        <v>1</v>
      </c>
      <c r="H58" s="108">
        <f>+IF(MOD(H$2,Assumptions!$N$66)=(Assumptions!$N$66-1),G58*(1+Assumptions!$N$65),'Phase I Pro Forma'!G58)</f>
        <v>1</v>
      </c>
      <c r="I58" s="108">
        <f>+IF(MOD(I$2,Assumptions!$N$66)=(Assumptions!$N$66-1),H58*(1+Assumptions!$N$65),'Phase I Pro Forma'!H58)</f>
        <v>1</v>
      </c>
      <c r="J58" s="108">
        <f>+IF(MOD(J$2,Assumptions!$N$66)=(Assumptions!$N$66-1),I58*(1+Assumptions!$N$65),'Phase I Pro Forma'!I58)</f>
        <v>1</v>
      </c>
      <c r="K58" s="108">
        <f>+IF(MOD(K$2,Assumptions!$N$66)=(Assumptions!$N$66-1),J58*(1+Assumptions!$N$65),'Phase I Pro Forma'!J58)</f>
        <v>1</v>
      </c>
      <c r="L58" s="108">
        <f>+IF(MOD(L$2,Assumptions!$N$66)=(Assumptions!$N$66-1),K58*(1+Assumptions!$N$65),'Phase I Pro Forma'!K58)</f>
        <v>1.1000000000000001</v>
      </c>
      <c r="M58" s="108">
        <f>+IF(MOD(M$2,Assumptions!$N$66)=(Assumptions!$N$66-1),L58*(1+Assumptions!$N$65),'Phase I Pro Forma'!L58)</f>
        <v>1.1000000000000001</v>
      </c>
      <c r="N58" s="108">
        <f>+IF(MOD(N$2,Assumptions!$N$66)=(Assumptions!$N$66-1),M58*(1+Assumptions!$N$65),'Phase I Pro Forma'!M58)</f>
        <v>1.1000000000000001</v>
      </c>
      <c r="O58" s="108">
        <f>+IF(MOD(O$2,Assumptions!$N$66)=(Assumptions!$N$66-1),N58*(1+Assumptions!$N$65),'Phase I Pro Forma'!N58)</f>
        <v>1.1000000000000001</v>
      </c>
      <c r="P58" s="108">
        <f>+IF(MOD(P$2,Assumptions!$N$66)=(Assumptions!$N$66-1),O58*(1+Assumptions!$N$65),'Phase I Pro Forma'!O58)</f>
        <v>1.1000000000000001</v>
      </c>
      <c r="Q58" s="108">
        <f>+IF(MOD(Q$2,Assumptions!$N$66)=(Assumptions!$N$66-1),P58*(1+Assumptions!$N$65),'Phase I Pro Forma'!P58)</f>
        <v>1.2100000000000002</v>
      </c>
      <c r="R58" s="108">
        <f>+IF(MOD(R$2,Assumptions!$N$66)=(Assumptions!$N$66-1),Q58*(1+Assumptions!$N$65),'Phase I Pro Forma'!Q58)</f>
        <v>1.2100000000000002</v>
      </c>
      <c r="S58" s="108">
        <f>+IF(MOD(S$2,Assumptions!$N$66)=(Assumptions!$N$66-1),R58*(1+Assumptions!$N$65),'Phase I Pro Forma'!R58)</f>
        <v>1.2100000000000002</v>
      </c>
      <c r="T58" s="108">
        <f>+IF(MOD(T$2,Assumptions!$N$66)=(Assumptions!$N$66-1),S58*(1+Assumptions!$N$65),'Phase I Pro Forma'!S58)</f>
        <v>1.2100000000000002</v>
      </c>
      <c r="U58" s="108">
        <f>+IF(MOD(U$2,Assumptions!$N$66)=(Assumptions!$N$66-1),T58*(1+Assumptions!$N$65),'Phase I Pro Forma'!T58)</f>
        <v>1.2100000000000002</v>
      </c>
      <c r="V58" s="108">
        <f>+IF(MOD(V$2,Assumptions!$N$66)=(Assumptions!$N$66-1),U58*(1+Assumptions!$N$65),'Phase I Pro Forma'!U58)</f>
        <v>1.3310000000000004</v>
      </c>
      <c r="W58" s="108">
        <f>+IF(MOD(W$2,Assumptions!$N$66)=(Assumptions!$N$66-1),V58*(1+Assumptions!$N$65),'Phase I Pro Forma'!V58)</f>
        <v>1.3310000000000004</v>
      </c>
      <c r="X58" s="108">
        <f>+IF(MOD(X$2,Assumptions!$N$66)=(Assumptions!$N$66-1),W58*(1+Assumptions!$N$65),'Phase I Pro Forma'!W58)</f>
        <v>1.3310000000000004</v>
      </c>
      <c r="Y58" s="108">
        <f>+IF(MOD(Y$2,Assumptions!$N$66)=(Assumptions!$N$66-1),X58*(1+Assumptions!$N$65),'Phase I Pro Forma'!X58)</f>
        <v>1.3310000000000004</v>
      </c>
      <c r="Z58" s="108">
        <f>+IF(MOD(Z$2,Assumptions!$N$66)=(Assumptions!$N$66-1),Y58*(1+Assumptions!$N$65),'Phase I Pro Forma'!Y58)</f>
        <v>1.3310000000000004</v>
      </c>
    </row>
    <row r="59" spans="1:26">
      <c r="B59" s="33" t="s">
        <v>237</v>
      </c>
      <c r="C59" s="33"/>
      <c r="D59" s="42"/>
      <c r="E59" s="42"/>
      <c r="F59" s="108">
        <v>1</v>
      </c>
      <c r="G59" s="108">
        <f>+F59*(1+Assumptions!$N$78)</f>
        <v>1.03</v>
      </c>
      <c r="H59" s="108">
        <f>+G59*(1+Assumptions!$N$78)</f>
        <v>1.0609</v>
      </c>
      <c r="I59" s="108">
        <f>+H59*(1+Assumptions!$N$78)</f>
        <v>1.092727</v>
      </c>
      <c r="J59" s="108">
        <f>+I59*(1+Assumptions!$N$78)</f>
        <v>1.1255088100000001</v>
      </c>
      <c r="K59" s="108">
        <f>+J59*(1+Assumptions!$N$78)</f>
        <v>1.1592740743000001</v>
      </c>
      <c r="L59" s="108">
        <f>+K59*(1+Assumptions!$N$78)</f>
        <v>1.1940522965290001</v>
      </c>
      <c r="M59" s="108">
        <f>+L59*(1+Assumptions!$N$78)</f>
        <v>1.2298738654248702</v>
      </c>
      <c r="N59" s="108">
        <f>+M59*(1+Assumptions!$N$78)</f>
        <v>1.2667700813876164</v>
      </c>
      <c r="O59" s="108">
        <f>+N59*(1+Assumptions!$N$78)</f>
        <v>1.3047731838292449</v>
      </c>
      <c r="P59" s="108">
        <f>+O59*(1+Assumptions!$N$78)</f>
        <v>1.3439163793441222</v>
      </c>
      <c r="Q59" s="108">
        <f>+P59*(1+Assumptions!$N$78)</f>
        <v>1.3842338707244459</v>
      </c>
      <c r="R59" s="108">
        <f>+Q59*(1+Assumptions!$N$78)</f>
        <v>1.4257608868461793</v>
      </c>
      <c r="S59" s="108">
        <f>+R59*(1+Assumptions!$N$78)</f>
        <v>1.4685337134515648</v>
      </c>
      <c r="T59" s="108">
        <f>+S59*(1+Assumptions!$N$78)</f>
        <v>1.5125897248551119</v>
      </c>
      <c r="U59" s="108">
        <f>+T59*(1+Assumptions!$N$78)</f>
        <v>1.5579674166007653</v>
      </c>
      <c r="V59" s="108">
        <f>+U59*(1+Assumptions!$N$78)</f>
        <v>1.6047064390987884</v>
      </c>
      <c r="W59" s="108">
        <f>+V59*(1+Assumptions!$N$78)</f>
        <v>1.652847632271752</v>
      </c>
      <c r="X59" s="108">
        <f>+W59*(1+Assumptions!$N$78)</f>
        <v>1.7024330612399046</v>
      </c>
      <c r="Y59" s="108">
        <f>+X59*(1+Assumptions!$N$78)</f>
        <v>1.7535060530771018</v>
      </c>
      <c r="Z59" s="108">
        <f>+Y59*(1+Assumptions!$N$78)</f>
        <v>1.806111234669415</v>
      </c>
    </row>
    <row r="60" spans="1:26">
      <c r="B60" s="33"/>
      <c r="C60" s="33"/>
      <c r="D60" s="40"/>
      <c r="E60" s="40"/>
      <c r="F60" s="34"/>
      <c r="G60" s="34"/>
      <c r="H60" s="34"/>
      <c r="I60" s="34"/>
      <c r="J60" s="34"/>
      <c r="K60" s="34"/>
      <c r="L60" s="34"/>
      <c r="M60" s="34"/>
      <c r="N60" s="34"/>
      <c r="O60" s="34"/>
      <c r="P60" s="34"/>
      <c r="Q60" s="34"/>
      <c r="R60" s="34"/>
      <c r="S60" s="34"/>
      <c r="T60" s="34"/>
      <c r="U60" s="34"/>
      <c r="V60" s="34"/>
      <c r="W60" s="34"/>
      <c r="X60" s="34"/>
      <c r="Y60" s="34"/>
      <c r="Z60" s="34"/>
    </row>
    <row r="61" spans="1:26">
      <c r="B61" s="33" t="s">
        <v>228</v>
      </c>
      <c r="C61" s="33"/>
      <c r="D61" s="40"/>
      <c r="E61" s="40"/>
      <c r="F61" s="34">
        <f>+F56*Assumptions!$F$136*F58</f>
        <v>0</v>
      </c>
      <c r="G61" s="34">
        <f>+G56*Assumptions!$F$136*G58</f>
        <v>0</v>
      </c>
      <c r="H61" s="34">
        <f>+H56*Assumptions!$F$136*H58</f>
        <v>0</v>
      </c>
      <c r="I61" s="34">
        <f>+I56*Assumptions!$F$136*I58</f>
        <v>10119300</v>
      </c>
      <c r="J61" s="34">
        <f>+J56*Assumptions!$F$136*J58</f>
        <v>20238600</v>
      </c>
      <c r="K61" s="34">
        <f>+K56*Assumptions!$F$136*K58</f>
        <v>20238600</v>
      </c>
      <c r="L61" s="34">
        <f>+L56*Assumptions!$F$136*L58</f>
        <v>22262460</v>
      </c>
      <c r="M61" s="34">
        <f>+M56*Assumptions!$F$136*M58</f>
        <v>22262460</v>
      </c>
      <c r="N61" s="34">
        <f>+N56*Assumptions!$F$136*N58</f>
        <v>22262460</v>
      </c>
      <c r="O61" s="34">
        <f>+O56*Assumptions!$F$136*O58</f>
        <v>22262460</v>
      </c>
      <c r="P61" s="34">
        <f>+P56*Assumptions!$F$136*P58</f>
        <v>22262460</v>
      </c>
      <c r="Q61" s="34">
        <f>+Q56*Assumptions!$F$136*Q58</f>
        <v>24488706.000000004</v>
      </c>
      <c r="R61" s="34">
        <f>+R56*Assumptions!$F$136*R58</f>
        <v>24488706.000000004</v>
      </c>
      <c r="S61" s="34">
        <f>+S56*Assumptions!$F$136*S58</f>
        <v>24488706.000000004</v>
      </c>
      <c r="T61" s="34">
        <f>+T56*Assumptions!$F$136*T58</f>
        <v>24488706.000000004</v>
      </c>
      <c r="U61" s="34">
        <f>+U56*Assumptions!$F$136*U58</f>
        <v>24488706.000000004</v>
      </c>
      <c r="V61" s="34">
        <f>+V56*Assumptions!$F$136*V58</f>
        <v>26937576.600000009</v>
      </c>
      <c r="W61" s="34">
        <f>+W56*Assumptions!$F$136*W58</f>
        <v>26937576.600000009</v>
      </c>
      <c r="X61" s="34">
        <f>+X56*Assumptions!$F$136*X58</f>
        <v>26937576.600000009</v>
      </c>
      <c r="Y61" s="34">
        <f>+Y56*Assumptions!$F$136*Y58</f>
        <v>26937576.600000009</v>
      </c>
      <c r="Z61" s="34">
        <f>+Z56*Assumptions!$F$136*Z58</f>
        <v>26937576.600000009</v>
      </c>
    </row>
    <row r="62" spans="1:26">
      <c r="B62" s="33" t="s">
        <v>229</v>
      </c>
      <c r="C62" s="33"/>
      <c r="D62" s="40"/>
      <c r="E62" s="40"/>
      <c r="F62" s="42">
        <f>-F61*Assumptions!$N$56</f>
        <v>0</v>
      </c>
      <c r="G62" s="42">
        <f>-G61*Assumptions!$N$56</f>
        <v>0</v>
      </c>
      <c r="H62" s="42">
        <f>-H61*Assumptions!$N$56</f>
        <v>0</v>
      </c>
      <c r="I62" s="42">
        <f>-I61*Assumptions!$N$56</f>
        <v>-1022049.3</v>
      </c>
      <c r="J62" s="42">
        <f>-J61*Assumptions!$N$56</f>
        <v>-2044098.6</v>
      </c>
      <c r="K62" s="42">
        <f>-K61*Assumptions!$N$56</f>
        <v>-2044098.6</v>
      </c>
      <c r="L62" s="42">
        <f>-L61*Assumptions!$N$56</f>
        <v>-2248508.46</v>
      </c>
      <c r="M62" s="42">
        <f>-M61*Assumptions!$N$56</f>
        <v>-2248508.46</v>
      </c>
      <c r="N62" s="42">
        <f>-N61*Assumptions!$N$56</f>
        <v>-2248508.46</v>
      </c>
      <c r="O62" s="42">
        <f>-O61*Assumptions!$N$56</f>
        <v>-2248508.46</v>
      </c>
      <c r="P62" s="42">
        <f>-P61*Assumptions!$N$56</f>
        <v>-2248508.46</v>
      </c>
      <c r="Q62" s="42">
        <f>-Q61*Assumptions!$N$56</f>
        <v>-2473359.3060000003</v>
      </c>
      <c r="R62" s="42">
        <f>-R61*Assumptions!$N$56</f>
        <v>-2473359.3060000003</v>
      </c>
      <c r="S62" s="42">
        <f>-S61*Assumptions!$N$56</f>
        <v>-2473359.3060000003</v>
      </c>
      <c r="T62" s="42">
        <f>-T61*Assumptions!$N$56</f>
        <v>-2473359.3060000003</v>
      </c>
      <c r="U62" s="42">
        <f>-U61*Assumptions!$N$56</f>
        <v>-2473359.3060000003</v>
      </c>
      <c r="V62" s="42">
        <f>-V61*Assumptions!$N$56</f>
        <v>-2720695.2366000009</v>
      </c>
      <c r="W62" s="42">
        <f>-W61*Assumptions!$N$56</f>
        <v>-2720695.2366000009</v>
      </c>
      <c r="X62" s="42">
        <f>-X61*Assumptions!$N$56</f>
        <v>-2720695.2366000009</v>
      </c>
      <c r="Y62" s="42">
        <f>-Y61*Assumptions!$N$56</f>
        <v>-2720695.2366000009</v>
      </c>
      <c r="Z62" s="42">
        <f>-Z61*Assumptions!$N$56</f>
        <v>-2720695.2366000009</v>
      </c>
    </row>
    <row r="63" spans="1:26">
      <c r="B63" s="33" t="s">
        <v>244</v>
      </c>
      <c r="C63" s="33"/>
      <c r="D63" s="40"/>
      <c r="E63" s="40"/>
      <c r="F63" s="151">
        <f ca="1">+F68*Assumptions!$N$89</f>
        <v>0</v>
      </c>
      <c r="G63" s="151">
        <f ca="1">+G68*Assumptions!$N$89</f>
        <v>0</v>
      </c>
      <c r="H63" s="151">
        <f ca="1">+H68*Assumptions!$N$89</f>
        <v>0</v>
      </c>
      <c r="I63" s="151">
        <f ca="1">+I68*Assumptions!$N$89</f>
        <v>3535734.1504885205</v>
      </c>
      <c r="J63" s="151">
        <f ca="1">+J68*Assumptions!$N$89</f>
        <v>7237054.8362982469</v>
      </c>
      <c r="K63" s="151">
        <f ca="1">+K68*Assumptions!$N$89</f>
        <v>7311700.489440388</v>
      </c>
      <c r="L63" s="151">
        <f ca="1">+L68*Assumptions!$N$89</f>
        <v>7388585.512176794</v>
      </c>
      <c r="M63" s="151">
        <f ca="1">+M68*Assumptions!$N$89</f>
        <v>7562754.4135598307</v>
      </c>
      <c r="N63" s="151">
        <f ca="1">+N68*Assumptions!$N$89</f>
        <v>7644321.7341808826</v>
      </c>
      <c r="O63" s="151">
        <f ca="1">+O68*Assumptions!$N$89</f>
        <v>7728336.0744205685</v>
      </c>
      <c r="P63" s="151">
        <f ca="1">+P68*Assumptions!$N$89</f>
        <v>7911747.7193912705</v>
      </c>
      <c r="Q63" s="151">
        <f ca="1">+Q68*Assumptions!$N$89</f>
        <v>8000878.5329515524</v>
      </c>
      <c r="R63" s="151">
        <f ca="1">+R68*Assumptions!$N$89</f>
        <v>8092683.2709186422</v>
      </c>
      <c r="S63" s="151">
        <f ca="1">+S68*Assumptions!$N$89</f>
        <v>8286056.5630390495</v>
      </c>
      <c r="T63" s="151">
        <f ca="1">+T68*Assumptions!$N$89</f>
        <v>8383452.2095483355</v>
      </c>
      <c r="U63" s="151">
        <f ca="1">+U68*Assumptions!$N$89</f>
        <v>8483769.7254528999</v>
      </c>
      <c r="V63" s="151">
        <f ca="1">+V68*Assumptions!$N$89</f>
        <v>8687887.4670891948</v>
      </c>
      <c r="W63" s="151">
        <f ca="1">+W68*Assumptions!$N$89</f>
        <v>8794314.3197123464</v>
      </c>
      <c r="X63" s="151">
        <f ca="1">+X68*Assumptions!$N$89</f>
        <v>8903933.9779141936</v>
      </c>
      <c r="Y63" s="151">
        <f ca="1">+Y68*Assumptions!$N$89</f>
        <v>9119648.7401217762</v>
      </c>
      <c r="Z63" s="151">
        <f ca="1">+Z68*Assumptions!$N$89</f>
        <v>9235944.2355081178</v>
      </c>
    </row>
    <row r="64" spans="1:26">
      <c r="B64" s="137" t="s">
        <v>238</v>
      </c>
      <c r="C64" s="137"/>
      <c r="D64" s="137"/>
      <c r="E64" s="137"/>
      <c r="F64" s="129">
        <f t="shared" ref="F64:Z64" ca="1" si="96">+SUM(F61:F63)</f>
        <v>0</v>
      </c>
      <c r="G64" s="129">
        <f t="shared" ca="1" si="96"/>
        <v>0</v>
      </c>
      <c r="H64" s="129">
        <f t="shared" ca="1" si="96"/>
        <v>0</v>
      </c>
      <c r="I64" s="129">
        <f t="shared" ca="1" si="96"/>
        <v>12632984.850488519</v>
      </c>
      <c r="J64" s="129">
        <f t="shared" ca="1" si="96"/>
        <v>25431556.236298244</v>
      </c>
      <c r="K64" s="129">
        <f t="shared" ca="1" si="96"/>
        <v>25506201.889440387</v>
      </c>
      <c r="L64" s="129">
        <f t="shared" ca="1" si="96"/>
        <v>27402537.052176792</v>
      </c>
      <c r="M64" s="129">
        <f t="shared" ca="1" si="96"/>
        <v>27576705.953559831</v>
      </c>
      <c r="N64" s="129">
        <f t="shared" ca="1" si="96"/>
        <v>27658273.274180882</v>
      </c>
      <c r="O64" s="129">
        <f t="shared" ca="1" si="96"/>
        <v>27742287.614420567</v>
      </c>
      <c r="P64" s="129">
        <f t="shared" ca="1" si="96"/>
        <v>27925699.259391271</v>
      </c>
      <c r="Q64" s="129">
        <f t="shared" ca="1" si="96"/>
        <v>30016225.226951554</v>
      </c>
      <c r="R64" s="129">
        <f t="shared" ca="1" si="96"/>
        <v>30108029.964918643</v>
      </c>
      <c r="S64" s="129">
        <f t="shared" ca="1" si="96"/>
        <v>30301403.257039052</v>
      </c>
      <c r="T64" s="129">
        <f t="shared" ca="1" si="96"/>
        <v>30398798.903548338</v>
      </c>
      <c r="U64" s="129">
        <f t="shared" ca="1" si="96"/>
        <v>30499116.419452902</v>
      </c>
      <c r="V64" s="129">
        <f t="shared" ca="1" si="96"/>
        <v>32904768.830489203</v>
      </c>
      <c r="W64" s="129">
        <f t="shared" ca="1" si="96"/>
        <v>33011195.683112353</v>
      </c>
      <c r="X64" s="129">
        <f t="shared" ca="1" si="96"/>
        <v>33120815.341314204</v>
      </c>
      <c r="Y64" s="129">
        <f t="shared" ca="1" si="96"/>
        <v>33336530.103521787</v>
      </c>
      <c r="Z64" s="129">
        <f t="shared" ca="1" si="96"/>
        <v>33452825.598908126</v>
      </c>
    </row>
    <row r="66" spans="2:26">
      <c r="B66" s="33" t="s">
        <v>371</v>
      </c>
      <c r="F66" s="34">
        <f>+F55*Assumptions!$N$121*'Phase I Pro Forma'!F59</f>
        <v>0</v>
      </c>
      <c r="G66" s="34">
        <f>+G55*Assumptions!$N$121*'Phase I Pro Forma'!G59</f>
        <v>0</v>
      </c>
      <c r="H66" s="34">
        <f>+H55*Assumptions!$N$121*'Phase I Pro Forma'!H59</f>
        <v>0</v>
      </c>
      <c r="I66" s="34">
        <f>+I55*Assumptions!$N$121*'Phase I Pro Forma'!I59</f>
        <v>1509823.0813539999</v>
      </c>
      <c r="J66" s="34">
        <f>+J55*Assumptions!$N$121*'Phase I Pro Forma'!J59</f>
        <v>3110235.5475892406</v>
      </c>
      <c r="K66" s="34">
        <f>+K55*Assumptions!$N$121*'Phase I Pro Forma'!K59</f>
        <v>3203542.6140169175</v>
      </c>
      <c r="L66" s="34">
        <f>+L55*Assumptions!$N$121*'Phase I Pro Forma'!L59</f>
        <v>3299648.892437425</v>
      </c>
      <c r="M66" s="34">
        <f>+M55*Assumptions!$N$121*'Phase I Pro Forma'!M59</f>
        <v>3398638.359210548</v>
      </c>
      <c r="N66" s="34">
        <f>+N55*Assumptions!$N$121*'Phase I Pro Forma'!N59</f>
        <v>3500597.5099868649</v>
      </c>
      <c r="O66" s="34">
        <f>+O55*Assumptions!$N$121*'Phase I Pro Forma'!O59</f>
        <v>3605615.4352864707</v>
      </c>
      <c r="P66" s="34">
        <f>+P55*Assumptions!$N$121*'Phase I Pro Forma'!P59</f>
        <v>3713783.8983450648</v>
      </c>
      <c r="Q66" s="34">
        <f>+Q55*Assumptions!$N$121*'Phase I Pro Forma'!Q59</f>
        <v>3825197.415295417</v>
      </c>
      <c r="R66" s="34">
        <f>+R55*Assumptions!$N$121*'Phase I Pro Forma'!R59</f>
        <v>3939953.3377542794</v>
      </c>
      <c r="S66" s="34">
        <f>+S55*Assumptions!$N$121*'Phase I Pro Forma'!S59</f>
        <v>4058151.9378869082</v>
      </c>
      <c r="T66" s="34">
        <f>+T55*Assumptions!$N$121*'Phase I Pro Forma'!T59</f>
        <v>4179896.4960235157</v>
      </c>
      <c r="U66" s="34">
        <f>+U55*Assumptions!$N$121*'Phase I Pro Forma'!U59</f>
        <v>4305293.3909042217</v>
      </c>
      <c r="V66" s="34">
        <f>+V55*Assumptions!$N$121*'Phase I Pro Forma'!V59</f>
        <v>4434452.192631348</v>
      </c>
      <c r="W66" s="34">
        <f>+W55*Assumptions!$N$121*'Phase I Pro Forma'!W59</f>
        <v>4567485.758410289</v>
      </c>
      <c r="X66" s="34">
        <f>+X55*Assumptions!$N$121*'Phase I Pro Forma'!X59</f>
        <v>4704510.3311625971</v>
      </c>
      <c r="Y66" s="34">
        <f>+Y55*Assumptions!$N$121*'Phase I Pro Forma'!Y59</f>
        <v>4845645.6410974758</v>
      </c>
      <c r="Z66" s="34">
        <f>+Z55*Assumptions!$N$121*'Phase I Pro Forma'!Z59</f>
        <v>4991015.0103304004</v>
      </c>
    </row>
    <row r="67" spans="2:26">
      <c r="B67" s="33" t="s">
        <v>308</v>
      </c>
      <c r="F67" s="151">
        <f ca="1">+IFERROR(IFERROR(INDEX('Taxes and TIF'!$M$11:$M$45,MATCH('Phase I Pro Forma'!F$7,'Taxes and TIF'!$B$11:$B$45,0)),0)*'Loan Sizing'!$I$17*F56,0)</f>
        <v>0</v>
      </c>
      <c r="G67" s="151">
        <f ca="1">+IFERROR(IFERROR(INDEX('Taxes and TIF'!$M$11:$M$45,MATCH('Phase I Pro Forma'!G$7,'Taxes and TIF'!$B$11:$B$45,0)),0)*'Loan Sizing'!$I$17*G56,0)</f>
        <v>0</v>
      </c>
      <c r="H67" s="151">
        <f ca="1">+IFERROR(IFERROR(INDEX('Taxes and TIF'!$M$11:$M$45,MATCH('Phase I Pro Forma'!H$7,'Taxes and TIF'!$B$11:$B$45,0)),0)*'Loan Sizing'!$I$17*H56,0)</f>
        <v>0</v>
      </c>
      <c r="I67" s="151">
        <f ca="1">+IFERROR(IFERROR(INDEX('Taxes and TIF'!$M$11:$M$45,MATCH('Phase I Pro Forma'!I$7,'Taxes and TIF'!$B$11:$B$45,0)),0)*'Loan Sizing'!$I$17*I56,0)</f>
        <v>2909844.6067566508</v>
      </c>
      <c r="J67" s="151">
        <f ca="1">+IFERROR(IFERROR(INDEX('Taxes and TIF'!$M$11:$M$45,MATCH('Phase I Pro Forma'!J$7,'Taxes and TIF'!$B$11:$B$45,0)),0)*'Loan Sizing'!$I$17*J56,0)</f>
        <v>5936082.9977835668</v>
      </c>
      <c r="K67" s="151">
        <f ca="1">+IFERROR(IFERROR(INDEX('Taxes and TIF'!$M$11:$M$45,MATCH('Phase I Pro Forma'!K$7,'Taxes and TIF'!$B$11:$B$45,0)),0)*'Loan Sizing'!$I$17*K56,0)</f>
        <v>5936082.9977835668</v>
      </c>
      <c r="L67" s="151">
        <f ca="1">+IFERROR(IFERROR(INDEX('Taxes and TIF'!$M$11:$M$45,MATCH('Phase I Pro Forma'!L$7,'Taxes and TIF'!$B$11:$B$45,0)),0)*'Loan Sizing'!$I$17*L56,0)</f>
        <v>5936082.9977835668</v>
      </c>
      <c r="M67" s="151">
        <f ca="1">+IFERROR(IFERROR(INDEX('Taxes and TIF'!$M$11:$M$45,MATCH('Phase I Pro Forma'!M$7,'Taxes and TIF'!$B$11:$B$45,0)),0)*'Loan Sizing'!$I$17*M56,0)</f>
        <v>6054804.6577392388</v>
      </c>
      <c r="N67" s="151">
        <f ca="1">+IFERROR(IFERROR(INDEX('Taxes and TIF'!$M$11:$M$45,MATCH('Phase I Pro Forma'!N$7,'Taxes and TIF'!$B$11:$B$45,0)),0)*'Loan Sizing'!$I$17*N56,0)</f>
        <v>6054804.6577392388</v>
      </c>
      <c r="O67" s="151">
        <f ca="1">+IFERROR(IFERROR(INDEX('Taxes and TIF'!$M$11:$M$45,MATCH('Phase I Pro Forma'!O$7,'Taxes and TIF'!$B$11:$B$45,0)),0)*'Loan Sizing'!$I$17*O56,0)</f>
        <v>6054804.6577392388</v>
      </c>
      <c r="P67" s="151">
        <f ca="1">+IFERROR(IFERROR(INDEX('Taxes and TIF'!$M$11:$M$45,MATCH('Phase I Pro Forma'!P$7,'Taxes and TIF'!$B$11:$B$45,0)),0)*'Loan Sizing'!$I$17*P56,0)</f>
        <v>6175900.7508940222</v>
      </c>
      <c r="Q67" s="151">
        <f ca="1">+IFERROR(IFERROR(INDEX('Taxes and TIF'!$M$11:$M$45,MATCH('Phase I Pro Forma'!Q$7,'Taxes and TIF'!$B$11:$B$45,0)),0)*'Loan Sizing'!$I$17*Q56,0)</f>
        <v>6175900.7508940222</v>
      </c>
      <c r="R67" s="151">
        <f ca="1">+IFERROR(IFERROR(INDEX('Taxes and TIF'!$M$11:$M$45,MATCH('Phase I Pro Forma'!R$7,'Taxes and TIF'!$B$11:$B$45,0)),0)*'Loan Sizing'!$I$17*R56,0)</f>
        <v>6175900.7508940222</v>
      </c>
      <c r="S67" s="151">
        <f ca="1">+IFERROR(IFERROR(INDEX('Taxes and TIF'!$M$11:$M$45,MATCH('Phase I Pro Forma'!S$7,'Taxes and TIF'!$B$11:$B$45,0)),0)*'Loan Sizing'!$I$17*S56,0)</f>
        <v>6299418.7659119032</v>
      </c>
      <c r="T67" s="151">
        <f ca="1">+IFERROR(IFERROR(INDEX('Taxes and TIF'!$M$11:$M$45,MATCH('Phase I Pro Forma'!T$7,'Taxes and TIF'!$B$11:$B$45,0)),0)*'Loan Sizing'!$I$17*T56,0)</f>
        <v>6299418.7659119032</v>
      </c>
      <c r="U67" s="151">
        <f ca="1">+IFERROR(IFERROR(INDEX('Taxes and TIF'!$M$11:$M$45,MATCH('Phase I Pro Forma'!U$7,'Taxes and TIF'!$B$11:$B$45,0)),0)*'Loan Sizing'!$I$17*U56,0)</f>
        <v>6299418.7659119032</v>
      </c>
      <c r="V67" s="151">
        <f ca="1">+IFERROR(IFERROR(INDEX('Taxes and TIF'!$M$11:$M$45,MATCH('Phase I Pro Forma'!V$7,'Taxes and TIF'!$B$11:$B$45,0)),0)*'Loan Sizing'!$I$17*V56,0)</f>
        <v>6425407.1412301417</v>
      </c>
      <c r="W67" s="151">
        <f ca="1">+IFERROR(IFERROR(INDEX('Taxes and TIF'!$M$11:$M$45,MATCH('Phase I Pro Forma'!W$7,'Taxes and TIF'!$B$11:$B$45,0)),0)*'Loan Sizing'!$I$17*W56,0)</f>
        <v>6425407.1412301417</v>
      </c>
      <c r="X67" s="151">
        <f ca="1">+IFERROR(IFERROR(INDEX('Taxes and TIF'!$M$11:$M$45,MATCH('Phase I Pro Forma'!X$7,'Taxes and TIF'!$B$11:$B$45,0)),0)*'Loan Sizing'!$I$17*X56,0)</f>
        <v>6425407.1412301417</v>
      </c>
      <c r="Y67" s="151">
        <f ca="1">+IFERROR(IFERROR(INDEX('Taxes and TIF'!$M$11:$M$45,MATCH('Phase I Pro Forma'!Y$7,'Taxes and TIF'!$B$11:$B$45,0)),0)*'Loan Sizing'!$I$17*Y56,0)</f>
        <v>6553915.2840547441</v>
      </c>
      <c r="Z67" s="151">
        <f ca="1">+IFERROR(IFERROR(INDEX('Taxes and TIF'!$M$11:$M$45,MATCH('Phase I Pro Forma'!Z$7,'Taxes and TIF'!$B$11:$B$45,0)),0)*'Loan Sizing'!$I$17*Z56,0)</f>
        <v>6553915.2840547441</v>
      </c>
    </row>
    <row r="68" spans="2:26">
      <c r="B68" s="137" t="s">
        <v>234</v>
      </c>
      <c r="C68" s="137"/>
      <c r="D68" s="137"/>
      <c r="E68" s="137"/>
      <c r="F68" s="129">
        <f ca="1">+SUM(F66:F67)</f>
        <v>0</v>
      </c>
      <c r="G68" s="129">
        <f t="shared" ref="G68" ca="1" si="97">+SUM(G66:G67)</f>
        <v>0</v>
      </c>
      <c r="H68" s="129">
        <f t="shared" ref="H68" ca="1" si="98">+SUM(H66:H67)</f>
        <v>0</v>
      </c>
      <c r="I68" s="129">
        <f t="shared" ref="I68" ca="1" si="99">+SUM(I66:I67)</f>
        <v>4419667.6881106505</v>
      </c>
      <c r="J68" s="129">
        <f t="shared" ref="J68" ca="1" si="100">+SUM(J66:J67)</f>
        <v>9046318.5453728065</v>
      </c>
      <c r="K68" s="129">
        <f t="shared" ref="K68" ca="1" si="101">+SUM(K66:K67)</f>
        <v>9139625.6118004844</v>
      </c>
      <c r="L68" s="129">
        <f t="shared" ref="L68" ca="1" si="102">+SUM(L66:L67)</f>
        <v>9235731.8902209923</v>
      </c>
      <c r="M68" s="129">
        <f t="shared" ref="M68" ca="1" si="103">+SUM(M66:M67)</f>
        <v>9453443.0169497877</v>
      </c>
      <c r="N68" s="129">
        <f t="shared" ref="N68" ca="1" si="104">+SUM(N66:N67)</f>
        <v>9555402.1677261032</v>
      </c>
      <c r="O68" s="129">
        <f t="shared" ref="O68" ca="1" si="105">+SUM(O66:O67)</f>
        <v>9660420.0930257104</v>
      </c>
      <c r="P68" s="129">
        <f t="shared" ref="P68" ca="1" si="106">+SUM(P66:P67)</f>
        <v>9889684.6492390875</v>
      </c>
      <c r="Q68" s="129">
        <f t="shared" ref="Q68" ca="1" si="107">+SUM(Q66:Q67)</f>
        <v>10001098.16618944</v>
      </c>
      <c r="R68" s="129">
        <f t="shared" ref="R68" ca="1" si="108">+SUM(R66:R67)</f>
        <v>10115854.088648301</v>
      </c>
      <c r="S68" s="129">
        <f t="shared" ref="S68" ca="1" si="109">+SUM(S66:S67)</f>
        <v>10357570.703798812</v>
      </c>
      <c r="T68" s="129">
        <f t="shared" ref="T68" ca="1" si="110">+SUM(T66:T67)</f>
        <v>10479315.261935418</v>
      </c>
      <c r="U68" s="129">
        <f t="shared" ref="U68" ca="1" si="111">+SUM(U66:U67)</f>
        <v>10604712.156816125</v>
      </c>
      <c r="V68" s="129">
        <f t="shared" ref="V68" ca="1" si="112">+SUM(V66:V67)</f>
        <v>10859859.333861489</v>
      </c>
      <c r="W68" s="129">
        <f t="shared" ref="W68" ca="1" si="113">+SUM(W66:W67)</f>
        <v>10992892.89964043</v>
      </c>
      <c r="X68" s="129">
        <f t="shared" ref="X68" ca="1" si="114">+SUM(X66:X67)</f>
        <v>11129917.472392738</v>
      </c>
      <c r="Y68" s="129">
        <f t="shared" ref="Y68" ca="1" si="115">+SUM(Y66:Y67)</f>
        <v>11399560.92515222</v>
      </c>
      <c r="Z68" s="129">
        <f t="shared" ref="Z68" ca="1" si="116">+SUM(Z66:Z67)</f>
        <v>11544930.294385144</v>
      </c>
    </row>
    <row r="69" spans="2:26">
      <c r="B69" s="33"/>
    </row>
    <row r="70" spans="2:26" ht="15.5">
      <c r="B70" s="138" t="s">
        <v>233</v>
      </c>
      <c r="C70" s="138"/>
      <c r="D70" s="138"/>
      <c r="E70" s="138"/>
      <c r="F70" s="139">
        <f ca="1">+F64-F68</f>
        <v>0</v>
      </c>
      <c r="G70" s="139">
        <f t="shared" ref="G70:Z70" ca="1" si="117">+G64-G68</f>
        <v>0</v>
      </c>
      <c r="H70" s="139">
        <f t="shared" ca="1" si="117"/>
        <v>0</v>
      </c>
      <c r="I70" s="139">
        <f t="shared" ca="1" si="117"/>
        <v>8213317.1623778688</v>
      </c>
      <c r="J70" s="139">
        <f t="shared" ca="1" si="117"/>
        <v>16385237.690925438</v>
      </c>
      <c r="K70" s="139">
        <f t="shared" ca="1" si="117"/>
        <v>16366576.277639903</v>
      </c>
      <c r="L70" s="139">
        <f t="shared" ca="1" si="117"/>
        <v>18166805.1619558</v>
      </c>
      <c r="M70" s="139">
        <f t="shared" ca="1" si="117"/>
        <v>18123262.936610043</v>
      </c>
      <c r="N70" s="139">
        <f t="shared" ca="1" si="117"/>
        <v>18102871.106454778</v>
      </c>
      <c r="O70" s="139">
        <f t="shared" ca="1" si="117"/>
        <v>18081867.521394856</v>
      </c>
      <c r="P70" s="139">
        <f t="shared" ca="1" si="117"/>
        <v>18036014.610152185</v>
      </c>
      <c r="Q70" s="139">
        <f t="shared" ca="1" si="117"/>
        <v>20015127.060762115</v>
      </c>
      <c r="R70" s="139">
        <f t="shared" ca="1" si="117"/>
        <v>19992175.876270343</v>
      </c>
      <c r="S70" s="139">
        <f t="shared" ca="1" si="117"/>
        <v>19943832.55324024</v>
      </c>
      <c r="T70" s="139">
        <f t="shared" ca="1" si="117"/>
        <v>19919483.641612917</v>
      </c>
      <c r="U70" s="139">
        <f t="shared" ca="1" si="117"/>
        <v>19894404.262636777</v>
      </c>
      <c r="V70" s="139">
        <f t="shared" ca="1" si="117"/>
        <v>22044909.496627714</v>
      </c>
      <c r="W70" s="139">
        <f t="shared" ca="1" si="117"/>
        <v>22018302.783471923</v>
      </c>
      <c r="X70" s="139">
        <f t="shared" ca="1" si="117"/>
        <v>21990897.868921466</v>
      </c>
      <c r="Y70" s="139">
        <f t="shared" ca="1" si="117"/>
        <v>21936969.178369567</v>
      </c>
      <c r="Z70" s="139">
        <f t="shared" ca="1" si="117"/>
        <v>21907895.304522984</v>
      </c>
    </row>
    <row r="71" spans="2:26" ht="15.5">
      <c r="B71" s="143" t="s">
        <v>239</v>
      </c>
      <c r="C71" s="141"/>
      <c r="D71" s="141"/>
      <c r="E71" s="141"/>
      <c r="F71" s="144" t="str">
        <f ca="1">+IFERROR(F70/F64,"")</f>
        <v/>
      </c>
      <c r="G71" s="144" t="str">
        <f t="shared" ref="G71" ca="1" si="118">+IFERROR(G70/G64,"")</f>
        <v/>
      </c>
      <c r="H71" s="144" t="str">
        <f t="shared" ref="H71" ca="1" si="119">+IFERROR(H70/H64,"")</f>
        <v/>
      </c>
      <c r="I71" s="145">
        <f t="shared" ref="I71" ca="1" si="120">+IFERROR(I70/I64,"")</f>
        <v>0.65014858005313436</v>
      </c>
      <c r="J71" s="145">
        <f t="shared" ref="J71" ca="1" si="121">+IFERROR(J70/J64,"")</f>
        <v>0.64428765344446071</v>
      </c>
      <c r="K71" s="145">
        <f t="shared" ref="K71" ca="1" si="122">+IFERROR(K70/K64,"")</f>
        <v>0.64167045915274801</v>
      </c>
      <c r="L71" s="145">
        <f t="shared" ref="L71" ca="1" si="123">+IFERROR(L70/L64,"")</f>
        <v>0.662960700586396</v>
      </c>
      <c r="M71" s="145">
        <f t="shared" ref="M71" ca="1" si="124">+IFERROR(M70/M64,"")</f>
        <v>0.65719462531639106</v>
      </c>
      <c r="N71" s="145">
        <f t="shared" ref="N71" ca="1" si="125">+IFERROR(N70/N64,"")</f>
        <v>0.6545192075802464</v>
      </c>
      <c r="O71" s="145">
        <f t="shared" ref="O71" ca="1" si="126">+IFERROR(O70/O64,"")</f>
        <v>0.65177997477020677</v>
      </c>
      <c r="P71" s="145">
        <f t="shared" ref="P71" ca="1" si="127">+IFERROR(P70/P64,"")</f>
        <v>0.6458572242944558</v>
      </c>
      <c r="Q71" s="145">
        <f t="shared" ref="Q71" ca="1" si="128">+IFERROR(Q70/Q64,"")</f>
        <v>0.66681026376329766</v>
      </c>
      <c r="R71" s="145">
        <f t="shared" ref="R71" ca="1" si="129">+IFERROR(R70/R64,"")</f>
        <v>0.6640147462176994</v>
      </c>
      <c r="S71" s="145">
        <f t="shared" ref="S71" ca="1" si="130">+IFERROR(S70/S64,"")</f>
        <v>0.65818181369561701</v>
      </c>
      <c r="T71" s="145">
        <f t="shared" ref="T71" ca="1" si="131">+IFERROR(T70/T64,"")</f>
        <v>0.65527206205794497</v>
      </c>
      <c r="U71" s="145">
        <f t="shared" ref="U71" ca="1" si="132">+IFERROR(U70/U64,"")</f>
        <v>0.65229444646952972</v>
      </c>
      <c r="V71" s="145">
        <f t="shared" ref="V71" ca="1" si="133">+IFERROR(V70/V64,"")</f>
        <v>0.66996092907363447</v>
      </c>
      <c r="W71" s="145">
        <f t="shared" ref="W71" ca="1" si="134">+IFERROR(W70/W64,"")</f>
        <v>0.66699500965776592</v>
      </c>
      <c r="X71" s="145">
        <f t="shared" ref="X71" ca="1" si="135">+IFERROR(X70/X64,"")</f>
        <v>0.66396003970018469</v>
      </c>
      <c r="Y71" s="145">
        <f t="shared" ref="Y71" ca="1" si="136">+IFERROR(Y70/Y64,"")</f>
        <v>0.65804596669921778</v>
      </c>
      <c r="Z71" s="145">
        <f t="shared" ref="Z71" ca="1" si="137">+IFERROR(Z70/Z64,"")</f>
        <v>0.65488923319045556</v>
      </c>
    </row>
    <row r="72" spans="2:26" ht="15.5">
      <c r="B72" s="143" t="s">
        <v>179</v>
      </c>
      <c r="C72" s="141"/>
      <c r="D72" s="141"/>
      <c r="E72" s="141"/>
      <c r="F72" s="142">
        <f ca="1">+F70/Assumptions!$N$130</f>
        <v>0</v>
      </c>
      <c r="G72" s="142">
        <f ca="1">+G70/Assumptions!$N$130</f>
        <v>0</v>
      </c>
      <c r="H72" s="142">
        <f ca="1">+H70/Assumptions!$N$130</f>
        <v>0</v>
      </c>
      <c r="I72" s="142">
        <f ca="1">+I70/Assumptions!$N$130</f>
        <v>136888619.37296447</v>
      </c>
      <c r="J72" s="142">
        <f ca="1">+J70/Assumptions!$N$130</f>
        <v>273087294.84875733</v>
      </c>
      <c r="K72" s="142">
        <f ca="1">+K70/Assumptions!$N$130</f>
        <v>272776271.29399842</v>
      </c>
      <c r="L72" s="142">
        <f ca="1">+L70/Assumptions!$N$130</f>
        <v>302780086.03259665</v>
      </c>
      <c r="M72" s="142">
        <f ca="1">+M70/Assumptions!$N$130</f>
        <v>302054382.27683407</v>
      </c>
      <c r="N72" s="142">
        <f ca="1">+N70/Assumptions!$N$130</f>
        <v>301714518.44091296</v>
      </c>
      <c r="O72" s="142">
        <f ca="1">+O70/Assumptions!$N$130</f>
        <v>301364458.68991429</v>
      </c>
      <c r="P72" s="142">
        <f ca="1">+P70/Assumptions!$N$130</f>
        <v>300600243.50253642</v>
      </c>
      <c r="Q72" s="142">
        <f ca="1">+Q70/Assumptions!$N$130</f>
        <v>333585451.01270193</v>
      </c>
      <c r="R72" s="142">
        <f ca="1">+R70/Assumptions!$N$130</f>
        <v>333202931.2711724</v>
      </c>
      <c r="S72" s="142">
        <f ca="1">+S70/Assumptions!$N$130</f>
        <v>332397209.2206707</v>
      </c>
      <c r="T72" s="142">
        <f ca="1">+T70/Assumptions!$N$130</f>
        <v>331991394.02688199</v>
      </c>
      <c r="U72" s="142">
        <f ca="1">+U70/Assumptions!$N$130</f>
        <v>331573404.37727964</v>
      </c>
      <c r="V72" s="142">
        <f ca="1">+V70/Assumptions!$N$130</f>
        <v>367415158.27712858</v>
      </c>
      <c r="W72" s="142">
        <f ca="1">+W70/Assumptions!$N$130</f>
        <v>366971713.05786538</v>
      </c>
      <c r="X72" s="142">
        <f ca="1">+X70/Assumptions!$N$130</f>
        <v>366514964.48202443</v>
      </c>
      <c r="Y72" s="142">
        <f ca="1">+Y70/Assumptions!$N$130</f>
        <v>365616152.97282612</v>
      </c>
      <c r="Z72" s="142">
        <f ca="1">+Z70/Assumptions!$N$130</f>
        <v>365131588.40871638</v>
      </c>
    </row>
    <row r="74" spans="2:26" ht="15.5">
      <c r="B74" s="148" t="s">
        <v>827</v>
      </c>
      <c r="C74" s="149"/>
      <c r="D74" s="149"/>
      <c r="E74" s="149"/>
      <c r="F74" s="150">
        <f>+Assumptions!$F$22</f>
        <v>44561</v>
      </c>
      <c r="G74" s="150">
        <f>+EOMONTH(F74,12)</f>
        <v>44926</v>
      </c>
      <c r="H74" s="150">
        <f t="shared" ref="H74:Z74" si="138">+EOMONTH(G74,12)</f>
        <v>45291</v>
      </c>
      <c r="I74" s="150">
        <f t="shared" si="138"/>
        <v>45657</v>
      </c>
      <c r="J74" s="150">
        <f t="shared" si="138"/>
        <v>46022</v>
      </c>
      <c r="K74" s="150">
        <f t="shared" si="138"/>
        <v>46387</v>
      </c>
      <c r="L74" s="150">
        <f t="shared" si="138"/>
        <v>46752</v>
      </c>
      <c r="M74" s="150">
        <f t="shared" si="138"/>
        <v>47118</v>
      </c>
      <c r="N74" s="150">
        <f t="shared" si="138"/>
        <v>47483</v>
      </c>
      <c r="O74" s="150">
        <f t="shared" si="138"/>
        <v>47848</v>
      </c>
      <c r="P74" s="150">
        <f t="shared" si="138"/>
        <v>48213</v>
      </c>
      <c r="Q74" s="150">
        <f t="shared" si="138"/>
        <v>48579</v>
      </c>
      <c r="R74" s="150">
        <f t="shared" si="138"/>
        <v>48944</v>
      </c>
      <c r="S74" s="150">
        <f t="shared" si="138"/>
        <v>49309</v>
      </c>
      <c r="T74" s="150">
        <f t="shared" si="138"/>
        <v>49674</v>
      </c>
      <c r="U74" s="150">
        <f t="shared" si="138"/>
        <v>50040</v>
      </c>
      <c r="V74" s="150">
        <f t="shared" si="138"/>
        <v>50405</v>
      </c>
      <c r="W74" s="150">
        <f t="shared" si="138"/>
        <v>50770</v>
      </c>
      <c r="X74" s="150">
        <f t="shared" si="138"/>
        <v>51135</v>
      </c>
      <c r="Y74" s="150">
        <f t="shared" si="138"/>
        <v>51501</v>
      </c>
      <c r="Z74" s="150">
        <f t="shared" si="138"/>
        <v>51866</v>
      </c>
    </row>
    <row r="75" spans="2:26">
      <c r="B75" s="33" t="s">
        <v>690</v>
      </c>
      <c r="C75" s="33"/>
      <c r="D75" s="40"/>
      <c r="E75" s="40"/>
      <c r="F75" s="42">
        <f>+IF(AND(F74&gt;=Assumptions!$F$26,F74&lt;Assumptions!$F$28),Assumptions!$F$154/ROUNDUP((Assumptions!$F$27/12),0),0)</f>
        <v>0</v>
      </c>
      <c r="G75" s="42">
        <f>+IF(AND(G74&gt;=Assumptions!$F$26,G74&lt;Assumptions!$F$28),Assumptions!$F$154/ROUNDUP((Assumptions!$F$27/12),0),0)</f>
        <v>0</v>
      </c>
      <c r="H75" s="42">
        <f>+IF(AND(H74&gt;=Assumptions!$F$26,H74&lt;Assumptions!$F$28),Assumptions!$F$154/ROUNDUP((Assumptions!$F$27/12),0),0)</f>
        <v>0</v>
      </c>
      <c r="I75" s="42">
        <f>+IF(AND(I74&gt;=Assumptions!$F$26,I74&lt;Assumptions!$F$28),Assumptions!$F$154/ROUNDUP((Assumptions!$F$27/12),0),0)</f>
        <v>5.0000000000000004E-6</v>
      </c>
      <c r="J75" s="42">
        <f>+IF(AND(J74&gt;=Assumptions!$F$26,J74&lt;Assumptions!$F$28),Assumptions!$F$154/ROUNDUP((Assumptions!$F$27/12),0),0)</f>
        <v>5.0000000000000004E-6</v>
      </c>
      <c r="K75" s="42">
        <f>+IF(AND(K74&gt;=Assumptions!$F$26,K74&lt;Assumptions!$F$28),Assumptions!$F$154/ROUNDUP((Assumptions!$F$27/12),0),0)</f>
        <v>0</v>
      </c>
      <c r="L75" s="42">
        <f>+IF(AND(L74&gt;=Assumptions!$F$26,L74&lt;Assumptions!$F$28),Assumptions!$F$154/ROUNDUP((Assumptions!$F$27/12),0),0)</f>
        <v>0</v>
      </c>
      <c r="M75" s="42">
        <f>+IF(AND(M74&gt;=Assumptions!$F$26,M74&lt;Assumptions!$F$28),Assumptions!$F$154/ROUNDUP((Assumptions!$F$27/12),0),0)</f>
        <v>0</v>
      </c>
      <c r="N75" s="42">
        <f>+IF(AND(N74&gt;=Assumptions!$F$26,N74&lt;Assumptions!$F$28),Assumptions!$F$154/ROUNDUP((Assumptions!$F$27/12),0),0)</f>
        <v>0</v>
      </c>
      <c r="O75" s="42">
        <f>+IF(AND(O74&gt;=Assumptions!$F$26,O74&lt;Assumptions!$F$28),Assumptions!$F$154/ROUNDUP((Assumptions!$F$27/12),0),0)</f>
        <v>0</v>
      </c>
      <c r="P75" s="42">
        <f>+IF(AND(P74&gt;=Assumptions!$F$26,P74&lt;Assumptions!$F$28),Assumptions!$F$154/ROUNDUP((Assumptions!$F$27/12),0),0)</f>
        <v>0</v>
      </c>
      <c r="Q75" s="42">
        <f>+IF(AND(Q74&gt;=Assumptions!$F$26,Q74&lt;Assumptions!$F$28),Assumptions!$F$154/ROUNDUP((Assumptions!$F$27/12),0),0)</f>
        <v>0</v>
      </c>
      <c r="R75" s="42">
        <f>+IF(AND(R74&gt;=Assumptions!$F$26,R74&lt;Assumptions!$F$28),Assumptions!$F$154/ROUNDUP((Assumptions!$F$27/12),0),0)</f>
        <v>0</v>
      </c>
      <c r="S75" s="42">
        <f>+IF(AND(S74&gt;=Assumptions!$F$26,S74&lt;Assumptions!$F$28),Assumptions!$F$154/ROUNDUP((Assumptions!$F$27/12),0),0)</f>
        <v>0</v>
      </c>
      <c r="T75" s="42">
        <f>+IF(AND(T74&gt;=Assumptions!$F$26,T74&lt;Assumptions!$F$28),Assumptions!$F$154/ROUNDUP((Assumptions!$F$27/12),0),0)</f>
        <v>0</v>
      </c>
      <c r="U75" s="42">
        <f>+IF(AND(U74&gt;=Assumptions!$F$26,U74&lt;Assumptions!$F$28),Assumptions!$F$154/ROUNDUP((Assumptions!$F$27/12),0),0)</f>
        <v>0</v>
      </c>
      <c r="V75" s="42">
        <f>+IF(AND(V74&gt;=Assumptions!$F$26,V74&lt;Assumptions!$F$28),Assumptions!$F$154/ROUNDUP((Assumptions!$F$27/12),0),0)</f>
        <v>0</v>
      </c>
      <c r="W75" s="42">
        <f>+IF(AND(W74&gt;=Assumptions!$F$26,W74&lt;Assumptions!$F$28),Assumptions!$F$154/ROUNDUP((Assumptions!$F$27/12),0),0)</f>
        <v>0</v>
      </c>
      <c r="X75" s="42">
        <f>+IF(AND(X74&gt;=Assumptions!$F$26,X74&lt;Assumptions!$F$28),Assumptions!$F$154/ROUNDUP((Assumptions!$F$27/12),0),0)</f>
        <v>0</v>
      </c>
      <c r="Y75" s="42">
        <f>+IF(AND(Y74&gt;=Assumptions!$F$26,Y74&lt;Assumptions!$F$28),Assumptions!$F$154/ROUNDUP((Assumptions!$F$27/12),0),0)</f>
        <v>0</v>
      </c>
      <c r="Z75" s="42">
        <f>+IF(AND(Z74&gt;=Assumptions!$F$26,Z74&lt;Assumptions!$F$28),Assumptions!$F$154/ROUNDUP((Assumptions!$F$27/12),0),0)</f>
        <v>0</v>
      </c>
    </row>
    <row r="76" spans="2:26">
      <c r="B76" s="33" t="s">
        <v>231</v>
      </c>
      <c r="C76" s="33"/>
      <c r="D76" s="42">
        <v>0</v>
      </c>
      <c r="E76" s="42"/>
      <c r="F76" s="42">
        <f>+D76+F75</f>
        <v>0</v>
      </c>
      <c r="G76" s="42">
        <f t="shared" ref="G76" si="139">+F76+G75</f>
        <v>0</v>
      </c>
      <c r="H76" s="42">
        <f t="shared" ref="H76" si="140">+G76+H75</f>
        <v>0</v>
      </c>
      <c r="I76" s="42">
        <f t="shared" ref="I76" si="141">+H76+I75</f>
        <v>5.0000000000000004E-6</v>
      </c>
      <c r="J76" s="42">
        <f t="shared" ref="J76" si="142">+I76+J75</f>
        <v>1.0000000000000001E-5</v>
      </c>
      <c r="K76" s="42">
        <f t="shared" ref="K76" si="143">+J76+K75</f>
        <v>1.0000000000000001E-5</v>
      </c>
      <c r="L76" s="42">
        <f t="shared" ref="L76" si="144">+K76+L75</f>
        <v>1.0000000000000001E-5</v>
      </c>
      <c r="M76" s="42">
        <f t="shared" ref="M76" si="145">+L76+M75</f>
        <v>1.0000000000000001E-5</v>
      </c>
      <c r="N76" s="42">
        <f t="shared" ref="N76" si="146">+M76+N75</f>
        <v>1.0000000000000001E-5</v>
      </c>
      <c r="O76" s="42">
        <f t="shared" ref="O76" si="147">+N76+O75</f>
        <v>1.0000000000000001E-5</v>
      </c>
      <c r="P76" s="42">
        <f t="shared" ref="P76" si="148">+O76+P75</f>
        <v>1.0000000000000001E-5</v>
      </c>
      <c r="Q76" s="42">
        <f t="shared" ref="Q76" si="149">+P76+Q75</f>
        <v>1.0000000000000001E-5</v>
      </c>
      <c r="R76" s="42">
        <f t="shared" ref="R76" si="150">+Q76+R75</f>
        <v>1.0000000000000001E-5</v>
      </c>
      <c r="S76" s="42">
        <f t="shared" ref="S76" si="151">+R76+S75</f>
        <v>1.0000000000000001E-5</v>
      </c>
      <c r="T76" s="42">
        <f t="shared" ref="T76" si="152">+S76+T75</f>
        <v>1.0000000000000001E-5</v>
      </c>
      <c r="U76" s="42">
        <f t="shared" ref="U76" si="153">+T76+U75</f>
        <v>1.0000000000000001E-5</v>
      </c>
      <c r="V76" s="42">
        <f t="shared" ref="V76" si="154">+U76+V75</f>
        <v>1.0000000000000001E-5</v>
      </c>
      <c r="W76" s="42">
        <f t="shared" ref="W76" si="155">+V76+W75</f>
        <v>1.0000000000000001E-5</v>
      </c>
      <c r="X76" s="42">
        <f t="shared" ref="X76" si="156">+W76+X75</f>
        <v>1.0000000000000001E-5</v>
      </c>
      <c r="Y76" s="42">
        <f t="shared" ref="Y76" si="157">+X76+Y75</f>
        <v>1.0000000000000001E-5</v>
      </c>
      <c r="Z76" s="42">
        <f t="shared" ref="Z76" si="158">+Y76+Z75</f>
        <v>1.0000000000000001E-5</v>
      </c>
    </row>
    <row r="77" spans="2:26">
      <c r="B77" s="33" t="s">
        <v>285</v>
      </c>
      <c r="C77" s="33"/>
      <c r="D77" s="42"/>
      <c r="E77" s="42"/>
      <c r="F77" s="108">
        <f>+IFERROR(F76/SUM($F75:$Z75),0)</f>
        <v>0</v>
      </c>
      <c r="G77" s="108">
        <f t="shared" ref="G77:Z77" si="159">+IFERROR(G76/SUM($F75:$Z75),0)</f>
        <v>0</v>
      </c>
      <c r="H77" s="108">
        <f t="shared" si="159"/>
        <v>0</v>
      </c>
      <c r="I77" s="108">
        <f t="shared" si="159"/>
        <v>0.5</v>
      </c>
      <c r="J77" s="108">
        <f t="shared" si="159"/>
        <v>1</v>
      </c>
      <c r="K77" s="108">
        <f t="shared" si="159"/>
        <v>1</v>
      </c>
      <c r="L77" s="108">
        <f t="shared" si="159"/>
        <v>1</v>
      </c>
      <c r="M77" s="108">
        <f t="shared" si="159"/>
        <v>1</v>
      </c>
      <c r="N77" s="108">
        <f t="shared" si="159"/>
        <v>1</v>
      </c>
      <c r="O77" s="108">
        <f t="shared" si="159"/>
        <v>1</v>
      </c>
      <c r="P77" s="108">
        <f t="shared" si="159"/>
        <v>1</v>
      </c>
      <c r="Q77" s="108">
        <f t="shared" si="159"/>
        <v>1</v>
      </c>
      <c r="R77" s="108">
        <f t="shared" si="159"/>
        <v>1</v>
      </c>
      <c r="S77" s="108">
        <f t="shared" si="159"/>
        <v>1</v>
      </c>
      <c r="T77" s="108">
        <f t="shared" si="159"/>
        <v>1</v>
      </c>
      <c r="U77" s="108">
        <f t="shared" si="159"/>
        <v>1</v>
      </c>
      <c r="V77" s="108">
        <f t="shared" si="159"/>
        <v>1</v>
      </c>
      <c r="W77" s="108">
        <f t="shared" si="159"/>
        <v>1</v>
      </c>
      <c r="X77" s="108">
        <f t="shared" si="159"/>
        <v>1</v>
      </c>
      <c r="Y77" s="108">
        <f t="shared" si="159"/>
        <v>1</v>
      </c>
      <c r="Z77" s="108">
        <f t="shared" si="159"/>
        <v>1</v>
      </c>
    </row>
    <row r="78" spans="2:26">
      <c r="B78" s="33"/>
      <c r="C78" s="33"/>
      <c r="D78" s="40"/>
      <c r="E78" s="40"/>
      <c r="F78" s="34"/>
      <c r="G78" s="34"/>
      <c r="H78" s="34"/>
      <c r="I78" s="34"/>
      <c r="J78" s="34"/>
      <c r="K78" s="34"/>
      <c r="L78" s="34"/>
      <c r="M78" s="34"/>
      <c r="N78" s="34"/>
      <c r="O78" s="34"/>
      <c r="P78" s="34"/>
      <c r="Q78" s="34"/>
      <c r="R78" s="34"/>
      <c r="S78" s="34"/>
      <c r="T78" s="34"/>
      <c r="U78" s="34"/>
      <c r="V78" s="34"/>
      <c r="W78" s="34"/>
      <c r="X78" s="34"/>
      <c r="Y78" s="34"/>
      <c r="Z78" s="34"/>
    </row>
    <row r="79" spans="2:26">
      <c r="B79" s="33" t="s">
        <v>236</v>
      </c>
      <c r="C79" s="33"/>
      <c r="D79" s="42"/>
      <c r="E79" s="42"/>
      <c r="F79" s="108">
        <v>1</v>
      </c>
      <c r="G79" s="108">
        <f>+IF(MOD(G$2,Assumptions!$N$69)=(Assumptions!$N$69-1),F79*(1+Assumptions!$N$68),'Phase I Pro Forma'!F79)</f>
        <v>1</v>
      </c>
      <c r="H79" s="108">
        <f>+IF(MOD(H$2,Assumptions!$N$69)=(Assumptions!$N$69-1),G79*(1+Assumptions!$N$68),'Phase I Pro Forma'!G79)</f>
        <v>1</v>
      </c>
      <c r="I79" s="108">
        <f>+IF(MOD(I$2,Assumptions!$N$69)=(Assumptions!$N$69-1),H79*(1+Assumptions!$N$68),'Phase I Pro Forma'!H79)</f>
        <v>1</v>
      </c>
      <c r="J79" s="108">
        <f>+IF(MOD(J$2,Assumptions!$N$69)=(Assumptions!$N$69-1),I79*(1+Assumptions!$N$68),'Phase I Pro Forma'!I79)</f>
        <v>1</v>
      </c>
      <c r="K79" s="108">
        <f>+IF(MOD(K$2,Assumptions!$N$69)=(Assumptions!$N$69-1),J79*(1+Assumptions!$N$68),'Phase I Pro Forma'!J79)</f>
        <v>1</v>
      </c>
      <c r="L79" s="108">
        <f>+IF(MOD(L$2,Assumptions!$N$69)=(Assumptions!$N$69-1),K79*(1+Assumptions!$N$68),'Phase I Pro Forma'!K79)</f>
        <v>1.05</v>
      </c>
      <c r="M79" s="108">
        <f>+IF(MOD(M$2,Assumptions!$N$69)=(Assumptions!$N$69-1),L79*(1+Assumptions!$N$68),'Phase I Pro Forma'!L79)</f>
        <v>1.05</v>
      </c>
      <c r="N79" s="108">
        <f>+IF(MOD(N$2,Assumptions!$N$69)=(Assumptions!$N$69-1),M79*(1+Assumptions!$N$68),'Phase I Pro Forma'!M79)</f>
        <v>1.05</v>
      </c>
      <c r="O79" s="108">
        <f>+IF(MOD(O$2,Assumptions!$N$69)=(Assumptions!$N$69-1),N79*(1+Assumptions!$N$68),'Phase I Pro Forma'!N79)</f>
        <v>1.05</v>
      </c>
      <c r="P79" s="108">
        <f>+IF(MOD(P$2,Assumptions!$N$69)=(Assumptions!$N$69-1),O79*(1+Assumptions!$N$68),'Phase I Pro Forma'!O79)</f>
        <v>1.05</v>
      </c>
      <c r="Q79" s="108">
        <f>+IF(MOD(Q$2,Assumptions!$N$69)=(Assumptions!$N$69-1),P79*(1+Assumptions!$N$68),'Phase I Pro Forma'!P79)</f>
        <v>1.1025</v>
      </c>
      <c r="R79" s="108">
        <f>+IF(MOD(R$2,Assumptions!$N$69)=(Assumptions!$N$69-1),Q79*(1+Assumptions!$N$68),'Phase I Pro Forma'!Q79)</f>
        <v>1.1025</v>
      </c>
      <c r="S79" s="108">
        <f>+IF(MOD(S$2,Assumptions!$N$69)=(Assumptions!$N$69-1),R79*(1+Assumptions!$N$68),'Phase I Pro Forma'!R79)</f>
        <v>1.1025</v>
      </c>
      <c r="T79" s="108">
        <f>+IF(MOD(T$2,Assumptions!$N$69)=(Assumptions!$N$69-1),S79*(1+Assumptions!$N$68),'Phase I Pro Forma'!S79)</f>
        <v>1.1025</v>
      </c>
      <c r="U79" s="108">
        <f>+IF(MOD(U$2,Assumptions!$N$69)=(Assumptions!$N$69-1),T79*(1+Assumptions!$N$68),'Phase I Pro Forma'!T79)</f>
        <v>1.1025</v>
      </c>
      <c r="V79" s="108">
        <f>+IF(MOD(V$2,Assumptions!$N$69)=(Assumptions!$N$69-1),U79*(1+Assumptions!$N$68),'Phase I Pro Forma'!U79)</f>
        <v>1.1576250000000001</v>
      </c>
      <c r="W79" s="108">
        <f>+IF(MOD(W$2,Assumptions!$N$69)=(Assumptions!$N$69-1),V79*(1+Assumptions!$N$68),'Phase I Pro Forma'!V79)</f>
        <v>1.1576250000000001</v>
      </c>
      <c r="X79" s="108">
        <f>+IF(MOD(X$2,Assumptions!$N$69)=(Assumptions!$N$69-1),W79*(1+Assumptions!$N$68),'Phase I Pro Forma'!W79)</f>
        <v>1.1576250000000001</v>
      </c>
      <c r="Y79" s="108">
        <f>+IF(MOD(Y$2,Assumptions!$N$69)=(Assumptions!$N$69-1),X79*(1+Assumptions!$N$68),'Phase I Pro Forma'!X79)</f>
        <v>1.1576250000000001</v>
      </c>
      <c r="Z79" s="108">
        <f>+IF(MOD(Z$2,Assumptions!$N$69)=(Assumptions!$N$69-1),Y79*(1+Assumptions!$N$68),'Phase I Pro Forma'!Y79)</f>
        <v>1.1576250000000001</v>
      </c>
    </row>
    <row r="80" spans="2:26">
      <c r="B80" s="33" t="s">
        <v>237</v>
      </c>
      <c r="C80" s="33"/>
      <c r="D80" s="42"/>
      <c r="E80" s="42"/>
      <c r="F80" s="108">
        <v>1</v>
      </c>
      <c r="G80" s="108">
        <f>+F80*(1+Assumptions!$N$79)</f>
        <v>1.03</v>
      </c>
      <c r="H80" s="108">
        <f>+G80*(1+Assumptions!$N$79)</f>
        <v>1.0609</v>
      </c>
      <c r="I80" s="108">
        <f>+H80*(1+Assumptions!$N$79)</f>
        <v>1.092727</v>
      </c>
      <c r="J80" s="108">
        <f>+I80*(1+Assumptions!$N$79)</f>
        <v>1.1255088100000001</v>
      </c>
      <c r="K80" s="108">
        <f>+J80*(1+Assumptions!$N$79)</f>
        <v>1.1592740743000001</v>
      </c>
      <c r="L80" s="108">
        <f>+K80*(1+Assumptions!$N$79)</f>
        <v>1.1940522965290001</v>
      </c>
      <c r="M80" s="108">
        <f>+L80*(1+Assumptions!$N$79)</f>
        <v>1.2298738654248702</v>
      </c>
      <c r="N80" s="108">
        <f>+M80*(1+Assumptions!$N$79)</f>
        <v>1.2667700813876164</v>
      </c>
      <c r="O80" s="108">
        <f>+N80*(1+Assumptions!$N$79)</f>
        <v>1.3047731838292449</v>
      </c>
      <c r="P80" s="108">
        <f>+O80*(1+Assumptions!$N$79)</f>
        <v>1.3439163793441222</v>
      </c>
      <c r="Q80" s="108">
        <f>+P80*(1+Assumptions!$N$79)</f>
        <v>1.3842338707244459</v>
      </c>
      <c r="R80" s="108">
        <f>+Q80*(1+Assumptions!$N$79)</f>
        <v>1.4257608868461793</v>
      </c>
      <c r="S80" s="108">
        <f>+R80*(1+Assumptions!$N$79)</f>
        <v>1.4685337134515648</v>
      </c>
      <c r="T80" s="108">
        <f>+S80*(1+Assumptions!$N$79)</f>
        <v>1.5125897248551119</v>
      </c>
      <c r="U80" s="108">
        <f>+T80*(1+Assumptions!$N$79)</f>
        <v>1.5579674166007653</v>
      </c>
      <c r="V80" s="108">
        <f>+U80*(1+Assumptions!$N$79)</f>
        <v>1.6047064390987884</v>
      </c>
      <c r="W80" s="108">
        <f>+V80*(1+Assumptions!$N$79)</f>
        <v>1.652847632271752</v>
      </c>
      <c r="X80" s="108">
        <f>+W80*(1+Assumptions!$N$79)</f>
        <v>1.7024330612399046</v>
      </c>
      <c r="Y80" s="108">
        <f>+X80*(1+Assumptions!$N$79)</f>
        <v>1.7535060530771018</v>
      </c>
      <c r="Z80" s="108">
        <f>+Y80*(1+Assumptions!$N$79)</f>
        <v>1.806111234669415</v>
      </c>
    </row>
    <row r="81" spans="2:26">
      <c r="B81" s="33"/>
      <c r="C81" s="33"/>
      <c r="D81" s="40"/>
      <c r="E81" s="40"/>
      <c r="F81" s="34"/>
      <c r="G81" s="34"/>
      <c r="H81" s="34"/>
      <c r="I81" s="34"/>
      <c r="J81" s="34"/>
      <c r="K81" s="34"/>
      <c r="L81" s="34"/>
      <c r="M81" s="34"/>
      <c r="N81" s="34"/>
      <c r="O81" s="34"/>
      <c r="P81" s="34"/>
      <c r="Q81" s="34"/>
      <c r="R81" s="34"/>
      <c r="S81" s="34"/>
      <c r="T81" s="34"/>
      <c r="U81" s="34"/>
      <c r="V81" s="34"/>
      <c r="W81" s="34"/>
      <c r="X81" s="34"/>
      <c r="Y81" s="34"/>
      <c r="Z81" s="34"/>
    </row>
    <row r="82" spans="2:26">
      <c r="B82" s="33" t="s">
        <v>228</v>
      </c>
      <c r="C82" s="33"/>
      <c r="D82" s="40"/>
      <c r="E82" s="40"/>
      <c r="F82" s="34">
        <f>+F77*Assumptions!$F$153*F79</f>
        <v>0</v>
      </c>
      <c r="G82" s="34">
        <f>+G77*Assumptions!$F$153*G79</f>
        <v>0</v>
      </c>
      <c r="H82" s="34">
        <f>+H77*Assumptions!$F$153*H79</f>
        <v>0</v>
      </c>
      <c r="I82" s="34">
        <f>+I77*Assumptions!$F$153*I79</f>
        <v>0</v>
      </c>
      <c r="J82" s="34">
        <f>+J77*Assumptions!$F$153*J79</f>
        <v>0</v>
      </c>
      <c r="K82" s="34">
        <f>+K77*Assumptions!$F$153*K79</f>
        <v>0</v>
      </c>
      <c r="L82" s="34">
        <f>+L77*Assumptions!$F$153*L79</f>
        <v>0</v>
      </c>
      <c r="M82" s="34">
        <f>+M77*Assumptions!$F$153*M79</f>
        <v>0</v>
      </c>
      <c r="N82" s="34">
        <f>+N77*Assumptions!$F$153*N79</f>
        <v>0</v>
      </c>
      <c r="O82" s="34">
        <f>+O77*Assumptions!$F$153*O79</f>
        <v>0</v>
      </c>
      <c r="P82" s="34">
        <f>+P77*Assumptions!$F$153*P79</f>
        <v>0</v>
      </c>
      <c r="Q82" s="34">
        <f>+Q77*Assumptions!$F$153*Q79</f>
        <v>0</v>
      </c>
      <c r="R82" s="34">
        <f>+R77*Assumptions!$F$153*R79</f>
        <v>0</v>
      </c>
      <c r="S82" s="34">
        <f>+S77*Assumptions!$F$153*S79</f>
        <v>0</v>
      </c>
      <c r="T82" s="34">
        <f>+T77*Assumptions!$F$153*T79</f>
        <v>0</v>
      </c>
      <c r="U82" s="34">
        <f>+U77*Assumptions!$F$153*U79</f>
        <v>0</v>
      </c>
      <c r="V82" s="34">
        <f>+V77*Assumptions!$F$153*V79</f>
        <v>0</v>
      </c>
      <c r="W82" s="34">
        <f>+W77*Assumptions!$F$153*W79</f>
        <v>0</v>
      </c>
      <c r="X82" s="34">
        <f>+X77*Assumptions!$F$153*X79</f>
        <v>0</v>
      </c>
      <c r="Y82" s="34">
        <f>+Y77*Assumptions!$F$153*Y79</f>
        <v>0</v>
      </c>
      <c r="Z82" s="34">
        <f>+Z77*Assumptions!$F$153*Z79</f>
        <v>0</v>
      </c>
    </row>
    <row r="83" spans="2:26">
      <c r="B83" s="33" t="s">
        <v>229</v>
      </c>
      <c r="C83" s="33"/>
      <c r="D83" s="40"/>
      <c r="E83" s="40"/>
      <c r="F83" s="42">
        <f>-F82*Assumptions!$N$57</f>
        <v>0</v>
      </c>
      <c r="G83" s="42">
        <f>-G82*Assumptions!$N$57</f>
        <v>0</v>
      </c>
      <c r="H83" s="42">
        <f>-H82*Assumptions!$N$57</f>
        <v>0</v>
      </c>
      <c r="I83" s="42">
        <f>-I82*Assumptions!$N$57</f>
        <v>0</v>
      </c>
      <c r="J83" s="42">
        <f>-J82*Assumptions!$N$57</f>
        <v>0</v>
      </c>
      <c r="K83" s="42">
        <f>-K82*Assumptions!$N$57</f>
        <v>0</v>
      </c>
      <c r="L83" s="42">
        <f>-L82*Assumptions!$N$57</f>
        <v>0</v>
      </c>
      <c r="M83" s="42">
        <f>-M82*Assumptions!$N$57</f>
        <v>0</v>
      </c>
      <c r="N83" s="42">
        <f>-N82*Assumptions!$N$57</f>
        <v>0</v>
      </c>
      <c r="O83" s="42">
        <f>-O82*Assumptions!$N$57</f>
        <v>0</v>
      </c>
      <c r="P83" s="42">
        <f>-P82*Assumptions!$N$57</f>
        <v>0</v>
      </c>
      <c r="Q83" s="42">
        <f>-Q82*Assumptions!$N$57</f>
        <v>0</v>
      </c>
      <c r="R83" s="42">
        <f>-R82*Assumptions!$N$57</f>
        <v>0</v>
      </c>
      <c r="S83" s="42">
        <f>-S82*Assumptions!$N$57</f>
        <v>0</v>
      </c>
      <c r="T83" s="42">
        <f>-T82*Assumptions!$N$57</f>
        <v>0</v>
      </c>
      <c r="U83" s="42">
        <f>-U82*Assumptions!$N$57</f>
        <v>0</v>
      </c>
      <c r="V83" s="42">
        <f>-V82*Assumptions!$N$57</f>
        <v>0</v>
      </c>
      <c r="W83" s="42">
        <f>-W82*Assumptions!$N$57</f>
        <v>0</v>
      </c>
      <c r="X83" s="42">
        <f>-X82*Assumptions!$N$57</f>
        <v>0</v>
      </c>
      <c r="Y83" s="42">
        <f>-Y82*Assumptions!$N$57</f>
        <v>0</v>
      </c>
      <c r="Z83" s="42">
        <f>-Z82*Assumptions!$N$57</f>
        <v>0</v>
      </c>
    </row>
    <row r="84" spans="2:26">
      <c r="B84" s="33" t="s">
        <v>244</v>
      </c>
      <c r="C84" s="33"/>
      <c r="D84" s="40"/>
      <c r="E84" s="40"/>
      <c r="F84" s="151">
        <f ca="1">+F89*Assumptions!$N$90</f>
        <v>0</v>
      </c>
      <c r="G84" s="151">
        <f ca="1">+G89*Assumptions!$N$90</f>
        <v>0</v>
      </c>
      <c r="H84" s="151">
        <f ca="1">+H89*Assumptions!$N$90</f>
        <v>0</v>
      </c>
      <c r="I84" s="151">
        <f ca="1">+I89*Assumptions!$N$90</f>
        <v>3.8245445000000001E-5</v>
      </c>
      <c r="J84" s="151">
        <f ca="1">+J89*Assumptions!$N$90</f>
        <v>7.8785616700000012E-5</v>
      </c>
      <c r="K84" s="151">
        <f ca="1">+K89*Assumptions!$N$90</f>
        <v>8.1149185201000008E-5</v>
      </c>
      <c r="L84" s="151">
        <f ca="1">+L89*Assumptions!$N$90</f>
        <v>8.3583660757030013E-5</v>
      </c>
      <c r="M84" s="151">
        <f ca="1">+M89*Assumptions!$N$90</f>
        <v>8.6091170579740924E-5</v>
      </c>
      <c r="N84" s="151">
        <f ca="1">+N89*Assumptions!$N$90</f>
        <v>8.8673905697133159E-5</v>
      </c>
      <c r="O84" s="151">
        <f ca="1">+O89*Assumptions!$N$90</f>
        <v>9.1334122868047147E-5</v>
      </c>
      <c r="P84" s="151">
        <f ca="1">+P89*Assumptions!$N$90</f>
        <v>9.4074146554088561E-5</v>
      </c>
      <c r="Q84" s="151">
        <f ca="1">+Q89*Assumptions!$N$90</f>
        <v>9.6896370950711231E-5</v>
      </c>
      <c r="R84" s="151">
        <f ca="1">+R89*Assumptions!$N$90</f>
        <v>9.9803262079232563E-5</v>
      </c>
      <c r="S84" s="151">
        <f ca="1">+S89*Assumptions!$N$90</f>
        <v>1.0279735994160954E-4</v>
      </c>
      <c r="T84" s="151">
        <f ca="1">+T89*Assumptions!$N$90</f>
        <v>1.0588128073985785E-4</v>
      </c>
      <c r="U84" s="151">
        <f ca="1">+U89*Assumptions!$N$90</f>
        <v>1.0905771916205358E-4</v>
      </c>
      <c r="V84" s="151">
        <f ca="1">+V89*Assumptions!$N$90</f>
        <v>1.123294507369152E-4</v>
      </c>
      <c r="W84" s="151">
        <f ca="1">+W89*Assumptions!$N$90</f>
        <v>1.1569933425902266E-4</v>
      </c>
      <c r="X84" s="151">
        <f ca="1">+X89*Assumptions!$N$90</f>
        <v>1.1917031428679333E-4</v>
      </c>
      <c r="Y84" s="151">
        <f ca="1">+Y89*Assumptions!$N$90</f>
        <v>1.2274542371539714E-4</v>
      </c>
      <c r="Z84" s="151">
        <f ca="1">+Z89*Assumptions!$N$90</f>
        <v>1.2642778642685907E-4</v>
      </c>
    </row>
    <row r="85" spans="2:26">
      <c r="B85" s="137" t="s">
        <v>238</v>
      </c>
      <c r="C85" s="137"/>
      <c r="D85" s="137"/>
      <c r="E85" s="137"/>
      <c r="F85" s="129">
        <f t="shared" ref="F85:Z85" ca="1" si="160">+SUM(F82:F84)</f>
        <v>0</v>
      </c>
      <c r="G85" s="129">
        <f t="shared" ca="1" si="160"/>
        <v>0</v>
      </c>
      <c r="H85" s="129">
        <f t="shared" ca="1" si="160"/>
        <v>0</v>
      </c>
      <c r="I85" s="129">
        <f t="shared" ca="1" si="160"/>
        <v>3.8245445000000001E-5</v>
      </c>
      <c r="J85" s="129">
        <f t="shared" ca="1" si="160"/>
        <v>7.8785616700000012E-5</v>
      </c>
      <c r="K85" s="129">
        <f t="shared" ca="1" si="160"/>
        <v>8.1149185201000008E-5</v>
      </c>
      <c r="L85" s="129">
        <f t="shared" ca="1" si="160"/>
        <v>8.3583660757030013E-5</v>
      </c>
      <c r="M85" s="129">
        <f t="shared" ca="1" si="160"/>
        <v>8.6091170579740924E-5</v>
      </c>
      <c r="N85" s="129">
        <f t="shared" ca="1" si="160"/>
        <v>8.8673905697133159E-5</v>
      </c>
      <c r="O85" s="129">
        <f t="shared" ca="1" si="160"/>
        <v>9.1334122868047147E-5</v>
      </c>
      <c r="P85" s="129">
        <f t="shared" ca="1" si="160"/>
        <v>9.4074146554088561E-5</v>
      </c>
      <c r="Q85" s="129">
        <f t="shared" ca="1" si="160"/>
        <v>9.6896370950711231E-5</v>
      </c>
      <c r="R85" s="129">
        <f t="shared" ca="1" si="160"/>
        <v>9.9803262079232563E-5</v>
      </c>
      <c r="S85" s="129">
        <f t="shared" ca="1" si="160"/>
        <v>1.0279735994160954E-4</v>
      </c>
      <c r="T85" s="129">
        <f t="shared" ca="1" si="160"/>
        <v>1.0588128073985785E-4</v>
      </c>
      <c r="U85" s="129">
        <f t="shared" ca="1" si="160"/>
        <v>1.0905771916205358E-4</v>
      </c>
      <c r="V85" s="129">
        <f t="shared" ca="1" si="160"/>
        <v>1.123294507369152E-4</v>
      </c>
      <c r="W85" s="129">
        <f t="shared" ca="1" si="160"/>
        <v>1.1569933425902266E-4</v>
      </c>
      <c r="X85" s="129">
        <f t="shared" ca="1" si="160"/>
        <v>1.1917031428679333E-4</v>
      </c>
      <c r="Y85" s="129">
        <f t="shared" ca="1" si="160"/>
        <v>1.2274542371539714E-4</v>
      </c>
      <c r="Z85" s="129">
        <f t="shared" ca="1" si="160"/>
        <v>1.2642778642685907E-4</v>
      </c>
    </row>
    <row r="87" spans="2:26">
      <c r="B87" s="33" t="s">
        <v>371</v>
      </c>
      <c r="F87" s="34">
        <f>+F76*Assumptions!$N$122*'Phase I Pro Forma'!F80</f>
        <v>0</v>
      </c>
      <c r="G87" s="34">
        <f>+G76*Assumptions!$N$122*'Phase I Pro Forma'!G80</f>
        <v>0</v>
      </c>
      <c r="H87" s="34">
        <f>+H76*Assumptions!$N$122*'Phase I Pro Forma'!H80</f>
        <v>0</v>
      </c>
      <c r="I87" s="34">
        <f>+I76*Assumptions!$N$122*'Phase I Pro Forma'!I80</f>
        <v>3.8245445000000001E-5</v>
      </c>
      <c r="J87" s="34">
        <f>+J76*Assumptions!$N$122*'Phase I Pro Forma'!J80</f>
        <v>7.8785616700000012E-5</v>
      </c>
      <c r="K87" s="34">
        <f>+K76*Assumptions!$N$122*'Phase I Pro Forma'!K80</f>
        <v>8.1149185201000008E-5</v>
      </c>
      <c r="L87" s="34">
        <f>+L76*Assumptions!$N$122*'Phase I Pro Forma'!L80</f>
        <v>8.3583660757030013E-5</v>
      </c>
      <c r="M87" s="34">
        <f>+M76*Assumptions!$N$122*'Phase I Pro Forma'!M80</f>
        <v>8.6091170579740924E-5</v>
      </c>
      <c r="N87" s="34">
        <f>+N76*Assumptions!$N$122*'Phase I Pro Forma'!N80</f>
        <v>8.8673905697133159E-5</v>
      </c>
      <c r="O87" s="34">
        <f>+O76*Assumptions!$N$122*'Phase I Pro Forma'!O80</f>
        <v>9.1334122868047147E-5</v>
      </c>
      <c r="P87" s="34">
        <f>+P76*Assumptions!$N$122*'Phase I Pro Forma'!P80</f>
        <v>9.4074146554088561E-5</v>
      </c>
      <c r="Q87" s="34">
        <f>+Q76*Assumptions!$N$122*'Phase I Pro Forma'!Q80</f>
        <v>9.6896370950711231E-5</v>
      </c>
      <c r="R87" s="34">
        <f>+R76*Assumptions!$N$122*'Phase I Pro Forma'!R80</f>
        <v>9.9803262079232563E-5</v>
      </c>
      <c r="S87" s="34">
        <f>+S76*Assumptions!$N$122*'Phase I Pro Forma'!S80</f>
        <v>1.0279735994160954E-4</v>
      </c>
      <c r="T87" s="34">
        <f>+T76*Assumptions!$N$122*'Phase I Pro Forma'!T80</f>
        <v>1.0588128073985785E-4</v>
      </c>
      <c r="U87" s="34">
        <f>+U76*Assumptions!$N$122*'Phase I Pro Forma'!U80</f>
        <v>1.0905771916205358E-4</v>
      </c>
      <c r="V87" s="34">
        <f>+V76*Assumptions!$N$122*'Phase I Pro Forma'!V80</f>
        <v>1.123294507369152E-4</v>
      </c>
      <c r="W87" s="34">
        <f>+W76*Assumptions!$N$122*'Phase I Pro Forma'!W80</f>
        <v>1.1569933425902266E-4</v>
      </c>
      <c r="X87" s="34">
        <f>+X76*Assumptions!$N$122*'Phase I Pro Forma'!X80</f>
        <v>1.1917031428679333E-4</v>
      </c>
      <c r="Y87" s="34">
        <f>+Y76*Assumptions!$N$122*'Phase I Pro Forma'!Y80</f>
        <v>1.2274542371539714E-4</v>
      </c>
      <c r="Z87" s="34">
        <f>+Z76*Assumptions!$N$122*'Phase I Pro Forma'!Z80</f>
        <v>1.2642778642685907E-4</v>
      </c>
    </row>
    <row r="88" spans="2:26">
      <c r="B88" s="33" t="s">
        <v>308</v>
      </c>
      <c r="F88" s="151">
        <f ca="1">+IFERROR(IFERROR(INDEX('Taxes and TIF'!$M$11:$M$45,MATCH('Phase I Pro Forma'!F$7,'Taxes and TIF'!$B$11:$B$45,0)),0)*'Loan Sizing'!$I$18*F77,0)</f>
        <v>0</v>
      </c>
      <c r="G88" s="151">
        <f ca="1">+IFERROR(IFERROR(INDEX('Taxes and TIF'!$M$11:$M$45,MATCH('Phase I Pro Forma'!G$7,'Taxes and TIF'!$B$11:$B$45,0)),0)*'Loan Sizing'!$I$18*G77,0)</f>
        <v>0</v>
      </c>
      <c r="H88" s="151">
        <f ca="1">+IFERROR(IFERROR(INDEX('Taxes and TIF'!$M$11:$M$45,MATCH('Phase I Pro Forma'!H$7,'Taxes and TIF'!$B$11:$B$45,0)),0)*'Loan Sizing'!$I$18*H77,0)</f>
        <v>0</v>
      </c>
      <c r="I88" s="151">
        <f ca="1">+IFERROR(IFERROR(INDEX('Taxes and TIF'!$M$11:$M$45,MATCH('Phase I Pro Forma'!I$7,'Taxes and TIF'!$B$11:$B$45,0)),0)*'Loan Sizing'!$I$18*I77,0)</f>
        <v>0</v>
      </c>
      <c r="J88" s="151">
        <f ca="1">+IFERROR(IFERROR(INDEX('Taxes and TIF'!$M$11:$M$45,MATCH('Phase I Pro Forma'!J$7,'Taxes and TIF'!$B$11:$B$45,0)),0)*'Loan Sizing'!$I$18*J77,0)</f>
        <v>0</v>
      </c>
      <c r="K88" s="151">
        <f ca="1">+IFERROR(IFERROR(INDEX('Taxes and TIF'!$M$11:$M$45,MATCH('Phase I Pro Forma'!K$7,'Taxes and TIF'!$B$11:$B$45,0)),0)*'Loan Sizing'!$I$18*K77,0)</f>
        <v>0</v>
      </c>
      <c r="L88" s="151">
        <f ca="1">+IFERROR(IFERROR(INDEX('Taxes and TIF'!$M$11:$M$45,MATCH('Phase I Pro Forma'!L$7,'Taxes and TIF'!$B$11:$B$45,0)),0)*'Loan Sizing'!$I$18*L77,0)</f>
        <v>0</v>
      </c>
      <c r="M88" s="151">
        <f ca="1">+IFERROR(IFERROR(INDEX('Taxes and TIF'!$M$11:$M$45,MATCH('Phase I Pro Forma'!M$7,'Taxes and TIF'!$B$11:$B$45,0)),0)*'Loan Sizing'!$I$18*M77,0)</f>
        <v>0</v>
      </c>
      <c r="N88" s="151">
        <f ca="1">+IFERROR(IFERROR(INDEX('Taxes and TIF'!$M$11:$M$45,MATCH('Phase I Pro Forma'!N$7,'Taxes and TIF'!$B$11:$B$45,0)),0)*'Loan Sizing'!$I$18*N77,0)</f>
        <v>0</v>
      </c>
      <c r="O88" s="151">
        <f ca="1">+IFERROR(IFERROR(INDEX('Taxes and TIF'!$M$11:$M$45,MATCH('Phase I Pro Forma'!O$7,'Taxes and TIF'!$B$11:$B$45,0)),0)*'Loan Sizing'!$I$18*O77,0)</f>
        <v>0</v>
      </c>
      <c r="P88" s="151">
        <f ca="1">+IFERROR(IFERROR(INDEX('Taxes and TIF'!$M$11:$M$45,MATCH('Phase I Pro Forma'!P$7,'Taxes and TIF'!$B$11:$B$45,0)),0)*'Loan Sizing'!$I$18*P77,0)</f>
        <v>0</v>
      </c>
      <c r="Q88" s="151">
        <f ca="1">+IFERROR(IFERROR(INDEX('Taxes and TIF'!$M$11:$M$45,MATCH('Phase I Pro Forma'!Q$7,'Taxes and TIF'!$B$11:$B$45,0)),0)*'Loan Sizing'!$I$18*Q77,0)</f>
        <v>0</v>
      </c>
      <c r="R88" s="151">
        <f ca="1">+IFERROR(IFERROR(INDEX('Taxes and TIF'!$M$11:$M$45,MATCH('Phase I Pro Forma'!R$7,'Taxes and TIF'!$B$11:$B$45,0)),0)*'Loan Sizing'!$I$18*R77,0)</f>
        <v>0</v>
      </c>
      <c r="S88" s="151">
        <f ca="1">+IFERROR(IFERROR(INDEX('Taxes and TIF'!$M$11:$M$45,MATCH('Phase I Pro Forma'!S$7,'Taxes and TIF'!$B$11:$B$45,0)),0)*'Loan Sizing'!$I$18*S77,0)</f>
        <v>0</v>
      </c>
      <c r="T88" s="151">
        <f ca="1">+IFERROR(IFERROR(INDEX('Taxes and TIF'!$M$11:$M$45,MATCH('Phase I Pro Forma'!T$7,'Taxes and TIF'!$B$11:$B$45,0)),0)*'Loan Sizing'!$I$18*T77,0)</f>
        <v>0</v>
      </c>
      <c r="U88" s="151">
        <f ca="1">+IFERROR(IFERROR(INDEX('Taxes and TIF'!$M$11:$M$45,MATCH('Phase I Pro Forma'!U$7,'Taxes and TIF'!$B$11:$B$45,0)),0)*'Loan Sizing'!$I$18*U77,0)</f>
        <v>0</v>
      </c>
      <c r="V88" s="151">
        <f ca="1">+IFERROR(IFERROR(INDEX('Taxes and TIF'!$M$11:$M$45,MATCH('Phase I Pro Forma'!V$7,'Taxes and TIF'!$B$11:$B$45,0)),0)*'Loan Sizing'!$I$18*V77,0)</f>
        <v>0</v>
      </c>
      <c r="W88" s="151">
        <f ca="1">+IFERROR(IFERROR(INDEX('Taxes and TIF'!$M$11:$M$45,MATCH('Phase I Pro Forma'!W$7,'Taxes and TIF'!$B$11:$B$45,0)),0)*'Loan Sizing'!$I$18*W77,0)</f>
        <v>0</v>
      </c>
      <c r="X88" s="151">
        <f ca="1">+IFERROR(IFERROR(INDEX('Taxes and TIF'!$M$11:$M$45,MATCH('Phase I Pro Forma'!X$7,'Taxes and TIF'!$B$11:$B$45,0)),0)*'Loan Sizing'!$I$18*X77,0)</f>
        <v>0</v>
      </c>
      <c r="Y88" s="151">
        <f ca="1">+IFERROR(IFERROR(INDEX('Taxes and TIF'!$M$11:$M$45,MATCH('Phase I Pro Forma'!Y$7,'Taxes and TIF'!$B$11:$B$45,0)),0)*'Loan Sizing'!$I$18*Y77,0)</f>
        <v>0</v>
      </c>
      <c r="Z88" s="151">
        <f ca="1">+IFERROR(IFERROR(INDEX('Taxes and TIF'!$M$11:$M$45,MATCH('Phase I Pro Forma'!Z$7,'Taxes and TIF'!$B$11:$B$45,0)),0)*'Loan Sizing'!$I$18*Z77,0)</f>
        <v>0</v>
      </c>
    </row>
    <row r="89" spans="2:26">
      <c r="B89" s="137" t="s">
        <v>234</v>
      </c>
      <c r="C89" s="137"/>
      <c r="D89" s="137"/>
      <c r="E89" s="137"/>
      <c r="F89" s="129">
        <f ca="1">+SUM(F87:F88)</f>
        <v>0</v>
      </c>
      <c r="G89" s="129">
        <f t="shared" ref="G89" ca="1" si="161">+SUM(G87:G88)</f>
        <v>0</v>
      </c>
      <c r="H89" s="129">
        <f t="shared" ref="H89" ca="1" si="162">+SUM(H87:H88)</f>
        <v>0</v>
      </c>
      <c r="I89" s="129">
        <f t="shared" ref="I89" ca="1" si="163">+SUM(I87:I88)</f>
        <v>3.8245445000000001E-5</v>
      </c>
      <c r="J89" s="129">
        <f t="shared" ref="J89" ca="1" si="164">+SUM(J87:J88)</f>
        <v>7.8785616700000012E-5</v>
      </c>
      <c r="K89" s="129">
        <f t="shared" ref="K89" ca="1" si="165">+SUM(K87:K88)</f>
        <v>8.1149185201000008E-5</v>
      </c>
      <c r="L89" s="129">
        <f t="shared" ref="L89" ca="1" si="166">+SUM(L87:L88)</f>
        <v>8.3583660757030013E-5</v>
      </c>
      <c r="M89" s="129">
        <f t="shared" ref="M89" ca="1" si="167">+SUM(M87:M88)</f>
        <v>8.6091170579740924E-5</v>
      </c>
      <c r="N89" s="129">
        <f t="shared" ref="N89" ca="1" si="168">+SUM(N87:N88)</f>
        <v>8.8673905697133159E-5</v>
      </c>
      <c r="O89" s="129">
        <f t="shared" ref="O89" ca="1" si="169">+SUM(O87:O88)</f>
        <v>9.1334122868047147E-5</v>
      </c>
      <c r="P89" s="129">
        <f t="shared" ref="P89" ca="1" si="170">+SUM(P87:P88)</f>
        <v>9.4074146554088561E-5</v>
      </c>
      <c r="Q89" s="129">
        <f t="shared" ref="Q89" ca="1" si="171">+SUM(Q87:Q88)</f>
        <v>9.6896370950711231E-5</v>
      </c>
      <c r="R89" s="129">
        <f t="shared" ref="R89" ca="1" si="172">+SUM(R87:R88)</f>
        <v>9.9803262079232563E-5</v>
      </c>
      <c r="S89" s="129">
        <f t="shared" ref="S89" ca="1" si="173">+SUM(S87:S88)</f>
        <v>1.0279735994160954E-4</v>
      </c>
      <c r="T89" s="129">
        <f t="shared" ref="T89" ca="1" si="174">+SUM(T87:T88)</f>
        <v>1.0588128073985785E-4</v>
      </c>
      <c r="U89" s="129">
        <f t="shared" ref="U89" ca="1" si="175">+SUM(U87:U88)</f>
        <v>1.0905771916205358E-4</v>
      </c>
      <c r="V89" s="129">
        <f t="shared" ref="V89" ca="1" si="176">+SUM(V87:V88)</f>
        <v>1.123294507369152E-4</v>
      </c>
      <c r="W89" s="129">
        <f t="shared" ref="W89" ca="1" si="177">+SUM(W87:W88)</f>
        <v>1.1569933425902266E-4</v>
      </c>
      <c r="X89" s="129">
        <f t="shared" ref="X89" ca="1" si="178">+SUM(X87:X88)</f>
        <v>1.1917031428679333E-4</v>
      </c>
      <c r="Y89" s="129">
        <f t="shared" ref="Y89" ca="1" si="179">+SUM(Y87:Y88)</f>
        <v>1.2274542371539714E-4</v>
      </c>
      <c r="Z89" s="129">
        <f t="shared" ref="Z89" ca="1" si="180">+SUM(Z87:Z88)</f>
        <v>1.2642778642685907E-4</v>
      </c>
    </row>
    <row r="90" spans="2:26">
      <c r="B90" s="33"/>
    </row>
    <row r="91" spans="2:26" ht="15.5">
      <c r="B91" s="138" t="s">
        <v>233</v>
      </c>
      <c r="C91" s="138"/>
      <c r="D91" s="138"/>
      <c r="E91" s="138"/>
      <c r="F91" s="139">
        <f ca="1">+F85-F89</f>
        <v>0</v>
      </c>
      <c r="G91" s="139">
        <f t="shared" ref="G91:Z91" ca="1" si="181">+G85-G89</f>
        <v>0</v>
      </c>
      <c r="H91" s="139">
        <f t="shared" ca="1" si="181"/>
        <v>0</v>
      </c>
      <c r="I91" s="139">
        <f t="shared" ca="1" si="181"/>
        <v>0</v>
      </c>
      <c r="J91" s="139">
        <f t="shared" ca="1" si="181"/>
        <v>0</v>
      </c>
      <c r="K91" s="139">
        <f t="shared" ca="1" si="181"/>
        <v>0</v>
      </c>
      <c r="L91" s="139">
        <f t="shared" ca="1" si="181"/>
        <v>0</v>
      </c>
      <c r="M91" s="139">
        <f t="shared" ca="1" si="181"/>
        <v>0</v>
      </c>
      <c r="N91" s="139">
        <f t="shared" ca="1" si="181"/>
        <v>0</v>
      </c>
      <c r="O91" s="139">
        <f t="shared" ca="1" si="181"/>
        <v>0</v>
      </c>
      <c r="P91" s="139">
        <f t="shared" ca="1" si="181"/>
        <v>0</v>
      </c>
      <c r="Q91" s="139">
        <f t="shared" ca="1" si="181"/>
        <v>0</v>
      </c>
      <c r="R91" s="139">
        <f t="shared" ca="1" si="181"/>
        <v>0</v>
      </c>
      <c r="S91" s="139">
        <f t="shared" ca="1" si="181"/>
        <v>0</v>
      </c>
      <c r="T91" s="139">
        <f t="shared" ca="1" si="181"/>
        <v>0</v>
      </c>
      <c r="U91" s="139">
        <f t="shared" ca="1" si="181"/>
        <v>0</v>
      </c>
      <c r="V91" s="139">
        <f t="shared" ca="1" si="181"/>
        <v>0</v>
      </c>
      <c r="W91" s="139">
        <f t="shared" ca="1" si="181"/>
        <v>0</v>
      </c>
      <c r="X91" s="139">
        <f t="shared" ca="1" si="181"/>
        <v>0</v>
      </c>
      <c r="Y91" s="139">
        <f t="shared" ca="1" si="181"/>
        <v>0</v>
      </c>
      <c r="Z91" s="139">
        <f t="shared" ca="1" si="181"/>
        <v>0</v>
      </c>
    </row>
    <row r="92" spans="2:26" ht="15.5">
      <c r="B92" s="143" t="s">
        <v>239</v>
      </c>
      <c r="C92" s="141"/>
      <c r="D92" s="141"/>
      <c r="E92" s="141"/>
      <c r="F92" s="144" t="str">
        <f ca="1">+IFERROR(F91/F85,"")</f>
        <v/>
      </c>
      <c r="G92" s="144" t="str">
        <f t="shared" ref="G92" ca="1" si="182">+IFERROR(G91/G85,"")</f>
        <v/>
      </c>
      <c r="H92" s="144" t="str">
        <f t="shared" ref="H92" ca="1" si="183">+IFERROR(H91/H85,"")</f>
        <v/>
      </c>
      <c r="I92" s="145">
        <f t="shared" ref="I92" ca="1" si="184">+IFERROR(I91/I85,"")</f>
        <v>0</v>
      </c>
      <c r="J92" s="145">
        <f t="shared" ref="J92" ca="1" si="185">+IFERROR(J91/J85,"")</f>
        <v>0</v>
      </c>
      <c r="K92" s="145">
        <f t="shared" ref="K92" ca="1" si="186">+IFERROR(K91/K85,"")</f>
        <v>0</v>
      </c>
      <c r="L92" s="145">
        <f t="shared" ref="L92" ca="1" si="187">+IFERROR(L91/L85,"")</f>
        <v>0</v>
      </c>
      <c r="M92" s="145">
        <f t="shared" ref="M92" ca="1" si="188">+IFERROR(M91/M85,"")</f>
        <v>0</v>
      </c>
      <c r="N92" s="145">
        <f t="shared" ref="N92" ca="1" si="189">+IFERROR(N91/N85,"")</f>
        <v>0</v>
      </c>
      <c r="O92" s="145">
        <f t="shared" ref="O92" ca="1" si="190">+IFERROR(O91/O85,"")</f>
        <v>0</v>
      </c>
      <c r="P92" s="145">
        <f t="shared" ref="P92" ca="1" si="191">+IFERROR(P91/P85,"")</f>
        <v>0</v>
      </c>
      <c r="Q92" s="145">
        <f t="shared" ref="Q92" ca="1" si="192">+IFERROR(Q91/Q85,"")</f>
        <v>0</v>
      </c>
      <c r="R92" s="145">
        <f t="shared" ref="R92" ca="1" si="193">+IFERROR(R91/R85,"")</f>
        <v>0</v>
      </c>
      <c r="S92" s="145">
        <f t="shared" ref="S92" ca="1" si="194">+IFERROR(S91/S85,"")</f>
        <v>0</v>
      </c>
      <c r="T92" s="145">
        <f t="shared" ref="T92" ca="1" si="195">+IFERROR(T91/T85,"")</f>
        <v>0</v>
      </c>
      <c r="U92" s="145">
        <f t="shared" ref="U92" ca="1" si="196">+IFERROR(U91/U85,"")</f>
        <v>0</v>
      </c>
      <c r="V92" s="145">
        <f t="shared" ref="V92" ca="1" si="197">+IFERROR(V91/V85,"")</f>
        <v>0</v>
      </c>
      <c r="W92" s="145">
        <f t="shared" ref="W92" ca="1" si="198">+IFERROR(W91/W85,"")</f>
        <v>0</v>
      </c>
      <c r="X92" s="145">
        <f t="shared" ref="X92" ca="1" si="199">+IFERROR(X91/X85,"")</f>
        <v>0</v>
      </c>
      <c r="Y92" s="145">
        <f t="shared" ref="Y92" ca="1" si="200">+IFERROR(Y91/Y85,"")</f>
        <v>0</v>
      </c>
      <c r="Z92" s="145">
        <f t="shared" ref="Z92" ca="1" si="201">+IFERROR(Z91/Z85,"")</f>
        <v>0</v>
      </c>
    </row>
    <row r="93" spans="2:26" ht="15.5">
      <c r="B93" s="143" t="s">
        <v>179</v>
      </c>
      <c r="C93" s="141"/>
      <c r="D93" s="141"/>
      <c r="E93" s="141"/>
      <c r="F93" s="142">
        <f ca="1">+F91/Assumptions!$N$132</f>
        <v>0</v>
      </c>
      <c r="G93" s="142">
        <f ca="1">+G91/Assumptions!$N$132</f>
        <v>0</v>
      </c>
      <c r="H93" s="142">
        <f ca="1">+H91/Assumptions!$N$132</f>
        <v>0</v>
      </c>
      <c r="I93" s="142">
        <f ca="1">+I91/Assumptions!$N$132</f>
        <v>0</v>
      </c>
      <c r="J93" s="142">
        <f ca="1">+J91/Assumptions!$N$132</f>
        <v>0</v>
      </c>
      <c r="K93" s="142">
        <f ca="1">+K91/Assumptions!$N$132</f>
        <v>0</v>
      </c>
      <c r="L93" s="142">
        <f ca="1">+L91/Assumptions!$N$132</f>
        <v>0</v>
      </c>
      <c r="M93" s="142">
        <f ca="1">+M91/Assumptions!$N$132</f>
        <v>0</v>
      </c>
      <c r="N93" s="142">
        <f ca="1">+N91/Assumptions!$N$132</f>
        <v>0</v>
      </c>
      <c r="O93" s="142">
        <f ca="1">+O91/Assumptions!$N$132</f>
        <v>0</v>
      </c>
      <c r="P93" s="142">
        <f ca="1">+P91/Assumptions!$N$132</f>
        <v>0</v>
      </c>
      <c r="Q93" s="142">
        <f ca="1">+Q91/Assumptions!$N$132</f>
        <v>0</v>
      </c>
      <c r="R93" s="142">
        <f ca="1">+R91/Assumptions!$N$132</f>
        <v>0</v>
      </c>
      <c r="S93" s="142">
        <f ca="1">+S91/Assumptions!$N$132</f>
        <v>0</v>
      </c>
      <c r="T93" s="142">
        <f ca="1">+T91/Assumptions!$N$132</f>
        <v>0</v>
      </c>
      <c r="U93" s="142">
        <f ca="1">+U91/Assumptions!$N$132</f>
        <v>0</v>
      </c>
      <c r="V93" s="142">
        <f ca="1">+V91/Assumptions!$N$132</f>
        <v>0</v>
      </c>
      <c r="W93" s="142">
        <f ca="1">+W91/Assumptions!$N$132</f>
        <v>0</v>
      </c>
      <c r="X93" s="142">
        <f ca="1">+X91/Assumptions!$N$132</f>
        <v>0</v>
      </c>
      <c r="Y93" s="142">
        <f ca="1">+Y91/Assumptions!$N$132</f>
        <v>0</v>
      </c>
      <c r="Z93" s="142">
        <f ca="1">+Z91/Assumptions!$N$132</f>
        <v>0</v>
      </c>
    </row>
    <row r="95" spans="2:26" ht="15.5">
      <c r="B95" s="148" t="s">
        <v>139</v>
      </c>
      <c r="C95" s="149"/>
      <c r="D95" s="149"/>
      <c r="E95" s="149"/>
      <c r="F95" s="150">
        <f>+Assumptions!$F$22</f>
        <v>44561</v>
      </c>
      <c r="G95" s="150">
        <f>+EOMONTH(F95,12)</f>
        <v>44926</v>
      </c>
      <c r="H95" s="150">
        <f t="shared" ref="H95:Z95" si="202">+EOMONTH(G95,12)</f>
        <v>45291</v>
      </c>
      <c r="I95" s="150">
        <f t="shared" si="202"/>
        <v>45657</v>
      </c>
      <c r="J95" s="150">
        <f t="shared" si="202"/>
        <v>46022</v>
      </c>
      <c r="K95" s="150">
        <f t="shared" si="202"/>
        <v>46387</v>
      </c>
      <c r="L95" s="150">
        <f t="shared" si="202"/>
        <v>46752</v>
      </c>
      <c r="M95" s="150">
        <f t="shared" si="202"/>
        <v>47118</v>
      </c>
      <c r="N95" s="150">
        <f t="shared" si="202"/>
        <v>47483</v>
      </c>
      <c r="O95" s="150">
        <f t="shared" si="202"/>
        <v>47848</v>
      </c>
      <c r="P95" s="150">
        <f t="shared" si="202"/>
        <v>48213</v>
      </c>
      <c r="Q95" s="150">
        <f t="shared" si="202"/>
        <v>48579</v>
      </c>
      <c r="R95" s="150">
        <f t="shared" si="202"/>
        <v>48944</v>
      </c>
      <c r="S95" s="150">
        <f t="shared" si="202"/>
        <v>49309</v>
      </c>
      <c r="T95" s="150">
        <f t="shared" si="202"/>
        <v>49674</v>
      </c>
      <c r="U95" s="150">
        <f t="shared" si="202"/>
        <v>50040</v>
      </c>
      <c r="V95" s="150">
        <f t="shared" si="202"/>
        <v>50405</v>
      </c>
      <c r="W95" s="150">
        <f t="shared" si="202"/>
        <v>50770</v>
      </c>
      <c r="X95" s="150">
        <f t="shared" si="202"/>
        <v>51135</v>
      </c>
      <c r="Y95" s="150">
        <f t="shared" si="202"/>
        <v>51501</v>
      </c>
      <c r="Z95" s="150">
        <f t="shared" si="202"/>
        <v>51866</v>
      </c>
    </row>
    <row r="96" spans="2:26">
      <c r="B96" s="33" t="s">
        <v>230</v>
      </c>
      <c r="C96" s="33"/>
      <c r="D96" s="40"/>
      <c r="E96" s="40"/>
      <c r="F96" s="42">
        <f>+IF(AND(F95&gt;=Assumptions!$F$26,F95&lt;Assumptions!$F$28),Assumptions!$F$172/ROUNDUP((Assumptions!$F$27/12),0),0)</f>
        <v>0</v>
      </c>
      <c r="G96" s="42">
        <f>+IF(AND(G95&gt;=Assumptions!$F$26,G95&lt;Assumptions!$F$28),Assumptions!$F$172/ROUNDUP((Assumptions!$F$27/12),0),0)</f>
        <v>0</v>
      </c>
      <c r="H96" s="42">
        <f>+IF(AND(H95&gt;=Assumptions!$F$26,H95&lt;Assumptions!$F$28),Assumptions!$F$172/ROUNDUP((Assumptions!$F$27/12),0),0)</f>
        <v>0</v>
      </c>
      <c r="I96" s="42">
        <f>+IF(AND(I95&gt;=Assumptions!$F$26,I95&lt;Assumptions!$F$28),Assumptions!$F$172/ROUNDUP((Assumptions!$F$27/12),0),0)</f>
        <v>96767</v>
      </c>
      <c r="J96" s="42">
        <f>+IF(AND(J95&gt;=Assumptions!$F$26,J95&lt;Assumptions!$F$28),Assumptions!$F$172/ROUNDUP((Assumptions!$F$27/12),0),0)</f>
        <v>96767</v>
      </c>
      <c r="K96" s="42">
        <f>+IF(AND(K95&gt;=Assumptions!$F$26,K95&lt;Assumptions!$F$28),Assumptions!$F$172/ROUNDUP((Assumptions!$F$27/12),0),0)</f>
        <v>0</v>
      </c>
      <c r="L96" s="42">
        <f>+IF(AND(L95&gt;=Assumptions!$F$26,L95&lt;Assumptions!$F$28),Assumptions!$F$172/ROUNDUP((Assumptions!$F$27/12),0),0)</f>
        <v>0</v>
      </c>
      <c r="M96" s="42">
        <f>+IF(AND(M95&gt;=Assumptions!$F$26,M95&lt;Assumptions!$F$28),Assumptions!$F$172/ROUNDUP((Assumptions!$F$27/12),0),0)</f>
        <v>0</v>
      </c>
      <c r="N96" s="42">
        <f>+IF(AND(N95&gt;=Assumptions!$F$26,N95&lt;Assumptions!$F$28),Assumptions!$F$172/ROUNDUP((Assumptions!$F$27/12),0),0)</f>
        <v>0</v>
      </c>
      <c r="O96" s="42">
        <f>+IF(AND(O95&gt;=Assumptions!$F$26,O95&lt;Assumptions!$F$28),Assumptions!$F$172/ROUNDUP((Assumptions!$F$27/12),0),0)</f>
        <v>0</v>
      </c>
      <c r="P96" s="42">
        <f>+IF(AND(P95&gt;=Assumptions!$F$26,P95&lt;Assumptions!$F$28),Assumptions!$F$172/ROUNDUP((Assumptions!$F$27/12),0),0)</f>
        <v>0</v>
      </c>
      <c r="Q96" s="42">
        <f>+IF(AND(Q95&gt;=Assumptions!$F$26,Q95&lt;Assumptions!$F$28),Assumptions!$F$172/ROUNDUP((Assumptions!$F$27/12),0),0)</f>
        <v>0</v>
      </c>
      <c r="R96" s="42">
        <f>+IF(AND(R95&gt;=Assumptions!$F$26,R95&lt;Assumptions!$F$28),Assumptions!$F$172/ROUNDUP((Assumptions!$F$27/12),0),0)</f>
        <v>0</v>
      </c>
      <c r="S96" s="42">
        <f>+IF(AND(S95&gt;=Assumptions!$F$26,S95&lt;Assumptions!$F$28),Assumptions!$F$172/ROUNDUP((Assumptions!$F$27/12),0),0)</f>
        <v>0</v>
      </c>
      <c r="T96" s="42">
        <f>+IF(AND(T95&gt;=Assumptions!$F$26,T95&lt;Assumptions!$F$28),Assumptions!$F$172/ROUNDUP((Assumptions!$F$27/12),0),0)</f>
        <v>0</v>
      </c>
      <c r="U96" s="42">
        <f>+IF(AND(U95&gt;=Assumptions!$F$26,U95&lt;Assumptions!$F$28),Assumptions!$F$172/ROUNDUP((Assumptions!$F$27/12),0),0)</f>
        <v>0</v>
      </c>
      <c r="V96" s="42">
        <f>+IF(AND(V95&gt;=Assumptions!$F$26,V95&lt;Assumptions!$F$28),Assumptions!$F$172/ROUNDUP((Assumptions!$F$27/12),0),0)</f>
        <v>0</v>
      </c>
      <c r="W96" s="42">
        <f>+IF(AND(W95&gt;=Assumptions!$F$26,W95&lt;Assumptions!$F$28),Assumptions!$F$172/ROUNDUP((Assumptions!$F$27/12),0),0)</f>
        <v>0</v>
      </c>
      <c r="X96" s="42">
        <f>+IF(AND(X95&gt;=Assumptions!$F$26,X95&lt;Assumptions!$F$28),Assumptions!$F$172/ROUNDUP((Assumptions!$F$27/12),0),0)</f>
        <v>0</v>
      </c>
      <c r="Y96" s="42">
        <f>+IF(AND(Y95&gt;=Assumptions!$F$26,Y95&lt;Assumptions!$F$28),Assumptions!$F$172/ROUNDUP((Assumptions!$F$27/12),0),0)</f>
        <v>0</v>
      </c>
      <c r="Z96" s="42">
        <f>+IF(AND(Z95&gt;=Assumptions!$F$26,Z95&lt;Assumptions!$F$28),Assumptions!$F$172/ROUNDUP((Assumptions!$F$27/12),0),0)</f>
        <v>0</v>
      </c>
    </row>
    <row r="97" spans="2:26">
      <c r="B97" s="33" t="s">
        <v>231</v>
      </c>
      <c r="C97" s="33"/>
      <c r="D97" s="42">
        <v>0</v>
      </c>
      <c r="E97" s="42"/>
      <c r="F97" s="42">
        <f>+D97+F96</f>
        <v>0</v>
      </c>
      <c r="G97" s="42">
        <f t="shared" ref="G97" si="203">+F97+G96</f>
        <v>0</v>
      </c>
      <c r="H97" s="42">
        <f t="shared" ref="H97" si="204">+G97+H96</f>
        <v>0</v>
      </c>
      <c r="I97" s="42">
        <f t="shared" ref="I97" si="205">+H97+I96</f>
        <v>96767</v>
      </c>
      <c r="J97" s="42">
        <f t="shared" ref="J97" si="206">+I97+J96</f>
        <v>193534</v>
      </c>
      <c r="K97" s="42">
        <f t="shared" ref="K97" si="207">+J97+K96</f>
        <v>193534</v>
      </c>
      <c r="L97" s="42">
        <f t="shared" ref="L97" si="208">+K97+L96</f>
        <v>193534</v>
      </c>
      <c r="M97" s="42">
        <f t="shared" ref="M97" si="209">+L97+M96</f>
        <v>193534</v>
      </c>
      <c r="N97" s="42">
        <f t="shared" ref="N97" si="210">+M97+N96</f>
        <v>193534</v>
      </c>
      <c r="O97" s="42">
        <f t="shared" ref="O97" si="211">+N97+O96</f>
        <v>193534</v>
      </c>
      <c r="P97" s="42">
        <f t="shared" ref="P97" si="212">+O97+P96</f>
        <v>193534</v>
      </c>
      <c r="Q97" s="42">
        <f t="shared" ref="Q97" si="213">+P97+Q96</f>
        <v>193534</v>
      </c>
      <c r="R97" s="42">
        <f t="shared" ref="R97" si="214">+Q97+R96</f>
        <v>193534</v>
      </c>
      <c r="S97" s="42">
        <f t="shared" ref="S97" si="215">+R97+S96</f>
        <v>193534</v>
      </c>
      <c r="T97" s="42">
        <f t="shared" ref="T97" si="216">+S97+T96</f>
        <v>193534</v>
      </c>
      <c r="U97" s="42">
        <f t="shared" ref="U97" si="217">+T97+U96</f>
        <v>193534</v>
      </c>
      <c r="V97" s="42">
        <f t="shared" ref="V97" si="218">+U97+V96</f>
        <v>193534</v>
      </c>
      <c r="W97" s="42">
        <f t="shared" ref="W97" si="219">+V97+W96</f>
        <v>193534</v>
      </c>
      <c r="X97" s="42">
        <f t="shared" ref="X97" si="220">+W97+X96</f>
        <v>193534</v>
      </c>
      <c r="Y97" s="42">
        <f t="shared" ref="Y97" si="221">+X97+Y96</f>
        <v>193534</v>
      </c>
      <c r="Z97" s="42">
        <f t="shared" ref="Z97" si="222">+Y97+Z96</f>
        <v>193534</v>
      </c>
    </row>
    <row r="98" spans="2:26">
      <c r="B98" s="33" t="s">
        <v>285</v>
      </c>
      <c r="C98" s="33"/>
      <c r="D98" s="42"/>
      <c r="E98" s="42"/>
      <c r="F98" s="108">
        <f t="shared" ref="F98:Z98" si="223">+F97/SUM($F96:$Z96)</f>
        <v>0</v>
      </c>
      <c r="G98" s="108">
        <f t="shared" si="223"/>
        <v>0</v>
      </c>
      <c r="H98" s="108">
        <f t="shared" si="223"/>
        <v>0</v>
      </c>
      <c r="I98" s="108">
        <f t="shared" si="223"/>
        <v>0.5</v>
      </c>
      <c r="J98" s="108">
        <f t="shared" si="223"/>
        <v>1</v>
      </c>
      <c r="K98" s="108">
        <f t="shared" si="223"/>
        <v>1</v>
      </c>
      <c r="L98" s="108">
        <f t="shared" si="223"/>
        <v>1</v>
      </c>
      <c r="M98" s="108">
        <f t="shared" si="223"/>
        <v>1</v>
      </c>
      <c r="N98" s="108">
        <f t="shared" si="223"/>
        <v>1</v>
      </c>
      <c r="O98" s="108">
        <f t="shared" si="223"/>
        <v>1</v>
      </c>
      <c r="P98" s="108">
        <f t="shared" si="223"/>
        <v>1</v>
      </c>
      <c r="Q98" s="108">
        <f t="shared" si="223"/>
        <v>1</v>
      </c>
      <c r="R98" s="108">
        <f t="shared" si="223"/>
        <v>1</v>
      </c>
      <c r="S98" s="108">
        <f t="shared" si="223"/>
        <v>1</v>
      </c>
      <c r="T98" s="108">
        <f t="shared" si="223"/>
        <v>1</v>
      </c>
      <c r="U98" s="108">
        <f t="shared" si="223"/>
        <v>1</v>
      </c>
      <c r="V98" s="108">
        <f t="shared" si="223"/>
        <v>1</v>
      </c>
      <c r="W98" s="108">
        <f t="shared" si="223"/>
        <v>1</v>
      </c>
      <c r="X98" s="108">
        <f t="shared" si="223"/>
        <v>1</v>
      </c>
      <c r="Y98" s="108">
        <f t="shared" si="223"/>
        <v>1</v>
      </c>
      <c r="Z98" s="108">
        <f t="shared" si="223"/>
        <v>1</v>
      </c>
    </row>
    <row r="99" spans="2:26">
      <c r="B99" s="33"/>
      <c r="C99" s="33"/>
      <c r="D99" s="40"/>
      <c r="E99" s="40"/>
      <c r="F99" s="34"/>
      <c r="G99" s="34"/>
      <c r="H99" s="34"/>
      <c r="I99" s="34"/>
      <c r="J99" s="34"/>
      <c r="K99" s="34"/>
      <c r="L99" s="34"/>
      <c r="M99" s="34"/>
      <c r="N99" s="34"/>
      <c r="O99" s="34"/>
      <c r="P99" s="34"/>
      <c r="Q99" s="34"/>
      <c r="R99" s="34"/>
      <c r="S99" s="34"/>
      <c r="T99" s="34"/>
      <c r="U99" s="34"/>
      <c r="V99" s="34"/>
      <c r="W99" s="34"/>
      <c r="X99" s="34"/>
      <c r="Y99" s="34"/>
      <c r="Z99" s="34"/>
    </row>
    <row r="100" spans="2:26">
      <c r="B100" s="33" t="s">
        <v>236</v>
      </c>
      <c r="C100" s="33"/>
      <c r="D100" s="42"/>
      <c r="E100" s="42"/>
      <c r="F100" s="108">
        <v>1</v>
      </c>
      <c r="G100" s="108">
        <f>+IF(MOD(G$2,Assumptions!$N$71)=(Assumptions!$N$71-1),F100*(1+Assumptions!$N$70),'Phase I Pro Forma'!F100)</f>
        <v>1</v>
      </c>
      <c r="H100" s="108">
        <f>+IF(MOD(H$2,Assumptions!$N$71)=(Assumptions!$N$71-1),G100*(1+Assumptions!$N$70),'Phase I Pro Forma'!G100)</f>
        <v>1</v>
      </c>
      <c r="I100" s="108">
        <f>+IF(MOD(I$2,Assumptions!$N$71)=(Assumptions!$N$71-1),H100*(1+Assumptions!$N$70),'Phase I Pro Forma'!H100)</f>
        <v>1</v>
      </c>
      <c r="J100" s="108">
        <f>+IF(MOD(J$2,Assumptions!$N$71)=(Assumptions!$N$71-1),I100*(1+Assumptions!$N$70),'Phase I Pro Forma'!I100)</f>
        <v>1</v>
      </c>
      <c r="K100" s="108">
        <f>+IF(MOD(K$2,Assumptions!$N$71)=(Assumptions!$N$71-1),J100*(1+Assumptions!$N$70),'Phase I Pro Forma'!J100)</f>
        <v>1</v>
      </c>
      <c r="L100" s="108">
        <f>+IF(MOD(L$2,Assumptions!$N$71)=(Assumptions!$N$71-1),K100*(1+Assumptions!$N$70),'Phase I Pro Forma'!K100)</f>
        <v>1.1000000000000001</v>
      </c>
      <c r="M100" s="108">
        <f>+IF(MOD(M$2,Assumptions!$N$71)=(Assumptions!$N$71-1),L100*(1+Assumptions!$N$70),'Phase I Pro Forma'!L100)</f>
        <v>1.1000000000000001</v>
      </c>
      <c r="N100" s="108">
        <f>+IF(MOD(N$2,Assumptions!$N$71)=(Assumptions!$N$71-1),M100*(1+Assumptions!$N$70),'Phase I Pro Forma'!M100)</f>
        <v>1.1000000000000001</v>
      </c>
      <c r="O100" s="108">
        <f>+IF(MOD(O$2,Assumptions!$N$71)=(Assumptions!$N$71-1),N100*(1+Assumptions!$N$70),'Phase I Pro Forma'!N100)</f>
        <v>1.1000000000000001</v>
      </c>
      <c r="P100" s="108">
        <f>+IF(MOD(P$2,Assumptions!$N$71)=(Assumptions!$N$71-1),O100*(1+Assumptions!$N$70),'Phase I Pro Forma'!O100)</f>
        <v>1.1000000000000001</v>
      </c>
      <c r="Q100" s="108">
        <f>+IF(MOD(Q$2,Assumptions!$N$71)=(Assumptions!$N$71-1),P100*(1+Assumptions!$N$70),'Phase I Pro Forma'!P100)</f>
        <v>1.2100000000000002</v>
      </c>
      <c r="R100" s="108">
        <f>+IF(MOD(R$2,Assumptions!$N$71)=(Assumptions!$N$71-1),Q100*(1+Assumptions!$N$70),'Phase I Pro Forma'!Q100)</f>
        <v>1.2100000000000002</v>
      </c>
      <c r="S100" s="108">
        <f>+IF(MOD(S$2,Assumptions!$N$71)=(Assumptions!$N$71-1),R100*(1+Assumptions!$N$70),'Phase I Pro Forma'!R100)</f>
        <v>1.2100000000000002</v>
      </c>
      <c r="T100" s="108">
        <f>+IF(MOD(T$2,Assumptions!$N$71)=(Assumptions!$N$71-1),S100*(1+Assumptions!$N$70),'Phase I Pro Forma'!S100)</f>
        <v>1.2100000000000002</v>
      </c>
      <c r="U100" s="108">
        <f>+IF(MOD(U$2,Assumptions!$N$71)=(Assumptions!$N$71-1),T100*(1+Assumptions!$N$70),'Phase I Pro Forma'!T100)</f>
        <v>1.2100000000000002</v>
      </c>
      <c r="V100" s="108">
        <f>+IF(MOD(V$2,Assumptions!$N$71)=(Assumptions!$N$71-1),U100*(1+Assumptions!$N$70),'Phase I Pro Forma'!U100)</f>
        <v>1.3310000000000004</v>
      </c>
      <c r="W100" s="108">
        <f>+IF(MOD(W$2,Assumptions!$N$71)=(Assumptions!$N$71-1),V100*(1+Assumptions!$N$70),'Phase I Pro Forma'!V100)</f>
        <v>1.3310000000000004</v>
      </c>
      <c r="X100" s="108">
        <f>+IF(MOD(X$2,Assumptions!$N$71)=(Assumptions!$N$71-1),W100*(1+Assumptions!$N$70),'Phase I Pro Forma'!W100)</f>
        <v>1.3310000000000004</v>
      </c>
      <c r="Y100" s="108">
        <f>+IF(MOD(Y$2,Assumptions!$N$71)=(Assumptions!$N$71-1),X100*(1+Assumptions!$N$70),'Phase I Pro Forma'!X100)</f>
        <v>1.3310000000000004</v>
      </c>
      <c r="Z100" s="108">
        <f>+IF(MOD(Z$2,Assumptions!$N$71)=(Assumptions!$N$71-1),Y100*(1+Assumptions!$N$70),'Phase I Pro Forma'!Y100)</f>
        <v>1.3310000000000004</v>
      </c>
    </row>
    <row r="101" spans="2:26">
      <c r="B101" s="33" t="s">
        <v>237</v>
      </c>
      <c r="C101" s="33"/>
      <c r="D101" s="42"/>
      <c r="E101" s="42"/>
      <c r="F101" s="108">
        <v>1</v>
      </c>
      <c r="G101" s="108">
        <f>+F101*(1+Assumptions!$N$80)</f>
        <v>1.03</v>
      </c>
      <c r="H101" s="108">
        <f>+G101*(1+Assumptions!$N$80)</f>
        <v>1.0609</v>
      </c>
      <c r="I101" s="108">
        <f>+H101*(1+Assumptions!$N$80)</f>
        <v>1.092727</v>
      </c>
      <c r="J101" s="108">
        <f>+I101*(1+Assumptions!$N$80)</f>
        <v>1.1255088100000001</v>
      </c>
      <c r="K101" s="108">
        <f>+J101*(1+Assumptions!$N$80)</f>
        <v>1.1592740743000001</v>
      </c>
      <c r="L101" s="108">
        <f>+K101*(1+Assumptions!$N$80)</f>
        <v>1.1940522965290001</v>
      </c>
      <c r="M101" s="108">
        <f>+L101*(1+Assumptions!$N$80)</f>
        <v>1.2298738654248702</v>
      </c>
      <c r="N101" s="108">
        <f>+M101*(1+Assumptions!$N$80)</f>
        <v>1.2667700813876164</v>
      </c>
      <c r="O101" s="108">
        <f>+N101*(1+Assumptions!$N$80)</f>
        <v>1.3047731838292449</v>
      </c>
      <c r="P101" s="108">
        <f>+O101*(1+Assumptions!$N$80)</f>
        <v>1.3439163793441222</v>
      </c>
      <c r="Q101" s="108">
        <f>+P101*(1+Assumptions!$N$80)</f>
        <v>1.3842338707244459</v>
      </c>
      <c r="R101" s="108">
        <f>+Q101*(1+Assumptions!$N$80)</f>
        <v>1.4257608868461793</v>
      </c>
      <c r="S101" s="108">
        <f>+R101*(1+Assumptions!$N$80)</f>
        <v>1.4685337134515648</v>
      </c>
      <c r="T101" s="108">
        <f>+S101*(1+Assumptions!$N$80)</f>
        <v>1.5125897248551119</v>
      </c>
      <c r="U101" s="108">
        <f>+T101*(1+Assumptions!$N$80)</f>
        <v>1.5579674166007653</v>
      </c>
      <c r="V101" s="108">
        <f>+U101*(1+Assumptions!$N$80)</f>
        <v>1.6047064390987884</v>
      </c>
      <c r="W101" s="108">
        <f>+V101*(1+Assumptions!$N$80)</f>
        <v>1.652847632271752</v>
      </c>
      <c r="X101" s="108">
        <f>+W101*(1+Assumptions!$N$80)</f>
        <v>1.7024330612399046</v>
      </c>
      <c r="Y101" s="108">
        <f>+X101*(1+Assumptions!$N$80)</f>
        <v>1.7535060530771018</v>
      </c>
      <c r="Z101" s="108">
        <f>+Y101*(1+Assumptions!$N$80)</f>
        <v>1.806111234669415</v>
      </c>
    </row>
    <row r="102" spans="2:26">
      <c r="B102" s="33"/>
      <c r="C102" s="33"/>
      <c r="D102" s="40"/>
      <c r="E102" s="40"/>
      <c r="F102" s="34"/>
      <c r="G102" s="34"/>
      <c r="H102" s="34"/>
      <c r="I102" s="34"/>
      <c r="J102" s="34"/>
      <c r="K102" s="34"/>
      <c r="L102" s="34"/>
      <c r="M102" s="34"/>
      <c r="N102" s="34"/>
      <c r="O102" s="34"/>
      <c r="P102" s="34"/>
      <c r="Q102" s="34"/>
      <c r="R102" s="34"/>
      <c r="S102" s="34"/>
      <c r="T102" s="34"/>
      <c r="U102" s="34"/>
      <c r="V102" s="34"/>
      <c r="W102" s="34"/>
      <c r="X102" s="34"/>
      <c r="Y102" s="34"/>
      <c r="Z102" s="34"/>
    </row>
    <row r="103" spans="2:26">
      <c r="B103" s="33" t="s">
        <v>228</v>
      </c>
      <c r="C103" s="33"/>
      <c r="D103" s="40"/>
      <c r="E103" s="40"/>
      <c r="F103" s="34">
        <f>+F98*Assumptions!$F$171*F100</f>
        <v>0</v>
      </c>
      <c r="G103" s="34">
        <f>+G98*Assumptions!$F$171*G100</f>
        <v>0</v>
      </c>
      <c r="H103" s="34">
        <f>+H98*Assumptions!$F$171*H100</f>
        <v>0</v>
      </c>
      <c r="I103" s="34">
        <f>+I98*Assumptions!$F$171*I100</f>
        <v>3677146</v>
      </c>
      <c r="J103" s="34">
        <f>+J98*Assumptions!$F$171*J100</f>
        <v>7354292</v>
      </c>
      <c r="K103" s="34">
        <f>+K98*Assumptions!$F$171*K100</f>
        <v>7354292</v>
      </c>
      <c r="L103" s="34">
        <f>+L98*Assumptions!$F$171*L100</f>
        <v>8089721.2000000011</v>
      </c>
      <c r="M103" s="34">
        <f>+M98*Assumptions!$F$171*M100</f>
        <v>8089721.2000000011</v>
      </c>
      <c r="N103" s="34">
        <f>+N98*Assumptions!$F$171*N100</f>
        <v>8089721.2000000011</v>
      </c>
      <c r="O103" s="34">
        <f>+O98*Assumptions!$F$171*O100</f>
        <v>8089721.2000000011</v>
      </c>
      <c r="P103" s="34">
        <f>+P98*Assumptions!$F$171*P100</f>
        <v>8089721.2000000011</v>
      </c>
      <c r="Q103" s="34">
        <f>+Q98*Assumptions!$F$171*Q100</f>
        <v>8898693.3200000022</v>
      </c>
      <c r="R103" s="34">
        <f>+R98*Assumptions!$F$171*R100</f>
        <v>8898693.3200000022</v>
      </c>
      <c r="S103" s="34">
        <f>+S98*Assumptions!$F$171*S100</f>
        <v>8898693.3200000022</v>
      </c>
      <c r="T103" s="34">
        <f>+T98*Assumptions!$F$171*T100</f>
        <v>8898693.3200000022</v>
      </c>
      <c r="U103" s="34">
        <f>+U98*Assumptions!$F$171*U100</f>
        <v>8898693.3200000022</v>
      </c>
      <c r="V103" s="34">
        <f>+V98*Assumptions!$F$171*V100</f>
        <v>9788562.6520000026</v>
      </c>
      <c r="W103" s="34">
        <f>+W98*Assumptions!$F$171*W100</f>
        <v>9788562.6520000026</v>
      </c>
      <c r="X103" s="34">
        <f>+X98*Assumptions!$F$171*X100</f>
        <v>9788562.6520000026</v>
      </c>
      <c r="Y103" s="34">
        <f>+Y98*Assumptions!$F$171*Y100</f>
        <v>9788562.6520000026</v>
      </c>
      <c r="Z103" s="34">
        <f>+Z98*Assumptions!$F$171*Z100</f>
        <v>9788562.6520000026</v>
      </c>
    </row>
    <row r="104" spans="2:26">
      <c r="B104" s="33" t="s">
        <v>229</v>
      </c>
      <c r="C104" s="33"/>
      <c r="D104" s="40"/>
      <c r="E104" s="40"/>
      <c r="F104" s="42">
        <f>-F103*Assumptions!$N$58</f>
        <v>0</v>
      </c>
      <c r="G104" s="42">
        <f>-G103*Assumptions!$N$58</f>
        <v>0</v>
      </c>
      <c r="H104" s="42">
        <f>-H103*Assumptions!$N$58</f>
        <v>0</v>
      </c>
      <c r="I104" s="42">
        <f>-I103*Assumptions!$N$58</f>
        <v>-500091.85600000003</v>
      </c>
      <c r="J104" s="42">
        <f>-J103*Assumptions!$N$58</f>
        <v>-1000183.7120000001</v>
      </c>
      <c r="K104" s="42">
        <f>-K103*Assumptions!$N$58</f>
        <v>-1000183.7120000001</v>
      </c>
      <c r="L104" s="42">
        <f>-L103*Assumptions!$N$58</f>
        <v>-1100202.0832000002</v>
      </c>
      <c r="M104" s="42">
        <f>-M103*Assumptions!$N$58</f>
        <v>-1100202.0832000002</v>
      </c>
      <c r="N104" s="42">
        <f>-N103*Assumptions!$N$58</f>
        <v>-1100202.0832000002</v>
      </c>
      <c r="O104" s="42">
        <f>-O103*Assumptions!$N$58</f>
        <v>-1100202.0832000002</v>
      </c>
      <c r="P104" s="42">
        <f>-P103*Assumptions!$N$58</f>
        <v>-1100202.0832000002</v>
      </c>
      <c r="Q104" s="42">
        <f>-Q103*Assumptions!$N$58</f>
        <v>-1210222.2915200004</v>
      </c>
      <c r="R104" s="42">
        <f>-R103*Assumptions!$N$58</f>
        <v>-1210222.2915200004</v>
      </c>
      <c r="S104" s="42">
        <f>-S103*Assumptions!$N$58</f>
        <v>-1210222.2915200004</v>
      </c>
      <c r="T104" s="42">
        <f>-T103*Assumptions!$N$58</f>
        <v>-1210222.2915200004</v>
      </c>
      <c r="U104" s="42">
        <f>-U103*Assumptions!$N$58</f>
        <v>-1210222.2915200004</v>
      </c>
      <c r="V104" s="42">
        <f>-V103*Assumptions!$N$58</f>
        <v>-1331244.5206720005</v>
      </c>
      <c r="W104" s="42">
        <f>-W103*Assumptions!$N$58</f>
        <v>-1331244.5206720005</v>
      </c>
      <c r="X104" s="42">
        <f>-X103*Assumptions!$N$58</f>
        <v>-1331244.5206720005</v>
      </c>
      <c r="Y104" s="42">
        <f>-Y103*Assumptions!$N$58</f>
        <v>-1331244.5206720005</v>
      </c>
      <c r="Z104" s="42">
        <f>-Z103*Assumptions!$N$58</f>
        <v>-1331244.5206720005</v>
      </c>
    </row>
    <row r="105" spans="2:26">
      <c r="B105" s="33" t="s">
        <v>244</v>
      </c>
      <c r="C105" s="33"/>
      <c r="D105" s="40"/>
      <c r="E105" s="40"/>
      <c r="F105" s="151">
        <f ca="1">+F110*Assumptions!$N$91</f>
        <v>0</v>
      </c>
      <c r="G105" s="151">
        <f ca="1">+G110*Assumptions!$N$91</f>
        <v>0</v>
      </c>
      <c r="H105" s="151">
        <f ca="1">+H110*Assumptions!$N$91</f>
        <v>0</v>
      </c>
      <c r="I105" s="151">
        <f ca="1">+I110*Assumptions!$N$91</f>
        <v>1668913.7048783381</v>
      </c>
      <c r="J105" s="151">
        <f ca="1">+J110*Assumptions!$N$91</f>
        <v>3418858.8462890252</v>
      </c>
      <c r="K105" s="151">
        <f ca="1">+K110*Assumptions!$N$91</f>
        <v>3462968.2512510191</v>
      </c>
      <c r="L105" s="151">
        <f ca="1">+L110*Assumptions!$N$91</f>
        <v>3508400.9383618734</v>
      </c>
      <c r="M105" s="151">
        <f ca="1">+M110*Assumptions!$N$91</f>
        <v>3594167.5130371707</v>
      </c>
      <c r="N105" s="151">
        <f ca="1">+N110*Assumptions!$N$91</f>
        <v>3642367.0507930764</v>
      </c>
      <c r="O105" s="151">
        <f ca="1">+O110*Assumptions!$N$91</f>
        <v>3692012.5746816583</v>
      </c>
      <c r="P105" s="151">
        <f ca="1">+P110*Assumptions!$N$91</f>
        <v>3782897.7893770379</v>
      </c>
      <c r="Q105" s="151">
        <f ca="1">+Q110*Assumptions!$N$91</f>
        <v>3835566.7256704355</v>
      </c>
      <c r="R105" s="151">
        <f ca="1">+R110*Assumptions!$N$91</f>
        <v>3889815.7300526337</v>
      </c>
      <c r="S105" s="151">
        <f ca="1">+S110*Assumptions!$N$91</f>
        <v>3986237.5361582413</v>
      </c>
      <c r="T105" s="151">
        <f ca="1">+T110*Assumptions!$N$91</f>
        <v>4043790.3049073168</v>
      </c>
      <c r="U105" s="151">
        <f ca="1">+U110*Assumptions!$N$91</f>
        <v>4103069.6567188636</v>
      </c>
      <c r="V105" s="151">
        <f ca="1">+V110*Assumptions!$N$91</f>
        <v>4205483.62730854</v>
      </c>
      <c r="W105" s="151">
        <f ca="1">+W110*Assumptions!$N$91</f>
        <v>4268373.0916454103</v>
      </c>
      <c r="X105" s="151">
        <f ca="1">+X110*Assumptions!$N$91</f>
        <v>4333149.239912387</v>
      </c>
      <c r="Y105" s="151">
        <f ca="1">+Y110*Assumptions!$N$91</f>
        <v>4442052.0356156295</v>
      </c>
      <c r="Z105" s="151">
        <f ca="1">+Z110*Assumptions!$N$91</f>
        <v>4510773.0513120648</v>
      </c>
    </row>
    <row r="106" spans="2:26">
      <c r="B106" s="137" t="s">
        <v>238</v>
      </c>
      <c r="C106" s="137"/>
      <c r="D106" s="137"/>
      <c r="E106" s="137"/>
      <c r="F106" s="129">
        <f t="shared" ref="F106:Z106" ca="1" si="224">+SUM(F103:F105)</f>
        <v>0</v>
      </c>
      <c r="G106" s="129">
        <f t="shared" ca="1" si="224"/>
        <v>0</v>
      </c>
      <c r="H106" s="129">
        <f t="shared" ca="1" si="224"/>
        <v>0</v>
      </c>
      <c r="I106" s="129">
        <f t="shared" ca="1" si="224"/>
        <v>4845967.848878338</v>
      </c>
      <c r="J106" s="129">
        <f t="shared" ca="1" si="224"/>
        <v>9772967.1342890244</v>
      </c>
      <c r="K106" s="129">
        <f t="shared" ca="1" si="224"/>
        <v>9817076.5392510183</v>
      </c>
      <c r="L106" s="129">
        <f t="shared" ca="1" si="224"/>
        <v>10497920.055161875</v>
      </c>
      <c r="M106" s="129">
        <f t="shared" ca="1" si="224"/>
        <v>10583686.629837172</v>
      </c>
      <c r="N106" s="129">
        <f t="shared" ca="1" si="224"/>
        <v>10631886.167593077</v>
      </c>
      <c r="O106" s="129">
        <f t="shared" ca="1" si="224"/>
        <v>10681531.691481659</v>
      </c>
      <c r="P106" s="129">
        <f t="shared" ca="1" si="224"/>
        <v>10772416.906177038</v>
      </c>
      <c r="Q106" s="129">
        <f t="shared" ca="1" si="224"/>
        <v>11524037.754150437</v>
      </c>
      <c r="R106" s="129">
        <f t="shared" ca="1" si="224"/>
        <v>11578286.758532636</v>
      </c>
      <c r="S106" s="129">
        <f t="shared" ca="1" si="224"/>
        <v>11674708.564638242</v>
      </c>
      <c r="T106" s="129">
        <f t="shared" ca="1" si="224"/>
        <v>11732261.333387319</v>
      </c>
      <c r="U106" s="129">
        <f t="shared" ca="1" si="224"/>
        <v>11791540.685198866</v>
      </c>
      <c r="V106" s="129">
        <f t="shared" ca="1" si="224"/>
        <v>12662801.758636542</v>
      </c>
      <c r="W106" s="129">
        <f t="shared" ca="1" si="224"/>
        <v>12725691.222973412</v>
      </c>
      <c r="X106" s="129">
        <f t="shared" ca="1" si="224"/>
        <v>12790467.371240389</v>
      </c>
      <c r="Y106" s="129">
        <f t="shared" ca="1" si="224"/>
        <v>12899370.166943632</v>
      </c>
      <c r="Z106" s="129">
        <f t="shared" ca="1" si="224"/>
        <v>12968091.182640066</v>
      </c>
    </row>
    <row r="108" spans="2:26">
      <c r="B108" s="33" t="s">
        <v>371</v>
      </c>
      <c r="F108" s="34">
        <f>+F97*Assumptions!$N$123*'Phase I Pro Forma'!F101</f>
        <v>0</v>
      </c>
      <c r="G108" s="34">
        <f>+G97*Assumptions!$N$123*'Phase I Pro Forma'!G101</f>
        <v>0</v>
      </c>
      <c r="H108" s="34">
        <f>+H97*Assumptions!$N$123*'Phase I Pro Forma'!H101</f>
        <v>0</v>
      </c>
      <c r="I108" s="34">
        <f>+I97*Assumptions!$N$123*'Phase I Pro Forma'!I101</f>
        <v>793049.3520675</v>
      </c>
      <c r="J108" s="34">
        <f>+J97*Assumptions!$N$123*'Phase I Pro Forma'!J101</f>
        <v>1633681.6652590502</v>
      </c>
      <c r="K108" s="34">
        <f>+K97*Assumptions!$N$123*'Phase I Pro Forma'!K101</f>
        <v>1682692.1152168217</v>
      </c>
      <c r="L108" s="34">
        <f>+L97*Assumptions!$N$123*'Phase I Pro Forma'!L101</f>
        <v>1733172.8786733262</v>
      </c>
      <c r="M108" s="34">
        <f>+M97*Assumptions!$N$123*'Phase I Pro Forma'!M101</f>
        <v>1785168.0650335262</v>
      </c>
      <c r="N108" s="34">
        <f>+N97*Assumptions!$N$123*'Phase I Pro Forma'!N101</f>
        <v>1838723.1069845322</v>
      </c>
      <c r="O108" s="34">
        <f>+O97*Assumptions!$N$123*'Phase I Pro Forma'!O101</f>
        <v>1893884.8001940681</v>
      </c>
      <c r="P108" s="34">
        <f>+P97*Assumptions!$N$123*'Phase I Pro Forma'!P101</f>
        <v>1950701.34419989</v>
      </c>
      <c r="Q108" s="34">
        <f>+Q97*Assumptions!$N$123*'Phase I Pro Forma'!Q101</f>
        <v>2009222.384525887</v>
      </c>
      <c r="R108" s="34">
        <f>+R97*Assumptions!$N$123*'Phase I Pro Forma'!R101</f>
        <v>2069499.0560616634</v>
      </c>
      <c r="S108" s="34">
        <f>+S97*Assumptions!$N$123*'Phase I Pro Forma'!S101</f>
        <v>2131584.0277435137</v>
      </c>
      <c r="T108" s="34">
        <f>+T97*Assumptions!$N$123*'Phase I Pro Forma'!T101</f>
        <v>2195531.548575819</v>
      </c>
      <c r="U108" s="34">
        <f>+U97*Assumptions!$N$123*'Phase I Pro Forma'!U101</f>
        <v>2261397.4950330937</v>
      </c>
      <c r="V108" s="34">
        <f>+V97*Assumptions!$N$123*'Phase I Pro Forma'!V101</f>
        <v>2329239.4198840871</v>
      </c>
      <c r="W108" s="34">
        <f>+W97*Assumptions!$N$123*'Phase I Pro Forma'!W101</f>
        <v>2399116.6024806094</v>
      </c>
      <c r="X108" s="34">
        <f>+X97*Assumptions!$N$123*'Phase I Pro Forma'!X101</f>
        <v>2471090.1005550278</v>
      </c>
      <c r="Y108" s="34">
        <f>+Y97*Assumptions!$N$123*'Phase I Pro Forma'!Y101</f>
        <v>2545222.8035716787</v>
      </c>
      <c r="Z108" s="34">
        <f>+Z97*Assumptions!$N$123*'Phase I Pro Forma'!Z101</f>
        <v>2621579.4876788291</v>
      </c>
    </row>
    <row r="109" spans="2:26">
      <c r="B109" s="33" t="s">
        <v>308</v>
      </c>
      <c r="F109" s="151">
        <f ca="1">+IFERROR(IFERROR(INDEX('Taxes and TIF'!$M$11:$M$45,MATCH('Phase I Pro Forma'!F$7,'Taxes and TIF'!$B$11:$B$45,0)),0)*'Loan Sizing'!$I$19*F98,0)</f>
        <v>0</v>
      </c>
      <c r="G109" s="151">
        <f ca="1">+IFERROR(IFERROR(INDEX('Taxes and TIF'!$M$11:$M$45,MATCH('Phase I Pro Forma'!G$7,'Taxes and TIF'!$B$11:$B$45,0)),0)*'Loan Sizing'!$I$19*G98,0)</f>
        <v>0</v>
      </c>
      <c r="H109" s="151">
        <f ca="1">+IFERROR(IFERROR(INDEX('Taxes and TIF'!$M$11:$M$45,MATCH('Phase I Pro Forma'!H$7,'Taxes and TIF'!$B$11:$B$45,0)),0)*'Loan Sizing'!$I$19*H98,0)</f>
        <v>0</v>
      </c>
      <c r="I109" s="151">
        <f ca="1">+IFERROR(IFERROR(INDEX('Taxes and TIF'!$M$11:$M$45,MATCH('Phase I Pro Forma'!I$7,'Taxes and TIF'!$B$11:$B$45,0)),0)*'Loan Sizing'!$I$19*I98,0)</f>
        <v>1061299.208908431</v>
      </c>
      <c r="J109" s="151">
        <f ca="1">+IFERROR(IFERROR(INDEX('Taxes and TIF'!$M$11:$M$45,MATCH('Phase I Pro Forma'!J$7,'Taxes and TIF'!$B$11:$B$45,0)),0)*'Loan Sizing'!$I$19*J98,0)</f>
        <v>2165050.3861731989</v>
      </c>
      <c r="K109" s="151">
        <f ca="1">+IFERROR(IFERROR(INDEX('Taxes and TIF'!$M$11:$M$45,MATCH('Phase I Pro Forma'!K$7,'Taxes and TIF'!$B$11:$B$45,0)),0)*'Loan Sizing'!$I$19*K98,0)</f>
        <v>2165050.3861731989</v>
      </c>
      <c r="L109" s="151">
        <f ca="1">+IFERROR(IFERROR(INDEX('Taxes and TIF'!$M$11:$M$45,MATCH('Phase I Pro Forma'!L$7,'Taxes and TIF'!$B$11:$B$45,0)),0)*'Loan Sizing'!$I$19*L98,0)</f>
        <v>2165050.3861731989</v>
      </c>
      <c r="M109" s="151">
        <f ca="1">+IFERROR(IFERROR(INDEX('Taxes and TIF'!$M$11:$M$45,MATCH('Phase I Pro Forma'!M$7,'Taxes and TIF'!$B$11:$B$45,0)),0)*'Loan Sizing'!$I$19*M98,0)</f>
        <v>2208351.3938966631</v>
      </c>
      <c r="N109" s="151">
        <f ca="1">+IFERROR(IFERROR(INDEX('Taxes and TIF'!$M$11:$M$45,MATCH('Phase I Pro Forma'!N$7,'Taxes and TIF'!$B$11:$B$45,0)),0)*'Loan Sizing'!$I$19*N98,0)</f>
        <v>2208351.3938966631</v>
      </c>
      <c r="O109" s="151">
        <f ca="1">+IFERROR(IFERROR(INDEX('Taxes and TIF'!$M$11:$M$45,MATCH('Phase I Pro Forma'!O$7,'Taxes and TIF'!$B$11:$B$45,0)),0)*'Loan Sizing'!$I$19*O98,0)</f>
        <v>2208351.3938966631</v>
      </c>
      <c r="P109" s="151">
        <f ca="1">+IFERROR(IFERROR(INDEX('Taxes and TIF'!$M$11:$M$45,MATCH('Phase I Pro Forma'!P$7,'Taxes and TIF'!$B$11:$B$45,0)),0)*'Loan Sizing'!$I$19*P98,0)</f>
        <v>2252518.421774596</v>
      </c>
      <c r="Q109" s="151">
        <f ca="1">+IFERROR(IFERROR(INDEX('Taxes and TIF'!$M$11:$M$45,MATCH('Phase I Pro Forma'!Q$7,'Taxes and TIF'!$B$11:$B$45,0)),0)*'Loan Sizing'!$I$19*Q98,0)</f>
        <v>2252518.421774596</v>
      </c>
      <c r="R109" s="151">
        <f ca="1">+IFERROR(IFERROR(INDEX('Taxes and TIF'!$M$11:$M$45,MATCH('Phase I Pro Forma'!R$7,'Taxes and TIF'!$B$11:$B$45,0)),0)*'Loan Sizing'!$I$19*R98,0)</f>
        <v>2252518.421774596</v>
      </c>
      <c r="S109" s="151">
        <f ca="1">+IFERROR(IFERROR(INDEX('Taxes and TIF'!$M$11:$M$45,MATCH('Phase I Pro Forma'!S$7,'Taxes and TIF'!$B$11:$B$45,0)),0)*'Loan Sizing'!$I$19*S98,0)</f>
        <v>2297568.7902100882</v>
      </c>
      <c r="T109" s="151">
        <f ca="1">+IFERROR(IFERROR(INDEX('Taxes and TIF'!$M$11:$M$45,MATCH('Phase I Pro Forma'!T$7,'Taxes and TIF'!$B$11:$B$45,0)),0)*'Loan Sizing'!$I$19*T98,0)</f>
        <v>2297568.7902100882</v>
      </c>
      <c r="U109" s="151">
        <f ca="1">+IFERROR(IFERROR(INDEX('Taxes and TIF'!$M$11:$M$45,MATCH('Phase I Pro Forma'!U$7,'Taxes and TIF'!$B$11:$B$45,0)),0)*'Loan Sizing'!$I$19*U98,0)</f>
        <v>2297568.7902100882</v>
      </c>
      <c r="V109" s="151">
        <f ca="1">+IFERROR(IFERROR(INDEX('Taxes and TIF'!$M$11:$M$45,MATCH('Phase I Pro Forma'!V$7,'Taxes and TIF'!$B$11:$B$45,0)),0)*'Loan Sizing'!$I$19*V98,0)</f>
        <v>2343520.1660142904</v>
      </c>
      <c r="W109" s="151">
        <f ca="1">+IFERROR(IFERROR(INDEX('Taxes and TIF'!$M$11:$M$45,MATCH('Phase I Pro Forma'!W$7,'Taxes and TIF'!$B$11:$B$45,0)),0)*'Loan Sizing'!$I$19*W98,0)</f>
        <v>2343520.1660142904</v>
      </c>
      <c r="X109" s="151">
        <f ca="1">+IFERROR(IFERROR(INDEX('Taxes and TIF'!$M$11:$M$45,MATCH('Phase I Pro Forma'!X$7,'Taxes and TIF'!$B$11:$B$45,0)),0)*'Loan Sizing'!$I$19*X98,0)</f>
        <v>2343520.1660142904</v>
      </c>
      <c r="Y109" s="151">
        <f ca="1">+IFERROR(IFERROR(INDEX('Taxes and TIF'!$M$11:$M$45,MATCH('Phase I Pro Forma'!Y$7,'Taxes and TIF'!$B$11:$B$45,0)),0)*'Loan Sizing'!$I$19*Y98,0)</f>
        <v>2390390.5693345759</v>
      </c>
      <c r="Z109" s="151">
        <f ca="1">+IFERROR(IFERROR(INDEX('Taxes and TIF'!$M$11:$M$45,MATCH('Phase I Pro Forma'!Z$7,'Taxes and TIF'!$B$11:$B$45,0)),0)*'Loan Sizing'!$I$19*Z98,0)</f>
        <v>2390390.5693345759</v>
      </c>
    </row>
    <row r="110" spans="2:26">
      <c r="B110" s="137" t="s">
        <v>234</v>
      </c>
      <c r="C110" s="137"/>
      <c r="D110" s="137"/>
      <c r="E110" s="137"/>
      <c r="F110" s="129">
        <f ca="1">+SUM(F108:F109)</f>
        <v>0</v>
      </c>
      <c r="G110" s="129">
        <f t="shared" ref="G110" ca="1" si="225">+SUM(G108:G109)</f>
        <v>0</v>
      </c>
      <c r="H110" s="129">
        <f t="shared" ref="H110" ca="1" si="226">+SUM(H108:H109)</f>
        <v>0</v>
      </c>
      <c r="I110" s="129">
        <f t="shared" ref="I110" ca="1" si="227">+SUM(I108:I109)</f>
        <v>1854348.5609759311</v>
      </c>
      <c r="J110" s="129">
        <f t="shared" ref="J110" ca="1" si="228">+SUM(J108:J109)</f>
        <v>3798732.0514322491</v>
      </c>
      <c r="K110" s="129">
        <f t="shared" ref="K110" ca="1" si="229">+SUM(K108:K109)</f>
        <v>3847742.5013900204</v>
      </c>
      <c r="L110" s="129">
        <f t="shared" ref="L110" ca="1" si="230">+SUM(L108:L109)</f>
        <v>3898223.2648465252</v>
      </c>
      <c r="M110" s="129">
        <f t="shared" ref="M110" ca="1" si="231">+SUM(M108:M109)</f>
        <v>3993519.4589301893</v>
      </c>
      <c r="N110" s="129">
        <f t="shared" ref="N110" ca="1" si="232">+SUM(N108:N109)</f>
        <v>4047074.5008811951</v>
      </c>
      <c r="O110" s="129">
        <f t="shared" ref="O110" ca="1" si="233">+SUM(O108:O109)</f>
        <v>4102236.1940907314</v>
      </c>
      <c r="P110" s="129">
        <f t="shared" ref="P110" ca="1" si="234">+SUM(P108:P109)</f>
        <v>4203219.7659744862</v>
      </c>
      <c r="Q110" s="129">
        <f t="shared" ref="Q110" ca="1" si="235">+SUM(Q108:Q109)</f>
        <v>4261740.8063004827</v>
      </c>
      <c r="R110" s="129">
        <f t="shared" ref="R110" ca="1" si="236">+SUM(R108:R109)</f>
        <v>4322017.4778362596</v>
      </c>
      <c r="S110" s="129">
        <f t="shared" ref="S110" ca="1" si="237">+SUM(S108:S109)</f>
        <v>4429152.8179536015</v>
      </c>
      <c r="T110" s="129">
        <f t="shared" ref="T110" ca="1" si="238">+SUM(T108:T109)</f>
        <v>4493100.3387859073</v>
      </c>
      <c r="U110" s="129">
        <f t="shared" ref="U110" ca="1" si="239">+SUM(U108:U109)</f>
        <v>4558966.2852431815</v>
      </c>
      <c r="V110" s="129">
        <f t="shared" ref="V110" ca="1" si="240">+SUM(V108:V109)</f>
        <v>4672759.585898377</v>
      </c>
      <c r="W110" s="129">
        <f t="shared" ref="W110" ca="1" si="241">+SUM(W108:W109)</f>
        <v>4742636.7684949003</v>
      </c>
      <c r="X110" s="129">
        <f t="shared" ref="X110" ca="1" si="242">+SUM(X108:X109)</f>
        <v>4814610.2665693182</v>
      </c>
      <c r="Y110" s="129">
        <f t="shared" ref="Y110" ca="1" si="243">+SUM(Y108:Y109)</f>
        <v>4935613.3729062546</v>
      </c>
      <c r="Z110" s="129">
        <f t="shared" ref="Z110" ca="1" si="244">+SUM(Z108:Z109)</f>
        <v>5011970.0570134055</v>
      </c>
    </row>
    <row r="111" spans="2:26">
      <c r="B111" s="33"/>
    </row>
    <row r="112" spans="2:26" ht="15.5">
      <c r="B112" s="138" t="s">
        <v>233</v>
      </c>
      <c r="C112" s="138"/>
      <c r="D112" s="138"/>
      <c r="E112" s="138"/>
      <c r="F112" s="139">
        <f ca="1">+F106-F110</f>
        <v>0</v>
      </c>
      <c r="G112" s="139">
        <f t="shared" ref="G112:Z112" ca="1" si="245">+G106-G110</f>
        <v>0</v>
      </c>
      <c r="H112" s="139">
        <f t="shared" ca="1" si="245"/>
        <v>0</v>
      </c>
      <c r="I112" s="139">
        <f t="shared" ca="1" si="245"/>
        <v>2991619.2879024069</v>
      </c>
      <c r="J112" s="139">
        <f t="shared" ca="1" si="245"/>
        <v>5974235.0828567753</v>
      </c>
      <c r="K112" s="139">
        <f t="shared" ca="1" si="245"/>
        <v>5969334.037860998</v>
      </c>
      <c r="L112" s="139">
        <f t="shared" ca="1" si="245"/>
        <v>6599696.7903153496</v>
      </c>
      <c r="M112" s="139">
        <f t="shared" ca="1" si="245"/>
        <v>6590167.1709069833</v>
      </c>
      <c r="N112" s="139">
        <f t="shared" ca="1" si="245"/>
        <v>6584811.6667118818</v>
      </c>
      <c r="O112" s="139">
        <f t="shared" ca="1" si="245"/>
        <v>6579295.4973909277</v>
      </c>
      <c r="P112" s="139">
        <f t="shared" ca="1" si="245"/>
        <v>6569197.1402025521</v>
      </c>
      <c r="Q112" s="139">
        <f t="shared" ca="1" si="245"/>
        <v>7262296.9478499545</v>
      </c>
      <c r="R112" s="139">
        <f t="shared" ca="1" si="245"/>
        <v>7256269.2806963762</v>
      </c>
      <c r="S112" s="139">
        <f t="shared" ca="1" si="245"/>
        <v>7245555.7466846406</v>
      </c>
      <c r="T112" s="139">
        <f t="shared" ca="1" si="245"/>
        <v>7239160.9946014117</v>
      </c>
      <c r="U112" s="139">
        <f t="shared" ca="1" si="245"/>
        <v>7232574.3999556843</v>
      </c>
      <c r="V112" s="139">
        <f t="shared" ca="1" si="245"/>
        <v>7990042.1727381647</v>
      </c>
      <c r="W112" s="139">
        <f t="shared" ca="1" si="245"/>
        <v>7983054.4544785116</v>
      </c>
      <c r="X112" s="139">
        <f t="shared" ca="1" si="245"/>
        <v>7975857.1046710704</v>
      </c>
      <c r="Y112" s="139">
        <f t="shared" ca="1" si="245"/>
        <v>7963756.7940373775</v>
      </c>
      <c r="Z112" s="139">
        <f t="shared" ca="1" si="245"/>
        <v>7956121.1256266609</v>
      </c>
    </row>
    <row r="113" spans="2:26" ht="15.5">
      <c r="B113" s="143" t="s">
        <v>239</v>
      </c>
      <c r="C113" s="141"/>
      <c r="D113" s="141"/>
      <c r="E113" s="141"/>
      <c r="F113" s="144" t="str">
        <f ca="1">+IFERROR(F112/F106,"")</f>
        <v/>
      </c>
      <c r="G113" s="144" t="str">
        <f t="shared" ref="G113" ca="1" si="246">+IFERROR(G112/G106,"")</f>
        <v/>
      </c>
      <c r="H113" s="144" t="str">
        <f t="shared" ref="H113" ca="1" si="247">+IFERROR(H112/H106,"")</f>
        <v/>
      </c>
      <c r="I113" s="145">
        <f t="shared" ref="I113" ca="1" si="248">+IFERROR(I112/I106,"")</f>
        <v>0.61734195958292537</v>
      </c>
      <c r="J113" s="145">
        <f t="shared" ref="J113" ca="1" si="249">+IFERROR(J112/J106,"")</f>
        <v>0.61130207446373408</v>
      </c>
      <c r="K113" s="145">
        <f t="shared" ref="K113" ca="1" si="250">+IFERROR(K112/K106,"")</f>
        <v>0.60805617782383314</v>
      </c>
      <c r="L113" s="145">
        <f t="shared" ref="L113" ca="1" si="251">+IFERROR(L112/L106,"")</f>
        <v>0.62866708411160444</v>
      </c>
      <c r="M113" s="145">
        <f t="shared" ref="M113" ca="1" si="252">+IFERROR(M112/M106,"")</f>
        <v>0.62267217477208803</v>
      </c>
      <c r="N113" s="145">
        <f t="shared" ref="N113" ca="1" si="253">+IFERROR(N112/N106,"")</f>
        <v>0.6193455764023289</v>
      </c>
      <c r="O113" s="145">
        <f t="shared" ref="O113" ca="1" si="254">+IFERROR(O112/O106,"")</f>
        <v>0.61595056658754332</v>
      </c>
      <c r="P113" s="145">
        <f t="shared" ref="P113" ca="1" si="255">+IFERROR(P112/P106,"")</f>
        <v>0.60981645970605658</v>
      </c>
      <c r="Q113" s="145">
        <f t="shared" ref="Q113" ca="1" si="256">+IFERROR(Q112/Q106,"")</f>
        <v>0.6301868409997532</v>
      </c>
      <c r="R113" s="145">
        <f t="shared" ref="R113" ca="1" si="257">+IFERROR(R112/R106,"")</f>
        <v>0.62671355719781752</v>
      </c>
      <c r="S113" s="145">
        <f t="shared" ref="S113" ca="1" si="258">+IFERROR(S112/S106,"")</f>
        <v>0.62061983873677573</v>
      </c>
      <c r="T113" s="145">
        <f t="shared" ref="T113" ca="1" si="259">+IFERROR(T112/T106,"")</f>
        <v>0.6170303225347038</v>
      </c>
      <c r="U113" s="145">
        <f t="shared" ref="U113" ca="1" si="260">+IFERROR(U112/U106,"")</f>
        <v>0.61336975320233189</v>
      </c>
      <c r="V113" s="145">
        <f t="shared" ref="V113" ca="1" si="261">+IFERROR(V112/V106,"")</f>
        <v>0.63098533208013252</v>
      </c>
      <c r="W113" s="145">
        <f t="shared" ref="W113" ca="1" si="262">+IFERROR(W112/W106,"")</f>
        <v>0.62731794403960373</v>
      </c>
      <c r="X113" s="145">
        <f t="shared" ref="X113" ca="1" si="263">+IFERROR(X112/X106,"")</f>
        <v>0.62357823785274169</v>
      </c>
      <c r="Y113" s="145">
        <f t="shared" ref="Y113" ca="1" si="264">+IFERROR(Y112/Y106,"")</f>
        <v>0.61737563082309033</v>
      </c>
      <c r="Z113" s="145">
        <f t="shared" ref="Z113" ca="1" si="265">+IFERROR(Z112/Z106,"")</f>
        <v>0.61351520540488214</v>
      </c>
    </row>
    <row r="114" spans="2:26" ht="15.5">
      <c r="B114" s="143" t="s">
        <v>179</v>
      </c>
      <c r="C114" s="141"/>
      <c r="D114" s="141"/>
      <c r="E114" s="141"/>
      <c r="F114" s="142">
        <f ca="1">+F112/Assumptions!$N$133</f>
        <v>0</v>
      </c>
      <c r="G114" s="142">
        <f ca="1">+G112/Assumptions!$N$133</f>
        <v>0</v>
      </c>
      <c r="H114" s="142">
        <f ca="1">+H112/Assumptions!$N$133</f>
        <v>0</v>
      </c>
      <c r="I114" s="142">
        <f ca="1">+I112/Assumptions!$N$133</f>
        <v>46024912.12157549</v>
      </c>
      <c r="J114" s="142">
        <f ca="1">+J112/Assumptions!$N$133</f>
        <v>91911308.967027307</v>
      </c>
      <c r="K114" s="142">
        <f ca="1">+K112/Assumptions!$N$133</f>
        <v>91835908.27478458</v>
      </c>
      <c r="L114" s="142">
        <f ca="1">+L112/Assumptions!$N$133</f>
        <v>101533796.7740823</v>
      </c>
      <c r="M114" s="142">
        <f ca="1">+M112/Assumptions!$N$133</f>
        <v>101387187.24472281</v>
      </c>
      <c r="N114" s="142">
        <f ca="1">+N112/Assumptions!$N$133</f>
        <v>101304794.87249048</v>
      </c>
      <c r="O114" s="142">
        <f ca="1">+O112/Assumptions!$N$133</f>
        <v>101219930.7290912</v>
      </c>
      <c r="P114" s="142">
        <f ca="1">+P112/Assumptions!$N$133</f>
        <v>101064571.38773157</v>
      </c>
      <c r="Q114" s="142">
        <f ca="1">+Q112/Assumptions!$N$133</f>
        <v>111727645.35153776</v>
      </c>
      <c r="R114" s="142">
        <f ca="1">+R112/Assumptions!$N$133</f>
        <v>111634912.01071347</v>
      </c>
      <c r="S114" s="142">
        <f ca="1">+S112/Assumptions!$N$133</f>
        <v>111470088.41053294</v>
      </c>
      <c r="T114" s="142">
        <f ca="1">+T112/Assumptions!$N$133</f>
        <v>111371707.60925248</v>
      </c>
      <c r="U114" s="142">
        <f ca="1">+U112/Assumptions!$N$133</f>
        <v>111270375.3839336</v>
      </c>
      <c r="V114" s="142">
        <f ca="1">+V112/Assumptions!$N$133</f>
        <v>122923725.73443329</v>
      </c>
      <c r="W114" s="142">
        <f ca="1">+W112/Assumptions!$N$133</f>
        <v>122816222.37659249</v>
      </c>
      <c r="X114" s="142">
        <f ca="1">+X112/Assumptions!$N$133</f>
        <v>122705493.91801646</v>
      </c>
      <c r="Y114" s="142">
        <f ca="1">+Y112/Assumptions!$N$133</f>
        <v>122519335.29288273</v>
      </c>
      <c r="Z114" s="142">
        <f ca="1">+Z112/Assumptions!$N$133</f>
        <v>122401863.4711794</v>
      </c>
    </row>
    <row r="116" spans="2:26" ht="15.5">
      <c r="B116" s="148" t="s">
        <v>212</v>
      </c>
      <c r="C116" s="149"/>
      <c r="D116" s="149"/>
      <c r="E116" s="149"/>
      <c r="F116" s="150">
        <f>+Assumptions!$F$22</f>
        <v>44561</v>
      </c>
      <c r="G116" s="150">
        <f>+EOMONTH(F116,12)</f>
        <v>44926</v>
      </c>
      <c r="H116" s="150">
        <f t="shared" ref="H116:Z116" si="266">+EOMONTH(G116,12)</f>
        <v>45291</v>
      </c>
      <c r="I116" s="150">
        <f t="shared" si="266"/>
        <v>45657</v>
      </c>
      <c r="J116" s="150">
        <f t="shared" si="266"/>
        <v>46022</v>
      </c>
      <c r="K116" s="150">
        <f t="shared" si="266"/>
        <v>46387</v>
      </c>
      <c r="L116" s="150">
        <f t="shared" si="266"/>
        <v>46752</v>
      </c>
      <c r="M116" s="150">
        <f t="shared" si="266"/>
        <v>47118</v>
      </c>
      <c r="N116" s="150">
        <f t="shared" si="266"/>
        <v>47483</v>
      </c>
      <c r="O116" s="150">
        <f t="shared" si="266"/>
        <v>47848</v>
      </c>
      <c r="P116" s="150">
        <f t="shared" si="266"/>
        <v>48213</v>
      </c>
      <c r="Q116" s="150">
        <f t="shared" si="266"/>
        <v>48579</v>
      </c>
      <c r="R116" s="150">
        <f t="shared" si="266"/>
        <v>48944</v>
      </c>
      <c r="S116" s="150">
        <f t="shared" si="266"/>
        <v>49309</v>
      </c>
      <c r="T116" s="150">
        <f t="shared" si="266"/>
        <v>49674</v>
      </c>
      <c r="U116" s="150">
        <f t="shared" si="266"/>
        <v>50040</v>
      </c>
      <c r="V116" s="150">
        <f t="shared" si="266"/>
        <v>50405</v>
      </c>
      <c r="W116" s="150">
        <f t="shared" si="266"/>
        <v>50770</v>
      </c>
      <c r="X116" s="150">
        <f t="shared" si="266"/>
        <v>51135</v>
      </c>
      <c r="Y116" s="150">
        <f t="shared" si="266"/>
        <v>51501</v>
      </c>
      <c r="Z116" s="150">
        <f t="shared" si="266"/>
        <v>51866</v>
      </c>
    </row>
    <row r="117" spans="2:26">
      <c r="B117" s="33" t="s">
        <v>690</v>
      </c>
      <c r="C117" s="33"/>
      <c r="D117" s="40"/>
      <c r="E117" s="40"/>
      <c r="F117" s="42">
        <f>+IF(AND(F116&gt;=Assumptions!$F$26,F116&lt;Assumptions!$F$28),SUM(Assumptions!$F$204:$F$205)/ROUNDUP((Assumptions!$F$27/12),0),0)</f>
        <v>0</v>
      </c>
      <c r="G117" s="42">
        <f>+IF(AND(G116&gt;=Assumptions!$F$26,G116&lt;Assumptions!$F$28),SUM(Assumptions!$F$204:$F$205)/ROUNDUP((Assumptions!$F$27/12),0),0)</f>
        <v>0</v>
      </c>
      <c r="H117" s="42">
        <f>+IF(AND(H116&gt;=Assumptions!$F$26,H116&lt;Assumptions!$F$28),SUM(Assumptions!$F$204:$F$205)/ROUNDUP((Assumptions!$F$27/12),0),0)</f>
        <v>0</v>
      </c>
      <c r="I117" s="42">
        <f>+IF(AND(I116&gt;=Assumptions!$F$26,I116&lt;Assumptions!$F$28),SUM(Assumptions!$F$204:$F$205)/ROUNDUP((Assumptions!$F$27/12),0),0)</f>
        <v>122126</v>
      </c>
      <c r="J117" s="42">
        <f>+IF(AND(J116&gt;=Assumptions!$F$26,J116&lt;Assumptions!$F$28),SUM(Assumptions!$F$204:$F$205)/ROUNDUP((Assumptions!$F$27/12),0),0)</f>
        <v>122126</v>
      </c>
      <c r="K117" s="42">
        <f>+IF(AND(K116&gt;=Assumptions!$F$26,K116&lt;Assumptions!$F$28),SUM(Assumptions!$F$204:$F$205)/ROUNDUP((Assumptions!$F$27/12),0),0)</f>
        <v>0</v>
      </c>
      <c r="L117" s="42">
        <f>+IF(AND(L116&gt;=Assumptions!$F$26,L116&lt;Assumptions!$F$28),SUM(Assumptions!$F$204:$F$205)/ROUNDUP((Assumptions!$F$27/12),0),0)</f>
        <v>0</v>
      </c>
      <c r="M117" s="42">
        <f>+IF(AND(M116&gt;=Assumptions!$F$26,M116&lt;Assumptions!$F$28),SUM(Assumptions!$F$204:$F$205)/ROUNDUP((Assumptions!$F$27/12),0),0)</f>
        <v>0</v>
      </c>
      <c r="N117" s="42">
        <f>+IF(AND(N116&gt;=Assumptions!$F$26,N116&lt;Assumptions!$F$28),SUM(Assumptions!$F$204:$F$205)/ROUNDUP((Assumptions!$F$27/12),0),0)</f>
        <v>0</v>
      </c>
      <c r="O117" s="42">
        <f>+IF(AND(O116&gt;=Assumptions!$F$26,O116&lt;Assumptions!$F$28),SUM(Assumptions!$F$204:$F$205)/ROUNDUP((Assumptions!$F$27/12),0),0)</f>
        <v>0</v>
      </c>
      <c r="P117" s="42">
        <f>+IF(AND(P116&gt;=Assumptions!$F$26,P116&lt;Assumptions!$F$28),SUM(Assumptions!$F$204:$F$205)/ROUNDUP((Assumptions!$F$27/12),0),0)</f>
        <v>0</v>
      </c>
      <c r="Q117" s="42">
        <f>+IF(AND(Q116&gt;=Assumptions!$F$26,Q116&lt;Assumptions!$F$28),SUM(Assumptions!$F$204:$F$205)/ROUNDUP((Assumptions!$F$27/12),0),0)</f>
        <v>0</v>
      </c>
      <c r="R117" s="42">
        <f>+IF(AND(R116&gt;=Assumptions!$F$26,R116&lt;Assumptions!$F$28),SUM(Assumptions!$F$204:$F$205)/ROUNDUP((Assumptions!$F$27/12),0),0)</f>
        <v>0</v>
      </c>
      <c r="S117" s="42">
        <f>+IF(AND(S116&gt;=Assumptions!$F$26,S116&lt;Assumptions!$F$28),SUM(Assumptions!$F$204:$F$205)/ROUNDUP((Assumptions!$F$27/12),0),0)</f>
        <v>0</v>
      </c>
      <c r="T117" s="42">
        <f>+IF(AND(T116&gt;=Assumptions!$F$26,T116&lt;Assumptions!$F$28),SUM(Assumptions!$F$204:$F$205)/ROUNDUP((Assumptions!$F$27/12),0),0)</f>
        <v>0</v>
      </c>
      <c r="U117" s="42">
        <f>+IF(AND(U116&gt;=Assumptions!$F$26,U116&lt;Assumptions!$F$28),SUM(Assumptions!$F$204:$F$205)/ROUNDUP((Assumptions!$F$27/12),0),0)</f>
        <v>0</v>
      </c>
      <c r="V117" s="42">
        <f>+IF(AND(V116&gt;=Assumptions!$F$26,V116&lt;Assumptions!$F$28),SUM(Assumptions!$F$204:$F$205)/ROUNDUP((Assumptions!$F$27/12),0),0)</f>
        <v>0</v>
      </c>
      <c r="W117" s="42">
        <f>+IF(AND(W116&gt;=Assumptions!$F$26,W116&lt;Assumptions!$F$28),SUM(Assumptions!$F$204:$F$205)/ROUNDUP((Assumptions!$F$27/12),0),0)</f>
        <v>0</v>
      </c>
      <c r="X117" s="42">
        <f>+IF(AND(X116&gt;=Assumptions!$F$26,X116&lt;Assumptions!$F$28),SUM(Assumptions!$F$204:$F$205)/ROUNDUP((Assumptions!$F$27/12),0),0)</f>
        <v>0</v>
      </c>
      <c r="Y117" s="42">
        <f>+IF(AND(Y116&gt;=Assumptions!$F$26,Y116&lt;Assumptions!$F$28),SUM(Assumptions!$F$204:$F$205)/ROUNDUP((Assumptions!$F$27/12),0),0)</f>
        <v>0</v>
      </c>
      <c r="Z117" s="42">
        <f>+IF(AND(Z116&gt;=Assumptions!$F$26,Z116&lt;Assumptions!$F$28),SUM(Assumptions!$F$204:$F$205)/ROUNDUP((Assumptions!$F$27/12),0),0)</f>
        <v>0</v>
      </c>
    </row>
    <row r="118" spans="2:26">
      <c r="B118" s="33" t="s">
        <v>466</v>
      </c>
      <c r="C118" s="33"/>
      <c r="D118" s="42"/>
      <c r="E118" s="42"/>
      <c r="F118" s="42">
        <f>+F119-E119</f>
        <v>0</v>
      </c>
      <c r="G118" s="42">
        <f t="shared" ref="G118" si="267">+G119-F119</f>
        <v>0</v>
      </c>
      <c r="H118" s="42">
        <f t="shared" ref="H118" si="268">+H119-G119</f>
        <v>0</v>
      </c>
      <c r="I118" s="42">
        <f t="shared" ref="I118" si="269">+I119-H119</f>
        <v>407.08666666666664</v>
      </c>
      <c r="J118" s="42">
        <f t="shared" ref="J118" si="270">+J119-I119</f>
        <v>407.08666666666664</v>
      </c>
      <c r="K118" s="42">
        <f t="shared" ref="K118" si="271">+K119-J119</f>
        <v>0</v>
      </c>
      <c r="L118" s="42">
        <f t="shared" ref="L118" si="272">+L119-K119</f>
        <v>0</v>
      </c>
      <c r="M118" s="42">
        <f t="shared" ref="M118" si="273">+M119-L119</f>
        <v>0</v>
      </c>
      <c r="N118" s="42">
        <f t="shared" ref="N118" si="274">+N119-M119</f>
        <v>0</v>
      </c>
      <c r="O118" s="42">
        <f t="shared" ref="O118" si="275">+O119-N119</f>
        <v>0</v>
      </c>
      <c r="P118" s="42">
        <f t="shared" ref="P118" si="276">+P119-O119</f>
        <v>0</v>
      </c>
      <c r="Q118" s="42">
        <f t="shared" ref="Q118" si="277">+Q119-P119</f>
        <v>0</v>
      </c>
      <c r="R118" s="42">
        <f t="shared" ref="R118" si="278">+R119-Q119</f>
        <v>0</v>
      </c>
      <c r="S118" s="42">
        <f t="shared" ref="S118" si="279">+S119-R119</f>
        <v>0</v>
      </c>
      <c r="T118" s="42">
        <f t="shared" ref="T118" si="280">+T119-S119</f>
        <v>0</v>
      </c>
      <c r="U118" s="42">
        <f t="shared" ref="U118" si="281">+U119-T119</f>
        <v>0</v>
      </c>
      <c r="V118" s="42">
        <f t="shared" ref="V118" si="282">+V119-U119</f>
        <v>0</v>
      </c>
      <c r="W118" s="42">
        <f t="shared" ref="W118" si="283">+W119-V119</f>
        <v>0</v>
      </c>
      <c r="X118" s="42">
        <f t="shared" ref="X118" si="284">+X119-W119</f>
        <v>0</v>
      </c>
      <c r="Y118" s="42">
        <f t="shared" ref="Y118" si="285">+Y119-X119</f>
        <v>0</v>
      </c>
      <c r="Z118" s="42">
        <f t="shared" ref="Z118" si="286">+Z119-Y119</f>
        <v>0</v>
      </c>
    </row>
    <row r="119" spans="2:26">
      <c r="B119" s="33" t="s">
        <v>232</v>
      </c>
      <c r="C119" s="33"/>
      <c r="D119" s="40"/>
      <c r="E119" s="40"/>
      <c r="F119" s="42">
        <f>+F121*SUM(Assumptions!$N$49:$N$50)</f>
        <v>0</v>
      </c>
      <c r="G119" s="42">
        <f>+G121*SUM(Assumptions!$N$49:$N$50)</f>
        <v>0</v>
      </c>
      <c r="H119" s="42">
        <f>+H121*SUM(Assumptions!$N$49:$N$50)</f>
        <v>0</v>
      </c>
      <c r="I119" s="42">
        <f>+I121*SUM(Assumptions!$N$49:$N$50)</f>
        <v>407.08666666666664</v>
      </c>
      <c r="J119" s="42">
        <f>+J121*SUM(Assumptions!$N$49:$N$50)</f>
        <v>814.17333333333329</v>
      </c>
      <c r="K119" s="42">
        <f>+K121*SUM(Assumptions!$N$49:$N$50)</f>
        <v>814.17333333333329</v>
      </c>
      <c r="L119" s="42">
        <f>+L121*SUM(Assumptions!$N$49:$N$50)</f>
        <v>814.17333333333329</v>
      </c>
      <c r="M119" s="42">
        <f>+M121*SUM(Assumptions!$N$49:$N$50)</f>
        <v>814.17333333333329</v>
      </c>
      <c r="N119" s="42">
        <f>+N121*SUM(Assumptions!$N$49:$N$50)</f>
        <v>814.17333333333329</v>
      </c>
      <c r="O119" s="42">
        <f>+O121*SUM(Assumptions!$N$49:$N$50)</f>
        <v>814.17333333333329</v>
      </c>
      <c r="P119" s="42">
        <f>+P121*SUM(Assumptions!$N$49:$N$50)</f>
        <v>814.17333333333329</v>
      </c>
      <c r="Q119" s="42">
        <f>+Q121*SUM(Assumptions!$N$49:$N$50)</f>
        <v>814.17333333333329</v>
      </c>
      <c r="R119" s="42">
        <f>+R121*SUM(Assumptions!$N$49:$N$50)</f>
        <v>814.17333333333329</v>
      </c>
      <c r="S119" s="42">
        <f>+S121*SUM(Assumptions!$N$49:$N$50)</f>
        <v>814.17333333333329</v>
      </c>
      <c r="T119" s="42">
        <f>+T121*SUM(Assumptions!$N$49:$N$50)</f>
        <v>814.17333333333329</v>
      </c>
      <c r="U119" s="42">
        <f>+U121*SUM(Assumptions!$N$49:$N$50)</f>
        <v>814.17333333333329</v>
      </c>
      <c r="V119" s="42">
        <f>+V121*SUM(Assumptions!$N$49:$N$50)</f>
        <v>814.17333333333329</v>
      </c>
      <c r="W119" s="42">
        <f>+W121*SUM(Assumptions!$N$49:$N$50)</f>
        <v>814.17333333333329</v>
      </c>
      <c r="X119" s="42">
        <f>+X121*SUM(Assumptions!$N$49:$N$50)</f>
        <v>814.17333333333329</v>
      </c>
      <c r="Y119" s="42">
        <f>+Y121*SUM(Assumptions!$N$49:$N$50)</f>
        <v>814.17333333333329</v>
      </c>
      <c r="Z119" s="42">
        <f>+Z121*SUM(Assumptions!$N$49:$N$50)</f>
        <v>814.17333333333329</v>
      </c>
    </row>
    <row r="120" spans="2:26">
      <c r="B120" s="33" t="s">
        <v>231</v>
      </c>
      <c r="C120" s="33"/>
      <c r="D120" s="42">
        <v>0</v>
      </c>
      <c r="E120" s="42"/>
      <c r="F120" s="42">
        <f>+D120+F117</f>
        <v>0</v>
      </c>
      <c r="G120" s="42">
        <f t="shared" ref="G120:Z120" si="287">+F120+G117</f>
        <v>0</v>
      </c>
      <c r="H120" s="42">
        <f t="shared" si="287"/>
        <v>0</v>
      </c>
      <c r="I120" s="42">
        <f t="shared" si="287"/>
        <v>122126</v>
      </c>
      <c r="J120" s="42">
        <f t="shared" si="287"/>
        <v>244252</v>
      </c>
      <c r="K120" s="42">
        <f t="shared" si="287"/>
        <v>244252</v>
      </c>
      <c r="L120" s="42">
        <f t="shared" si="287"/>
        <v>244252</v>
      </c>
      <c r="M120" s="42">
        <f t="shared" si="287"/>
        <v>244252</v>
      </c>
      <c r="N120" s="42">
        <f t="shared" si="287"/>
        <v>244252</v>
      </c>
      <c r="O120" s="42">
        <f t="shared" si="287"/>
        <v>244252</v>
      </c>
      <c r="P120" s="42">
        <f t="shared" si="287"/>
        <v>244252</v>
      </c>
      <c r="Q120" s="42">
        <f t="shared" si="287"/>
        <v>244252</v>
      </c>
      <c r="R120" s="42">
        <f t="shared" si="287"/>
        <v>244252</v>
      </c>
      <c r="S120" s="42">
        <f t="shared" si="287"/>
        <v>244252</v>
      </c>
      <c r="T120" s="42">
        <f t="shared" si="287"/>
        <v>244252</v>
      </c>
      <c r="U120" s="42">
        <f t="shared" si="287"/>
        <v>244252</v>
      </c>
      <c r="V120" s="42">
        <f t="shared" si="287"/>
        <v>244252</v>
      </c>
      <c r="W120" s="42">
        <f t="shared" si="287"/>
        <v>244252</v>
      </c>
      <c r="X120" s="42">
        <f t="shared" si="287"/>
        <v>244252</v>
      </c>
      <c r="Y120" s="42">
        <f t="shared" si="287"/>
        <v>244252</v>
      </c>
      <c r="Z120" s="42">
        <f t="shared" si="287"/>
        <v>244252</v>
      </c>
    </row>
    <row r="121" spans="2:26">
      <c r="B121" s="33" t="s">
        <v>285</v>
      </c>
      <c r="C121" s="33"/>
      <c r="D121" s="42"/>
      <c r="E121" s="42"/>
      <c r="F121" s="108">
        <f t="shared" ref="F121:Z121" si="288">+F120/SUM($F117:$Z117)</f>
        <v>0</v>
      </c>
      <c r="G121" s="108">
        <f t="shared" si="288"/>
        <v>0</v>
      </c>
      <c r="H121" s="108">
        <f t="shared" si="288"/>
        <v>0</v>
      </c>
      <c r="I121" s="108">
        <f t="shared" si="288"/>
        <v>0.5</v>
      </c>
      <c r="J121" s="108">
        <f t="shared" si="288"/>
        <v>1</v>
      </c>
      <c r="K121" s="108">
        <f t="shared" si="288"/>
        <v>1</v>
      </c>
      <c r="L121" s="108">
        <f t="shared" si="288"/>
        <v>1</v>
      </c>
      <c r="M121" s="108">
        <f t="shared" si="288"/>
        <v>1</v>
      </c>
      <c r="N121" s="108">
        <f t="shared" si="288"/>
        <v>1</v>
      </c>
      <c r="O121" s="108">
        <f t="shared" si="288"/>
        <v>1</v>
      </c>
      <c r="P121" s="108">
        <f t="shared" si="288"/>
        <v>1</v>
      </c>
      <c r="Q121" s="108">
        <f t="shared" si="288"/>
        <v>1</v>
      </c>
      <c r="R121" s="108">
        <f t="shared" si="288"/>
        <v>1</v>
      </c>
      <c r="S121" s="108">
        <f t="shared" si="288"/>
        <v>1</v>
      </c>
      <c r="T121" s="108">
        <f t="shared" si="288"/>
        <v>1</v>
      </c>
      <c r="U121" s="108">
        <f t="shared" si="288"/>
        <v>1</v>
      </c>
      <c r="V121" s="108">
        <f t="shared" si="288"/>
        <v>1</v>
      </c>
      <c r="W121" s="108">
        <f t="shared" si="288"/>
        <v>1</v>
      </c>
      <c r="X121" s="108">
        <f t="shared" si="288"/>
        <v>1</v>
      </c>
      <c r="Y121" s="108">
        <f t="shared" si="288"/>
        <v>1</v>
      </c>
      <c r="Z121" s="108">
        <f t="shared" si="288"/>
        <v>1</v>
      </c>
    </row>
    <row r="122" spans="2:26">
      <c r="B122" s="33"/>
      <c r="C122" s="33"/>
      <c r="D122" s="40"/>
      <c r="E122" s="40"/>
      <c r="F122" s="34"/>
      <c r="G122" s="34"/>
      <c r="H122" s="34"/>
      <c r="I122" s="34"/>
      <c r="J122" s="34"/>
      <c r="K122" s="34"/>
      <c r="L122" s="34"/>
      <c r="M122" s="34"/>
      <c r="N122" s="34"/>
      <c r="O122" s="34"/>
      <c r="P122" s="34"/>
      <c r="Q122" s="34"/>
      <c r="R122" s="34"/>
      <c r="S122" s="34"/>
      <c r="T122" s="34"/>
      <c r="U122" s="34"/>
      <c r="V122" s="34"/>
      <c r="W122" s="34"/>
      <c r="X122" s="34"/>
      <c r="Y122" s="34"/>
      <c r="Z122" s="34"/>
    </row>
    <row r="123" spans="2:26">
      <c r="B123" s="33" t="s">
        <v>236</v>
      </c>
      <c r="C123" s="33"/>
      <c r="D123" s="42"/>
      <c r="E123" s="42"/>
      <c r="F123" s="108">
        <v>1</v>
      </c>
      <c r="G123" s="108">
        <f>+F123*(1+Assumptions!$N$74)</f>
        <v>1.02</v>
      </c>
      <c r="H123" s="108">
        <f>+G123*(1+Assumptions!$N$74)</f>
        <v>1.0404</v>
      </c>
      <c r="I123" s="108">
        <f>+H123*(1+Assumptions!$N$74)</f>
        <v>1.0612079999999999</v>
      </c>
      <c r="J123" s="108">
        <f>+I123*(1+Assumptions!$N$74)</f>
        <v>1.08243216</v>
      </c>
      <c r="K123" s="108">
        <f>+J123*(1+Assumptions!$N$74)</f>
        <v>1.1040808032</v>
      </c>
      <c r="L123" s="108">
        <f>+K123*(1+Assumptions!$N$74)</f>
        <v>1.1261624192640001</v>
      </c>
      <c r="M123" s="108">
        <f>+L123*(1+Assumptions!$N$74)</f>
        <v>1.14868566764928</v>
      </c>
      <c r="N123" s="108">
        <f>+M123*(1+Assumptions!$N$74)</f>
        <v>1.1716593810022657</v>
      </c>
      <c r="O123" s="108">
        <f>+N123*(1+Assumptions!$N$74)</f>
        <v>1.1950925686223111</v>
      </c>
      <c r="P123" s="108">
        <f>+O123*(1+Assumptions!$N$74)</f>
        <v>1.2189944199947573</v>
      </c>
      <c r="Q123" s="108">
        <f>+P123*(1+Assumptions!$N$74)</f>
        <v>1.2433743083946525</v>
      </c>
      <c r="R123" s="108">
        <f>+Q123*(1+Assumptions!$N$74)</f>
        <v>1.2682417945625455</v>
      </c>
      <c r="S123" s="108">
        <f>+R123*(1+Assumptions!$N$74)</f>
        <v>1.2936066304537963</v>
      </c>
      <c r="T123" s="108">
        <f>+S123*(1+Assumptions!$N$74)</f>
        <v>1.3194787630628724</v>
      </c>
      <c r="U123" s="108">
        <f>+T123*(1+Assumptions!$N$74)</f>
        <v>1.3458683383241299</v>
      </c>
      <c r="V123" s="108">
        <f>+U123*(1+Assumptions!$N$74)</f>
        <v>1.3727857050906125</v>
      </c>
      <c r="W123" s="108">
        <f>+V123*(1+Assumptions!$N$74)</f>
        <v>1.4002414191924248</v>
      </c>
      <c r="X123" s="108">
        <f>+W123*(1+Assumptions!$N$74)</f>
        <v>1.4282462475762734</v>
      </c>
      <c r="Y123" s="108">
        <f>+X123*(1+Assumptions!$N$74)</f>
        <v>1.4568111725277988</v>
      </c>
      <c r="Z123" s="108">
        <f>+Y123*(1+Assumptions!$N$74)</f>
        <v>1.4859473959783549</v>
      </c>
    </row>
    <row r="124" spans="2:26">
      <c r="B124" s="33" t="s">
        <v>237</v>
      </c>
      <c r="C124" s="33"/>
      <c r="D124" s="42"/>
      <c r="E124" s="42"/>
      <c r="F124" s="108">
        <v>1</v>
      </c>
      <c r="G124" s="108">
        <f>+F124*(1+Assumptions!$N$82)</f>
        <v>1.03</v>
      </c>
      <c r="H124" s="108">
        <f>+G124*(1+Assumptions!$N$82)</f>
        <v>1.0609</v>
      </c>
      <c r="I124" s="108">
        <f>+H124*(1+Assumptions!$N$82)</f>
        <v>1.092727</v>
      </c>
      <c r="J124" s="108">
        <f>+I124*(1+Assumptions!$N$82)</f>
        <v>1.1255088100000001</v>
      </c>
      <c r="K124" s="108">
        <f>+J124*(1+Assumptions!$N$82)</f>
        <v>1.1592740743000001</v>
      </c>
      <c r="L124" s="108">
        <f>+K124*(1+Assumptions!$N$82)</f>
        <v>1.1940522965290001</v>
      </c>
      <c r="M124" s="108">
        <f>+L124*(1+Assumptions!$N$82)</f>
        <v>1.2298738654248702</v>
      </c>
      <c r="N124" s="108">
        <f>+M124*(1+Assumptions!$N$82)</f>
        <v>1.2667700813876164</v>
      </c>
      <c r="O124" s="108">
        <f>+N124*(1+Assumptions!$N$82)</f>
        <v>1.3047731838292449</v>
      </c>
      <c r="P124" s="108">
        <f>+O124*(1+Assumptions!$N$82)</f>
        <v>1.3439163793441222</v>
      </c>
      <c r="Q124" s="108">
        <f>+P124*(1+Assumptions!$N$82)</f>
        <v>1.3842338707244459</v>
      </c>
      <c r="R124" s="108">
        <f>+Q124*(1+Assumptions!$N$82)</f>
        <v>1.4257608868461793</v>
      </c>
      <c r="S124" s="108">
        <f>+R124*(1+Assumptions!$N$82)</f>
        <v>1.4685337134515648</v>
      </c>
      <c r="T124" s="108">
        <f>+S124*(1+Assumptions!$N$82)</f>
        <v>1.5125897248551119</v>
      </c>
      <c r="U124" s="108">
        <f>+T124*(1+Assumptions!$N$82)</f>
        <v>1.5579674166007653</v>
      </c>
      <c r="V124" s="108">
        <f>+U124*(1+Assumptions!$N$82)</f>
        <v>1.6047064390987884</v>
      </c>
      <c r="W124" s="108">
        <f>+V124*(1+Assumptions!$N$82)</f>
        <v>1.652847632271752</v>
      </c>
      <c r="X124" s="108">
        <f>+W124*(1+Assumptions!$N$82)</f>
        <v>1.7024330612399046</v>
      </c>
      <c r="Y124" s="108">
        <f>+X124*(1+Assumptions!$N$82)</f>
        <v>1.7535060530771018</v>
      </c>
      <c r="Z124" s="108">
        <f>+Y124*(1+Assumptions!$N$82)</f>
        <v>1.806111234669415</v>
      </c>
    </row>
    <row r="125" spans="2:26">
      <c r="B125" s="33"/>
      <c r="C125" s="33"/>
      <c r="D125" s="40"/>
      <c r="E125" s="40"/>
      <c r="F125" s="34"/>
      <c r="G125" s="34"/>
      <c r="H125" s="34"/>
      <c r="I125" s="34"/>
      <c r="J125" s="34"/>
      <c r="K125" s="34"/>
      <c r="L125" s="34"/>
      <c r="M125" s="34"/>
      <c r="N125" s="34"/>
      <c r="O125" s="34"/>
      <c r="P125" s="34"/>
      <c r="Q125" s="34"/>
      <c r="R125" s="34"/>
      <c r="S125" s="34"/>
      <c r="T125" s="34"/>
      <c r="U125" s="34"/>
      <c r="V125" s="34"/>
      <c r="W125" s="34"/>
      <c r="X125" s="34"/>
      <c r="Y125" s="34"/>
      <c r="Z125" s="34"/>
    </row>
    <row r="126" spans="2:26">
      <c r="B126" s="33" t="s">
        <v>228</v>
      </c>
      <c r="C126" s="33"/>
      <c r="D126" s="40"/>
      <c r="E126" s="40"/>
      <c r="F126" s="34">
        <f>+F121*Assumptions!$F$203*F123</f>
        <v>0</v>
      </c>
      <c r="G126" s="34">
        <f>+G121*Assumptions!$F$203*G123</f>
        <v>0</v>
      </c>
      <c r="H126" s="34">
        <f>+H121*Assumptions!$F$203*H123</f>
        <v>0</v>
      </c>
      <c r="I126" s="34">
        <f>+I121*Assumptions!$F$203*I123</f>
        <v>345056.02603199997</v>
      </c>
      <c r="J126" s="34">
        <f>+J121*Assumptions!$F$203*J123</f>
        <v>703914.29310528003</v>
      </c>
      <c r="K126" s="34">
        <f>+K121*Assumptions!$F$203*K123</f>
        <v>717992.57896738558</v>
      </c>
      <c r="L126" s="34">
        <f>+L121*Assumptions!$F$203*L123</f>
        <v>732352.43054673332</v>
      </c>
      <c r="M126" s="34">
        <f>+M121*Assumptions!$F$203*M123</f>
        <v>746999.47915766796</v>
      </c>
      <c r="N126" s="34">
        <f>+N121*Assumptions!$F$203*N123</f>
        <v>761939.46874082147</v>
      </c>
      <c r="O126" s="34">
        <f>+O121*Assumptions!$F$203*O123</f>
        <v>777178.25811563781</v>
      </c>
      <c r="P126" s="34">
        <f>+P121*Assumptions!$F$203*P123</f>
        <v>792721.82327795064</v>
      </c>
      <c r="Q126" s="34">
        <f>+Q121*Assumptions!$F$203*Q123</f>
        <v>808576.2597435097</v>
      </c>
      <c r="R126" s="34">
        <f>+R121*Assumptions!$F$203*R123</f>
        <v>824747.78493837989</v>
      </c>
      <c r="S126" s="34">
        <f>+S121*Assumptions!$F$203*S123</f>
        <v>841242.74063714733</v>
      </c>
      <c r="T126" s="34">
        <f>+T121*Assumptions!$F$203*T123</f>
        <v>858067.59544989036</v>
      </c>
      <c r="U126" s="34">
        <f>+U121*Assumptions!$F$203*U123</f>
        <v>875228.94735888822</v>
      </c>
      <c r="V126" s="34">
        <f>+V121*Assumptions!$F$203*V123</f>
        <v>892733.52630606608</v>
      </c>
      <c r="W126" s="34">
        <f>+W121*Assumptions!$F$203*W123</f>
        <v>910588.19683218736</v>
      </c>
      <c r="X126" s="34">
        <f>+X121*Assumptions!$F$203*X123</f>
        <v>928799.9607688312</v>
      </c>
      <c r="Y126" s="34">
        <f>+Y121*Assumptions!$F$203*Y123</f>
        <v>947375.95998420776</v>
      </c>
      <c r="Z126" s="34">
        <f>+Z121*Assumptions!$F$203*Z123</f>
        <v>966323.47918389202</v>
      </c>
    </row>
    <row r="127" spans="2:26">
      <c r="B127" s="33" t="s">
        <v>229</v>
      </c>
      <c r="C127" s="33"/>
      <c r="D127" s="40"/>
      <c r="E127" s="40"/>
      <c r="F127" s="42">
        <f>-F126*Assumptions!$N$60</f>
        <v>0</v>
      </c>
      <c r="G127" s="42">
        <f>-G126*Assumptions!$N$60</f>
        <v>0</v>
      </c>
      <c r="H127" s="42">
        <f>-H126*Assumptions!$N$60</f>
        <v>0</v>
      </c>
      <c r="I127" s="42">
        <f>-I126*Assumptions!$N$60</f>
        <v>-34505.602603200001</v>
      </c>
      <c r="J127" s="42">
        <f>-J126*Assumptions!$N$60</f>
        <v>-70391.429310528009</v>
      </c>
      <c r="K127" s="42">
        <f>-K126*Assumptions!$N$60</f>
        <v>-71799.257896738563</v>
      </c>
      <c r="L127" s="42">
        <f>-L126*Assumptions!$N$60</f>
        <v>-73235.243054673338</v>
      </c>
      <c r="M127" s="42">
        <f>-M126*Assumptions!$N$60</f>
        <v>-74699.947915766796</v>
      </c>
      <c r="N127" s="42">
        <f>-N126*Assumptions!$N$60</f>
        <v>-76193.946874082147</v>
      </c>
      <c r="O127" s="42">
        <f>-O126*Assumptions!$N$60</f>
        <v>-77717.825811563787</v>
      </c>
      <c r="P127" s="42">
        <f>-P126*Assumptions!$N$60</f>
        <v>-79272.182327795075</v>
      </c>
      <c r="Q127" s="42">
        <f>-Q126*Assumptions!$N$60</f>
        <v>-80857.625974350973</v>
      </c>
      <c r="R127" s="42">
        <f>-R126*Assumptions!$N$60</f>
        <v>-82474.778493837992</v>
      </c>
      <c r="S127" s="42">
        <f>-S126*Assumptions!$N$60</f>
        <v>-84124.274063714736</v>
      </c>
      <c r="T127" s="42">
        <f>-T126*Assumptions!$N$60</f>
        <v>-85806.759544989036</v>
      </c>
      <c r="U127" s="42">
        <f>-U126*Assumptions!$N$60</f>
        <v>-87522.894735888825</v>
      </c>
      <c r="V127" s="42">
        <f>-V126*Assumptions!$N$60</f>
        <v>-89273.35263060662</v>
      </c>
      <c r="W127" s="42">
        <f>-W126*Assumptions!$N$60</f>
        <v>-91058.819683218739</v>
      </c>
      <c r="X127" s="42">
        <f>-X126*Assumptions!$N$60</f>
        <v>-92879.996076883122</v>
      </c>
      <c r="Y127" s="42">
        <f>-Y126*Assumptions!$N$60</f>
        <v>-94737.595998420788</v>
      </c>
      <c r="Z127" s="42">
        <f>-Z126*Assumptions!$N$60</f>
        <v>-96632.347918389205</v>
      </c>
    </row>
    <row r="128" spans="2:26">
      <c r="B128" s="137" t="s">
        <v>238</v>
      </c>
      <c r="C128" s="137"/>
      <c r="D128" s="137"/>
      <c r="E128" s="137"/>
      <c r="F128" s="129">
        <f t="shared" ref="F128:Z128" si="289">+SUM(F126:F127)</f>
        <v>0</v>
      </c>
      <c r="G128" s="129">
        <f t="shared" si="289"/>
        <v>0</v>
      </c>
      <c r="H128" s="129">
        <f t="shared" si="289"/>
        <v>0</v>
      </c>
      <c r="I128" s="129">
        <f t="shared" si="289"/>
        <v>310550.42342879996</v>
      </c>
      <c r="J128" s="129">
        <f t="shared" si="289"/>
        <v>633522.86379475205</v>
      </c>
      <c r="K128" s="129">
        <f t="shared" si="289"/>
        <v>646193.32107064698</v>
      </c>
      <c r="L128" s="129">
        <f t="shared" si="289"/>
        <v>659117.18749206001</v>
      </c>
      <c r="M128" s="129">
        <f t="shared" si="289"/>
        <v>672299.53124190122</v>
      </c>
      <c r="N128" s="129">
        <f t="shared" si="289"/>
        <v>685745.52186673926</v>
      </c>
      <c r="O128" s="129">
        <f t="shared" si="289"/>
        <v>699460.43230407406</v>
      </c>
      <c r="P128" s="129">
        <f t="shared" si="289"/>
        <v>713449.64095015556</v>
      </c>
      <c r="Q128" s="129">
        <f t="shared" si="289"/>
        <v>727718.63376915874</v>
      </c>
      <c r="R128" s="129">
        <f t="shared" si="289"/>
        <v>742273.00644454185</v>
      </c>
      <c r="S128" s="129">
        <f t="shared" si="289"/>
        <v>757118.46657343255</v>
      </c>
      <c r="T128" s="129">
        <f t="shared" si="289"/>
        <v>772260.83590490138</v>
      </c>
      <c r="U128" s="129">
        <f t="shared" si="289"/>
        <v>787706.05262299941</v>
      </c>
      <c r="V128" s="129">
        <f t="shared" si="289"/>
        <v>803460.17367545946</v>
      </c>
      <c r="W128" s="129">
        <f t="shared" si="289"/>
        <v>819529.37714896863</v>
      </c>
      <c r="X128" s="129">
        <f t="shared" si="289"/>
        <v>835919.96469194803</v>
      </c>
      <c r="Y128" s="129">
        <f t="shared" si="289"/>
        <v>852638.36398578691</v>
      </c>
      <c r="Z128" s="129">
        <f t="shared" si="289"/>
        <v>869691.13126550277</v>
      </c>
    </row>
    <row r="130" spans="2:26">
      <c r="B130" s="33" t="s">
        <v>371</v>
      </c>
      <c r="F130" s="34">
        <f>+F119*Assumptions!$N$97*'Phase I Pro Forma'!F124</f>
        <v>0</v>
      </c>
      <c r="G130" s="34">
        <f>+G119*Assumptions!$N$97*'Phase I Pro Forma'!G124</f>
        <v>0</v>
      </c>
      <c r="H130" s="34">
        <f>+H119*Assumptions!$N$97*'Phase I Pro Forma'!H124</f>
        <v>0</v>
      </c>
      <c r="I130" s="34">
        <f>+I119*Assumptions!$N$97*'Phase I Pro Forma'!I124</f>
        <v>222417.29600333332</v>
      </c>
      <c r="J130" s="34">
        <f>+J119*Assumptions!$N$97*'Phase I Pro Forma'!J124</f>
        <v>458179.62976686668</v>
      </c>
      <c r="K130" s="34">
        <f>+K119*Assumptions!$N$97*'Phase I Pro Forma'!K124</f>
        <v>471925.01865987264</v>
      </c>
      <c r="L130" s="34">
        <f>+L119*Assumptions!$N$97*'Phase I Pro Forma'!L124</f>
        <v>486082.76921966887</v>
      </c>
      <c r="M130" s="34">
        <f>+M119*Assumptions!$N$97*'Phase I Pro Forma'!M124</f>
        <v>500665.25229625893</v>
      </c>
      <c r="N130" s="34">
        <f>+N119*Assumptions!$N$97*'Phase I Pro Forma'!N124</f>
        <v>515685.20986514672</v>
      </c>
      <c r="O130" s="34">
        <f>+O119*Assumptions!$N$97*'Phase I Pro Forma'!O124</f>
        <v>531155.76616110117</v>
      </c>
      <c r="P130" s="34">
        <f>+P119*Assumptions!$N$97*'Phase I Pro Forma'!P124</f>
        <v>547090.43914593419</v>
      </c>
      <c r="Q130" s="34">
        <f>+Q119*Assumptions!$N$97*'Phase I Pro Forma'!Q124</f>
        <v>563503.15232031222</v>
      </c>
      <c r="R130" s="34">
        <f>+R119*Assumptions!$N$97*'Phase I Pro Forma'!R124</f>
        <v>580408.2468899216</v>
      </c>
      <c r="S130" s="34">
        <f>+S119*Assumptions!$N$97*'Phase I Pro Forma'!S124</f>
        <v>597820.49429661932</v>
      </c>
      <c r="T130" s="34">
        <f>+T119*Assumptions!$N$97*'Phase I Pro Forma'!T124</f>
        <v>615755.10912551789</v>
      </c>
      <c r="U130" s="34">
        <f>+U119*Assumptions!$N$97*'Phase I Pro Forma'!U124</f>
        <v>634227.76239928347</v>
      </c>
      <c r="V130" s="34">
        <f>+V119*Assumptions!$N$97*'Phase I Pro Forma'!V124</f>
        <v>653254.59527126199</v>
      </c>
      <c r="W130" s="34">
        <f>+W119*Assumptions!$N$97*'Phase I Pro Forma'!W124</f>
        <v>672852.23312939995</v>
      </c>
      <c r="X130" s="34">
        <f>+X119*Assumptions!$N$97*'Phase I Pro Forma'!X124</f>
        <v>693037.80012328189</v>
      </c>
      <c r="Y130" s="34">
        <f>+Y119*Assumptions!$N$97*'Phase I Pro Forma'!Y124</f>
        <v>713828.93412698037</v>
      </c>
      <c r="Z130" s="34">
        <f>+Z119*Assumptions!$N$97*'Phase I Pro Forma'!Z124</f>
        <v>735243.80215078988</v>
      </c>
    </row>
    <row r="131" spans="2:26">
      <c r="B131" s="33" t="s">
        <v>308</v>
      </c>
      <c r="F131" s="151">
        <f ca="1">+IFERROR(IFERROR(INDEX('Taxes and TIF'!$M$11:$M$45,MATCH('Phase I Pro Forma'!F$7,'Taxes and TIF'!$B$11:$B$45,0)),0)*'Loan Sizing'!$I$20*F121,0)</f>
        <v>0</v>
      </c>
      <c r="G131" s="151">
        <f ca="1">+IFERROR(IFERROR(INDEX('Taxes and TIF'!$M$11:$M$45,MATCH('Phase I Pro Forma'!G$7,'Taxes and TIF'!$B$11:$B$45,0)),0)*'Loan Sizing'!$I$20*G121,0)</f>
        <v>0</v>
      </c>
      <c r="H131" s="151">
        <f ca="1">+IFERROR(IFERROR(INDEX('Taxes and TIF'!$M$11:$M$45,MATCH('Phase I Pro Forma'!H$7,'Taxes and TIF'!$B$11:$B$45,0)),0)*'Loan Sizing'!$I$20*H121,0)</f>
        <v>0</v>
      </c>
      <c r="I131" s="151">
        <f ca="1">+IFERROR(IFERROR(INDEX('Taxes and TIF'!$M$11:$M$45,MATCH('Phase I Pro Forma'!I$7,'Taxes and TIF'!$B$11:$B$45,0)),0)*'Loan Sizing'!$I$20*I121,0)</f>
        <v>22736.915523675834</v>
      </c>
      <c r="J131" s="151">
        <f ca="1">+IFERROR(IFERROR(INDEX('Taxes and TIF'!$M$11:$M$45,MATCH('Phase I Pro Forma'!J$7,'Taxes and TIF'!$B$11:$B$45,0)),0)*'Loan Sizing'!$I$20*J121,0)</f>
        <v>46383.307668298694</v>
      </c>
      <c r="K131" s="151">
        <f ca="1">+IFERROR(IFERROR(INDEX('Taxes and TIF'!$M$11:$M$45,MATCH('Phase I Pro Forma'!K$7,'Taxes and TIF'!$B$11:$B$45,0)),0)*'Loan Sizing'!$I$20*K121,0)</f>
        <v>46383.307668298694</v>
      </c>
      <c r="L131" s="151">
        <f ca="1">+IFERROR(IFERROR(INDEX('Taxes and TIF'!$M$11:$M$45,MATCH('Phase I Pro Forma'!L$7,'Taxes and TIF'!$B$11:$B$45,0)),0)*'Loan Sizing'!$I$20*L121,0)</f>
        <v>46383.307668298694</v>
      </c>
      <c r="M131" s="151">
        <f ca="1">+IFERROR(IFERROR(INDEX('Taxes and TIF'!$M$11:$M$45,MATCH('Phase I Pro Forma'!M$7,'Taxes and TIF'!$B$11:$B$45,0)),0)*'Loan Sizing'!$I$20*M121,0)</f>
        <v>47310.973821664673</v>
      </c>
      <c r="N131" s="151">
        <f ca="1">+IFERROR(IFERROR(INDEX('Taxes and TIF'!$M$11:$M$45,MATCH('Phase I Pro Forma'!N$7,'Taxes and TIF'!$B$11:$B$45,0)),0)*'Loan Sizing'!$I$20*N121,0)</f>
        <v>47310.973821664673</v>
      </c>
      <c r="O131" s="151">
        <f ca="1">+IFERROR(IFERROR(INDEX('Taxes and TIF'!$M$11:$M$45,MATCH('Phase I Pro Forma'!O$7,'Taxes and TIF'!$B$11:$B$45,0)),0)*'Loan Sizing'!$I$20*O121,0)</f>
        <v>47310.973821664673</v>
      </c>
      <c r="P131" s="151">
        <f ca="1">+IFERROR(IFERROR(INDEX('Taxes and TIF'!$M$11:$M$45,MATCH('Phase I Pro Forma'!P$7,'Taxes and TIF'!$B$11:$B$45,0)),0)*'Loan Sizing'!$I$20*P121,0)</f>
        <v>48257.193298097962</v>
      </c>
      <c r="Q131" s="151">
        <f ca="1">+IFERROR(IFERROR(INDEX('Taxes and TIF'!$M$11:$M$45,MATCH('Phase I Pro Forma'!Q$7,'Taxes and TIF'!$B$11:$B$45,0)),0)*'Loan Sizing'!$I$20*Q121,0)</f>
        <v>48257.193298097962</v>
      </c>
      <c r="R131" s="151">
        <f ca="1">+IFERROR(IFERROR(INDEX('Taxes and TIF'!$M$11:$M$45,MATCH('Phase I Pro Forma'!R$7,'Taxes and TIF'!$B$11:$B$45,0)),0)*'Loan Sizing'!$I$20*R121,0)</f>
        <v>48257.193298097962</v>
      </c>
      <c r="S131" s="151">
        <f ca="1">+IFERROR(IFERROR(INDEX('Taxes and TIF'!$M$11:$M$45,MATCH('Phase I Pro Forma'!S$7,'Taxes and TIF'!$B$11:$B$45,0)),0)*'Loan Sizing'!$I$20*S121,0)</f>
        <v>49222.337164059922</v>
      </c>
      <c r="T131" s="151">
        <f ca="1">+IFERROR(IFERROR(INDEX('Taxes and TIF'!$M$11:$M$45,MATCH('Phase I Pro Forma'!T$7,'Taxes and TIF'!$B$11:$B$45,0)),0)*'Loan Sizing'!$I$20*T121,0)</f>
        <v>49222.337164059922</v>
      </c>
      <c r="U131" s="151">
        <f ca="1">+IFERROR(IFERROR(INDEX('Taxes and TIF'!$M$11:$M$45,MATCH('Phase I Pro Forma'!U$7,'Taxes and TIF'!$B$11:$B$45,0)),0)*'Loan Sizing'!$I$20*U121,0)</f>
        <v>49222.337164059922</v>
      </c>
      <c r="V131" s="151">
        <f ca="1">+IFERROR(IFERROR(INDEX('Taxes and TIF'!$M$11:$M$45,MATCH('Phase I Pro Forma'!V$7,'Taxes and TIF'!$B$11:$B$45,0)),0)*'Loan Sizing'!$I$20*V121,0)</f>
        <v>50206.783907341123</v>
      </c>
      <c r="W131" s="151">
        <f ca="1">+IFERROR(IFERROR(INDEX('Taxes and TIF'!$M$11:$M$45,MATCH('Phase I Pro Forma'!W$7,'Taxes and TIF'!$B$11:$B$45,0)),0)*'Loan Sizing'!$I$20*W121,0)</f>
        <v>50206.783907341123</v>
      </c>
      <c r="X131" s="151">
        <f ca="1">+IFERROR(IFERROR(INDEX('Taxes and TIF'!$M$11:$M$45,MATCH('Phase I Pro Forma'!X$7,'Taxes and TIF'!$B$11:$B$45,0)),0)*'Loan Sizing'!$I$20*X121,0)</f>
        <v>50206.783907341123</v>
      </c>
      <c r="Y131" s="151">
        <f ca="1">+IFERROR(IFERROR(INDEX('Taxes and TIF'!$M$11:$M$45,MATCH('Phase I Pro Forma'!Y$7,'Taxes and TIF'!$B$11:$B$45,0)),0)*'Loan Sizing'!$I$20*Y121,0)</f>
        <v>51210.919585487944</v>
      </c>
      <c r="Z131" s="151">
        <f ca="1">+IFERROR(IFERROR(INDEX('Taxes and TIF'!$M$11:$M$45,MATCH('Phase I Pro Forma'!Z$7,'Taxes and TIF'!$B$11:$B$45,0)),0)*'Loan Sizing'!$I$20*Z121,0)</f>
        <v>51210.919585487944</v>
      </c>
    </row>
    <row r="132" spans="2:26">
      <c r="B132" s="137" t="s">
        <v>234</v>
      </c>
      <c r="C132" s="137"/>
      <c r="D132" s="137"/>
      <c r="E132" s="137"/>
      <c r="F132" s="129">
        <f ca="1">+SUM(F130:F131)</f>
        <v>0</v>
      </c>
      <c r="G132" s="129">
        <f t="shared" ref="G132" ca="1" si="290">+SUM(G130:G131)</f>
        <v>0</v>
      </c>
      <c r="H132" s="129">
        <f t="shared" ref="H132" ca="1" si="291">+SUM(H130:H131)</f>
        <v>0</v>
      </c>
      <c r="I132" s="129">
        <f t="shared" ref="I132" ca="1" si="292">+SUM(I130:I131)</f>
        <v>245154.21152700915</v>
      </c>
      <c r="J132" s="129">
        <f t="shared" ref="J132" ca="1" si="293">+SUM(J130:J131)</f>
        <v>504562.9374351654</v>
      </c>
      <c r="K132" s="129">
        <f t="shared" ref="K132" ca="1" si="294">+SUM(K130:K131)</f>
        <v>518308.32632817136</v>
      </c>
      <c r="L132" s="129">
        <f t="shared" ref="L132" ca="1" si="295">+SUM(L130:L131)</f>
        <v>532466.07688796753</v>
      </c>
      <c r="M132" s="129">
        <f t="shared" ref="M132" ca="1" si="296">+SUM(M130:M131)</f>
        <v>547976.22611792362</v>
      </c>
      <c r="N132" s="129">
        <f t="shared" ref="N132" ca="1" si="297">+SUM(N130:N131)</f>
        <v>562996.18368681136</v>
      </c>
      <c r="O132" s="129">
        <f t="shared" ref="O132" ca="1" si="298">+SUM(O130:O131)</f>
        <v>578466.73998276587</v>
      </c>
      <c r="P132" s="129">
        <f t="shared" ref="P132" ca="1" si="299">+SUM(P130:P131)</f>
        <v>595347.63244403212</v>
      </c>
      <c r="Q132" s="129">
        <f t="shared" ref="Q132" ca="1" si="300">+SUM(Q130:Q131)</f>
        <v>611760.34561841015</v>
      </c>
      <c r="R132" s="129">
        <f t="shared" ref="R132" ca="1" si="301">+SUM(R130:R131)</f>
        <v>628665.44018801954</v>
      </c>
      <c r="S132" s="129">
        <f t="shared" ref="S132" ca="1" si="302">+SUM(S130:S131)</f>
        <v>647042.83146067918</v>
      </c>
      <c r="T132" s="129">
        <f t="shared" ref="T132" ca="1" si="303">+SUM(T130:T131)</f>
        <v>664977.44628957775</v>
      </c>
      <c r="U132" s="129">
        <f t="shared" ref="U132" ca="1" si="304">+SUM(U130:U131)</f>
        <v>683450.09956334345</v>
      </c>
      <c r="V132" s="129">
        <f t="shared" ref="V132" ca="1" si="305">+SUM(V130:V131)</f>
        <v>703461.37917860306</v>
      </c>
      <c r="W132" s="129">
        <f t="shared" ref="W132" ca="1" si="306">+SUM(W130:W131)</f>
        <v>723059.01703674102</v>
      </c>
      <c r="X132" s="129">
        <f t="shared" ref="X132" ca="1" si="307">+SUM(X130:X131)</f>
        <v>743244.58403062297</v>
      </c>
      <c r="Y132" s="129">
        <f t="shared" ref="Y132" ca="1" si="308">+SUM(Y130:Y131)</f>
        <v>765039.85371246829</v>
      </c>
      <c r="Z132" s="129">
        <f t="shared" ref="Z132" ca="1" si="309">+SUM(Z130:Z131)</f>
        <v>786454.7217362778</v>
      </c>
    </row>
    <row r="133" spans="2:26">
      <c r="B133" s="33"/>
    </row>
    <row r="134" spans="2:26" ht="15.5">
      <c r="B134" s="138" t="s">
        <v>233</v>
      </c>
      <c r="C134" s="138"/>
      <c r="D134" s="138"/>
      <c r="E134" s="138"/>
      <c r="F134" s="139">
        <f ca="1">+F128-F132</f>
        <v>0</v>
      </c>
      <c r="G134" s="139">
        <f t="shared" ref="G134:Z134" ca="1" si="310">+G128-G132</f>
        <v>0</v>
      </c>
      <c r="H134" s="139">
        <f t="shared" ca="1" si="310"/>
        <v>0</v>
      </c>
      <c r="I134" s="139">
        <f t="shared" ca="1" si="310"/>
        <v>65396.211901790812</v>
      </c>
      <c r="J134" s="139">
        <f t="shared" ca="1" si="310"/>
        <v>128959.92635958665</v>
      </c>
      <c r="K134" s="139">
        <f t="shared" ca="1" si="310"/>
        <v>127884.99474247562</v>
      </c>
      <c r="L134" s="139">
        <f t="shared" ca="1" si="310"/>
        <v>126651.11060409248</v>
      </c>
      <c r="M134" s="139">
        <f t="shared" ca="1" si="310"/>
        <v>124323.3051239776</v>
      </c>
      <c r="N134" s="139">
        <f t="shared" ca="1" si="310"/>
        <v>122749.3381799279</v>
      </c>
      <c r="O134" s="139">
        <f t="shared" ca="1" si="310"/>
        <v>120993.69232130819</v>
      </c>
      <c r="P134" s="139">
        <f t="shared" ca="1" si="310"/>
        <v>118102.00850612344</v>
      </c>
      <c r="Q134" s="139">
        <f t="shared" ca="1" si="310"/>
        <v>115958.28815074859</v>
      </c>
      <c r="R134" s="139">
        <f t="shared" ca="1" si="310"/>
        <v>113607.56625652232</v>
      </c>
      <c r="S134" s="139">
        <f t="shared" ca="1" si="310"/>
        <v>110075.63511275337</v>
      </c>
      <c r="T134" s="139">
        <f t="shared" ca="1" si="310"/>
        <v>107283.38961532363</v>
      </c>
      <c r="U134" s="139">
        <f t="shared" ca="1" si="310"/>
        <v>104255.95305965596</v>
      </c>
      <c r="V134" s="139">
        <f t="shared" ca="1" si="310"/>
        <v>99998.794496856397</v>
      </c>
      <c r="W134" s="139">
        <f t="shared" ca="1" si="310"/>
        <v>96470.360112227616</v>
      </c>
      <c r="X134" s="139">
        <f t="shared" ca="1" si="310"/>
        <v>92675.380661325064</v>
      </c>
      <c r="Y134" s="139">
        <f t="shared" ca="1" si="310"/>
        <v>87598.510273318621</v>
      </c>
      <c r="Z134" s="139">
        <f t="shared" ca="1" si="310"/>
        <v>83236.409529224969</v>
      </c>
    </row>
    <row r="135" spans="2:26" ht="15.5">
      <c r="B135" s="143" t="s">
        <v>239</v>
      </c>
      <c r="C135" s="141"/>
      <c r="D135" s="141"/>
      <c r="E135" s="141"/>
      <c r="F135" s="144" t="str">
        <f ca="1">+IFERROR(F134/F128,"")</f>
        <v/>
      </c>
      <c r="G135" s="144" t="str">
        <f t="shared" ref="G135" ca="1" si="311">+IFERROR(G134/G128,"")</f>
        <v/>
      </c>
      <c r="H135" s="144" t="str">
        <f t="shared" ref="H135" ca="1" si="312">+IFERROR(H134/H128,"")</f>
        <v/>
      </c>
      <c r="I135" s="145">
        <f t="shared" ref="I135" ca="1" si="313">+IFERROR(I134/I128,"")</f>
        <v>0.21058162207524483</v>
      </c>
      <c r="J135" s="145">
        <f t="shared" ref="J135" ca="1" si="314">+IFERROR(J134/J128,"")</f>
        <v>0.20356001926611905</v>
      </c>
      <c r="K135" s="145">
        <f t="shared" ref="K135" ca="1" si="315">+IFERROR(K134/K128,"")</f>
        <v>0.19790516331952962</v>
      </c>
      <c r="L135" s="145">
        <f t="shared" ref="L135" ca="1" si="316">+IFERROR(L134/L128,"")</f>
        <v>0.19215264448800035</v>
      </c>
      <c r="M135" s="145">
        <f t="shared" ref="M135" ca="1" si="317">+IFERROR(M134/M128,"")</f>
        <v>0.18492249264895683</v>
      </c>
      <c r="N135" s="145">
        <f t="shared" ref="N135" ca="1" si="318">+IFERROR(N134/N128,"")</f>
        <v>0.17900129751599275</v>
      </c>
      <c r="O135" s="145">
        <f t="shared" ref="O135" ca="1" si="319">+IFERROR(O134/O128,"")</f>
        <v>0.17298146790483354</v>
      </c>
      <c r="P135" s="145">
        <f t="shared" ref="P135" ca="1" si="320">+IFERROR(P134/P128,"")</f>
        <v>0.16553657290910953</v>
      </c>
      <c r="Q135" s="145">
        <f t="shared" ref="Q135" ca="1" si="321">+IFERROR(Q134/Q128,"")</f>
        <v>0.15934494840423721</v>
      </c>
      <c r="R135" s="145">
        <f t="shared" ref="R135" ca="1" si="322">+IFERROR(R134/R128,"")</f>
        <v>0.15305361406135196</v>
      </c>
      <c r="S135" s="145">
        <f t="shared" ref="S135" ca="1" si="323">+IFERROR(S134/S128,"")</f>
        <v>0.14538759781006766</v>
      </c>
      <c r="T135" s="145">
        <f t="shared" ref="T135" ca="1" si="324">+IFERROR(T134/T128,"")</f>
        <v>0.13892118391529418</v>
      </c>
      <c r="U135" s="145">
        <f t="shared" ref="U135" ca="1" si="325">+IFERROR(U134/U128,"")</f>
        <v>0.13235388088296618</v>
      </c>
      <c r="V135" s="145">
        <f t="shared" ref="V135" ca="1" si="326">+IFERROR(V134/V128,"")</f>
        <v>0.12446017584096056</v>
      </c>
      <c r="W135" s="145">
        <f t="shared" ref="W135" ca="1" si="327">+IFERROR(W134/W128,"")</f>
        <v>0.11771434045212008</v>
      </c>
      <c r="X135" s="145">
        <f t="shared" ref="X135" ca="1" si="328">+IFERROR(X134/X128,"")</f>
        <v>0.11086633239520444</v>
      </c>
      <c r="Y135" s="145">
        <f t="shared" ref="Y135" ca="1" si="329">+IFERROR(Y134/Y128,"")</f>
        <v>0.10273817596457441</v>
      </c>
      <c r="Z135" s="145">
        <f t="shared" ref="Z135" ca="1" si="330">+IFERROR(Z134/Z128,"")</f>
        <v>9.5708012346988308E-2</v>
      </c>
    </row>
    <row r="136" spans="2:26" ht="15.5">
      <c r="B136" s="143" t="s">
        <v>179</v>
      </c>
      <c r="C136" s="141"/>
      <c r="D136" s="141"/>
      <c r="E136" s="141"/>
      <c r="F136" s="142">
        <f ca="1">+F134/Assumptions!$N$135</f>
        <v>0</v>
      </c>
      <c r="G136" s="142">
        <f ca="1">+G134/Assumptions!$N$135</f>
        <v>0</v>
      </c>
      <c r="H136" s="142">
        <f ca="1">+H134/Assumptions!$N$135</f>
        <v>0</v>
      </c>
      <c r="I136" s="142">
        <f ca="1">+I134/Assumptions!$N$135</f>
        <v>934231.59859701153</v>
      </c>
      <c r="J136" s="142">
        <f ca="1">+J134/Assumptions!$N$135</f>
        <v>1842284.6622798091</v>
      </c>
      <c r="K136" s="142">
        <f ca="1">+K134/Assumptions!$N$135</f>
        <v>1826928.4963210803</v>
      </c>
      <c r="L136" s="142">
        <f ca="1">+L134/Assumptions!$N$135</f>
        <v>1809301.5800584638</v>
      </c>
      <c r="M136" s="142">
        <f ca="1">+M134/Assumptions!$N$135</f>
        <v>1776047.2160568226</v>
      </c>
      <c r="N136" s="142">
        <f ca="1">+N134/Assumptions!$N$135</f>
        <v>1753561.9739989699</v>
      </c>
      <c r="O136" s="142">
        <f ca="1">+O134/Assumptions!$N$135</f>
        <v>1728481.3188758311</v>
      </c>
      <c r="P136" s="142">
        <f ca="1">+P134/Assumptions!$N$135</f>
        <v>1687171.5500874775</v>
      </c>
      <c r="Q136" s="142">
        <f ca="1">+Q134/Assumptions!$N$135</f>
        <v>1656546.9735821225</v>
      </c>
      <c r="R136" s="142">
        <f ca="1">+R134/Assumptions!$N$135</f>
        <v>1622965.2322360328</v>
      </c>
      <c r="S136" s="142">
        <f ca="1">+S134/Assumptions!$N$135</f>
        <v>1572509.0730393338</v>
      </c>
      <c r="T136" s="142">
        <f ca="1">+T134/Assumptions!$N$135</f>
        <v>1532619.8516474802</v>
      </c>
      <c r="U136" s="142">
        <f ca="1">+U134/Assumptions!$N$135</f>
        <v>1489370.7579950851</v>
      </c>
      <c r="V136" s="142">
        <f ca="1">+V134/Assumptions!$N$135</f>
        <v>1428554.2070979483</v>
      </c>
      <c r="W136" s="142">
        <f ca="1">+W134/Assumptions!$N$135</f>
        <v>1378148.0016032516</v>
      </c>
      <c r="X136" s="142">
        <f ca="1">+X134/Assumptions!$N$135</f>
        <v>1323934.0094475008</v>
      </c>
      <c r="Y136" s="142">
        <f ca="1">+Y134/Assumptions!$N$135</f>
        <v>1251407.2896188374</v>
      </c>
      <c r="Z136" s="142">
        <f ca="1">+Z134/Assumptions!$N$135</f>
        <v>1189091.5647032137</v>
      </c>
    </row>
    <row r="138" spans="2:26" ht="15.5">
      <c r="B138" s="138" t="s">
        <v>699</v>
      </c>
      <c r="C138" s="138"/>
      <c r="D138" s="138"/>
      <c r="E138" s="138"/>
      <c r="F138" s="139">
        <f t="shared" ref="F138:Z138" ca="1" si="331">+F134+F112+F91+F70+F49+F26</f>
        <v>0</v>
      </c>
      <c r="G138" s="139">
        <f t="shared" ca="1" si="331"/>
        <v>0</v>
      </c>
      <c r="H138" s="139">
        <f t="shared" ca="1" si="331"/>
        <v>0</v>
      </c>
      <c r="I138" s="139">
        <f t="shared" ca="1" si="331"/>
        <v>16879232.158220448</v>
      </c>
      <c r="J138" s="139">
        <f t="shared" ca="1" si="331"/>
        <v>33930859.019303903</v>
      </c>
      <c r="K138" s="139">
        <f t="shared" ca="1" si="331"/>
        <v>34162470.542280585</v>
      </c>
      <c r="L138" s="139">
        <f t="shared" ca="1" si="331"/>
        <v>36853344.854782835</v>
      </c>
      <c r="M138" s="139">
        <f t="shared" ca="1" si="331"/>
        <v>37037848.518505916</v>
      </c>
      <c r="N138" s="139">
        <f t="shared" ca="1" si="331"/>
        <v>37282910.291140482</v>
      </c>
      <c r="O138" s="139">
        <f t="shared" ca="1" si="331"/>
        <v>37532621.524290368</v>
      </c>
      <c r="P138" s="139">
        <f t="shared" ca="1" si="331"/>
        <v>37729955.176594019</v>
      </c>
      <c r="Q138" s="139">
        <f t="shared" ca="1" si="331"/>
        <v>40689570.186462939</v>
      </c>
      <c r="R138" s="139">
        <f t="shared" ca="1" si="331"/>
        <v>40953748.368263662</v>
      </c>
      <c r="S138" s="139">
        <f t="shared" ca="1" si="331"/>
        <v>41164672.011920005</v>
      </c>
      <c r="T138" s="139">
        <f t="shared" ca="1" si="331"/>
        <v>41438942.073699698</v>
      </c>
      <c r="U138" s="139">
        <f t="shared" ca="1" si="331"/>
        <v>41718396.904272825</v>
      </c>
      <c r="V138" s="139">
        <f t="shared" ca="1" si="331"/>
        <v>44914093.130882338</v>
      </c>
      <c r="W138" s="139">
        <f t="shared" ca="1" si="331"/>
        <v>45204203.151208989</v>
      </c>
      <c r="X138" s="139">
        <f t="shared" ca="1" si="331"/>
        <v>45499786.862755552</v>
      </c>
      <c r="Y138" s="139">
        <f t="shared" ca="1" si="331"/>
        <v>45740335.666235</v>
      </c>
      <c r="Z138" s="139">
        <f t="shared" ca="1" si="331"/>
        <v>46047167.312580481</v>
      </c>
    </row>
    <row r="140" spans="2:26" ht="15.5">
      <c r="B140" s="148" t="s">
        <v>31</v>
      </c>
      <c r="F140" s="150">
        <f>+Assumptions!$F$22</f>
        <v>44561</v>
      </c>
      <c r="G140" s="150">
        <f>+EOMONTH(F140,12)</f>
        <v>44926</v>
      </c>
      <c r="H140" s="150">
        <f t="shared" ref="H140:Z140" si="332">+EOMONTH(G140,12)</f>
        <v>45291</v>
      </c>
      <c r="I140" s="150">
        <f t="shared" si="332"/>
        <v>45657</v>
      </c>
      <c r="J140" s="150">
        <f t="shared" si="332"/>
        <v>46022</v>
      </c>
      <c r="K140" s="150">
        <f t="shared" si="332"/>
        <v>46387</v>
      </c>
      <c r="L140" s="150">
        <f t="shared" si="332"/>
        <v>46752</v>
      </c>
      <c r="M140" s="150">
        <f t="shared" si="332"/>
        <v>47118</v>
      </c>
      <c r="N140" s="150">
        <f t="shared" si="332"/>
        <v>47483</v>
      </c>
      <c r="O140" s="150">
        <f t="shared" si="332"/>
        <v>47848</v>
      </c>
      <c r="P140" s="150">
        <f t="shared" si="332"/>
        <v>48213</v>
      </c>
      <c r="Q140" s="150">
        <f t="shared" si="332"/>
        <v>48579</v>
      </c>
      <c r="R140" s="150">
        <f t="shared" si="332"/>
        <v>48944</v>
      </c>
      <c r="S140" s="150">
        <f t="shared" si="332"/>
        <v>49309</v>
      </c>
      <c r="T140" s="150">
        <f t="shared" si="332"/>
        <v>49674</v>
      </c>
      <c r="U140" s="150">
        <f t="shared" si="332"/>
        <v>50040</v>
      </c>
      <c r="V140" s="150">
        <f t="shared" si="332"/>
        <v>50405</v>
      </c>
      <c r="W140" s="150">
        <f t="shared" si="332"/>
        <v>50770</v>
      </c>
      <c r="X140" s="150">
        <f t="shared" si="332"/>
        <v>51135</v>
      </c>
      <c r="Y140" s="150">
        <f t="shared" si="332"/>
        <v>51501</v>
      </c>
      <c r="Z140" s="150">
        <f t="shared" si="332"/>
        <v>51866</v>
      </c>
    </row>
    <row r="141" spans="2:26">
      <c r="B141" s="33" t="s">
        <v>313</v>
      </c>
      <c r="F141" s="34">
        <v>0</v>
      </c>
      <c r="G141" s="34">
        <f t="shared" ref="G141:N141" ca="1" si="333">+F144</f>
        <v>0</v>
      </c>
      <c r="H141" s="34">
        <f t="shared" ca="1" si="333"/>
        <v>0</v>
      </c>
      <c r="I141" s="34">
        <f t="shared" ca="1" si="333"/>
        <v>0</v>
      </c>
      <c r="J141" s="34">
        <f t="shared" ca="1" si="333"/>
        <v>314350342.32990885</v>
      </c>
      <c r="K141" s="34">
        <f t="shared" ca="1" si="333"/>
        <v>310429011.17091686</v>
      </c>
      <c r="L141" s="34">
        <f t="shared" ca="1" si="333"/>
        <v>306252793.48659039</v>
      </c>
      <c r="M141" s="34">
        <f t="shared" ca="1" si="333"/>
        <v>301805121.65278268</v>
      </c>
      <c r="N141" s="34">
        <f t="shared" ca="1" si="333"/>
        <v>297068351.14977747</v>
      </c>
      <c r="O141" s="34">
        <f t="shared" ref="O141:Z141" ca="1" si="334">+N144</f>
        <v>292023690.56407696</v>
      </c>
      <c r="P141" s="34">
        <f t="shared" ca="1" si="334"/>
        <v>286651127.04030591</v>
      </c>
      <c r="Q141" s="34">
        <f t="shared" ca="1" si="334"/>
        <v>280929346.88748974</v>
      </c>
      <c r="R141" s="34">
        <f t="shared" ca="1" si="334"/>
        <v>274835651.02474052</v>
      </c>
      <c r="S141" s="34">
        <f t="shared" ca="1" si="334"/>
        <v>268345864.93091255</v>
      </c>
      <c r="T141" s="34">
        <f t="shared" ca="1" si="334"/>
        <v>261434242.74098578</v>
      </c>
      <c r="U141" s="34">
        <f t="shared" ca="1" si="334"/>
        <v>254073365.10871378</v>
      </c>
      <c r="V141" s="34">
        <f t="shared" ca="1" si="334"/>
        <v>246234030.4303441</v>
      </c>
      <c r="W141" s="34">
        <f t="shared" ca="1" si="334"/>
        <v>237885138.9978804</v>
      </c>
      <c r="X141" s="34">
        <f t="shared" ca="1" si="334"/>
        <v>228993569.62230656</v>
      </c>
      <c r="Y141" s="34">
        <f t="shared" ca="1" si="334"/>
        <v>219524048.23732039</v>
      </c>
      <c r="Z141" s="34">
        <f t="shared" ca="1" si="334"/>
        <v>209439007.96231014</v>
      </c>
    </row>
    <row r="142" spans="2:26">
      <c r="B142" s="33" t="s">
        <v>324</v>
      </c>
      <c r="F142" s="151">
        <f>+IF(YEAR(F$140)=YEAR(Assumptions!$F$26),'S&amp;U'!$R$17,0)</f>
        <v>0</v>
      </c>
      <c r="G142" s="151">
        <f>+IF(YEAR(G$140)=YEAR(Assumptions!$F$26),'S&amp;U'!$R$17,0)</f>
        <v>0</v>
      </c>
      <c r="H142" s="151">
        <f>+IF(YEAR(H$140)=YEAR(Assumptions!$F$26),'S&amp;U'!$R$17,0)</f>
        <v>0</v>
      </c>
      <c r="I142" s="151">
        <f ca="1">+IF(YEAR(I$140)=YEAR(Assumptions!$F$26),'S&amp;U'!$R$17,0)</f>
        <v>318032343.41816425</v>
      </c>
      <c r="J142" s="151">
        <f>+IF(YEAR(J$140)=YEAR(Assumptions!$F$26),'S&amp;U'!$R$17,0)</f>
        <v>0</v>
      </c>
      <c r="K142" s="151">
        <f>+IF(YEAR(K$140)=YEAR(Assumptions!$F$26),'S&amp;U'!$R$17,0)</f>
        <v>0</v>
      </c>
      <c r="L142" s="151">
        <f>+IF(YEAR(L$140)=YEAR(Assumptions!$F$26),'S&amp;U'!$R$17,0)</f>
        <v>0</v>
      </c>
      <c r="M142" s="151">
        <f>+IF(YEAR(M$140)=YEAR(Assumptions!$F$26),'S&amp;U'!$R$17,0)</f>
        <v>0</v>
      </c>
      <c r="N142" s="151">
        <f>+IF(YEAR(N$140)=YEAR(Assumptions!$F$26),'S&amp;U'!$R$17,0)</f>
        <v>0</v>
      </c>
      <c r="O142" s="151">
        <f>+IF(YEAR(O$140)=YEAR(Assumptions!$F$26),'S&amp;U'!$R$17,0)</f>
        <v>0</v>
      </c>
      <c r="P142" s="151">
        <f>+IF(YEAR(P$140)=YEAR(Assumptions!$F$26),'S&amp;U'!$R$17,0)</f>
        <v>0</v>
      </c>
      <c r="Q142" s="151">
        <f>+IF(YEAR(Q$140)=YEAR(Assumptions!$F$26),'S&amp;U'!$R$17,0)</f>
        <v>0</v>
      </c>
      <c r="R142" s="151">
        <f>+IF(YEAR(R$140)=YEAR(Assumptions!$F$26),'S&amp;U'!$R$17,0)</f>
        <v>0</v>
      </c>
      <c r="S142" s="151">
        <f>+IF(YEAR(S$140)=YEAR(Assumptions!$F$26),'S&amp;U'!$R$17,0)</f>
        <v>0</v>
      </c>
      <c r="T142" s="151">
        <f>+IF(YEAR(T$140)=YEAR(Assumptions!$F$26),'S&amp;U'!$R$17,0)</f>
        <v>0</v>
      </c>
      <c r="U142" s="151">
        <f>+IF(YEAR(U$140)=YEAR(Assumptions!$F$26),'S&amp;U'!$R$17,0)</f>
        <v>0</v>
      </c>
      <c r="V142" s="151">
        <f>+IF(YEAR(V$140)=YEAR(Assumptions!$F$26),'S&amp;U'!$R$17,0)</f>
        <v>0</v>
      </c>
      <c r="W142" s="151">
        <f>+IF(YEAR(W$140)=YEAR(Assumptions!$F$26),'S&amp;U'!$R$17,0)</f>
        <v>0</v>
      </c>
      <c r="X142" s="151">
        <f>+IF(YEAR(X$140)=YEAR(Assumptions!$F$26),'S&amp;U'!$R$17,0)</f>
        <v>0</v>
      </c>
      <c r="Y142" s="151">
        <f>+IF(YEAR(Y$140)=YEAR(Assumptions!$F$26),'S&amp;U'!$R$17,0)</f>
        <v>0</v>
      </c>
      <c r="Z142" s="151">
        <f>+IF(YEAR(Z$140)=YEAR(Assumptions!$F$26),'S&amp;U'!$R$17,0)</f>
        <v>0</v>
      </c>
    </row>
    <row r="143" spans="2:26">
      <c r="B143" s="33" t="s">
        <v>156</v>
      </c>
      <c r="F143" s="151">
        <f ca="1">+IFERROR(PPMT(Assumptions!$N$151,F2,Assumptions!$N$153,'S&amp;U'!$R$17),0)</f>
        <v>0</v>
      </c>
      <c r="G143" s="151">
        <f ca="1">+IFERROR(PPMT(Assumptions!$N$151,G2,Assumptions!$N$153,'S&amp;U'!$R$17),0)</f>
        <v>0</v>
      </c>
      <c r="H143" s="151">
        <f ca="1">+IFERROR(PPMT(Assumptions!$N$151,H2,Assumptions!$N$153,'S&amp;U'!$R$17),0)</f>
        <v>0</v>
      </c>
      <c r="I143" s="151">
        <f ca="1">+IFERROR(PPMT(Assumptions!$N$151,I2,Assumptions!$N$153,'S&amp;U'!$R$17),0)</f>
        <v>-3682001.0882553994</v>
      </c>
      <c r="J143" s="151">
        <f ca="1">+IFERROR(PPMT(Assumptions!$N$151,J2,Assumptions!$N$153,'S&amp;U'!$R$17),0)</f>
        <v>-3921331.1589919995</v>
      </c>
      <c r="K143" s="151">
        <f ca="1">+IFERROR(PPMT(Assumptions!$N$151,K2,Assumptions!$N$153,'S&amp;U'!$R$17),0)</f>
        <v>-4176217.6843264797</v>
      </c>
      <c r="L143" s="151">
        <f ca="1">+IFERROR(PPMT(Assumptions!$N$151,L2,Assumptions!$N$153,'S&amp;U'!$R$17),0)</f>
        <v>-4447671.8338077012</v>
      </c>
      <c r="M143" s="151">
        <f ca="1">+IFERROR(PPMT(Assumptions!$N$151,M2,Assumptions!$N$153,'S&amp;U'!$R$17),0)</f>
        <v>-4736770.5030052019</v>
      </c>
      <c r="N143" s="151">
        <f ca="1">+IFERROR(PPMT(Assumptions!$N$151,N2,Assumptions!$N$153,'S&amp;U'!$R$17),0)</f>
        <v>-5044660.5857005408</v>
      </c>
      <c r="O143" s="151">
        <f ca="1">+IFERROR(PPMT(Assumptions!$N$151,O2,Assumptions!$N$153,'S&amp;U'!$R$17),0)</f>
        <v>-5372563.5237710746</v>
      </c>
      <c r="P143" s="151">
        <f ca="1">+IFERROR(PPMT(Assumptions!$N$151,P2,Assumptions!$N$153,'S&amp;U'!$R$17),0)</f>
        <v>-5721780.152816195</v>
      </c>
      <c r="Q143" s="151">
        <f ca="1">+IFERROR(PPMT(Assumptions!$N$151,Q2,Assumptions!$N$153,'S&amp;U'!$R$17),0)</f>
        <v>-6093695.8627492469</v>
      </c>
      <c r="R143" s="151">
        <f ca="1">+IFERROR(PPMT(Assumptions!$N$151,R2,Assumptions!$N$153,'S&amp;U'!$R$17),0)</f>
        <v>-6489786.093827948</v>
      </c>
      <c r="S143" s="151">
        <f ca="1">+IFERROR(PPMT(Assumptions!$N$151,S2,Assumptions!$N$153,'S&amp;U'!$R$17),0)</f>
        <v>-6911622.1899267659</v>
      </c>
      <c r="T143" s="151">
        <f ca="1">+IFERROR(PPMT(Assumptions!$N$151,T2,Assumptions!$N$153,'S&amp;U'!$R$17),0)</f>
        <v>-7360877.6322720051</v>
      </c>
      <c r="U143" s="151">
        <f ca="1">+IFERROR(PPMT(Assumptions!$N$151,U2,Assumptions!$N$153,'S&amp;U'!$R$17),0)</f>
        <v>-7839334.678369686</v>
      </c>
      <c r="V143" s="151">
        <f ca="1">+IFERROR(PPMT(Assumptions!$N$151,V2,Assumptions!$N$153,'S&amp;U'!$R$17),0)</f>
        <v>-8348891.4324637149</v>
      </c>
      <c r="W143" s="151">
        <f ca="1">+IFERROR(PPMT(Assumptions!$N$151,W2,Assumptions!$N$153,'S&amp;U'!$R$17),0)</f>
        <v>-8891569.3755738568</v>
      </c>
      <c r="X143" s="151">
        <f ca="1">+IFERROR(PPMT(Assumptions!$N$151,X2,Assumptions!$N$153,'S&amp;U'!$R$17),0)</f>
        <v>-9469521.3849861585</v>
      </c>
      <c r="Y143" s="151">
        <f ca="1">+IFERROR(PPMT(Assumptions!$N$151,Y2,Assumptions!$N$153,'S&amp;U'!$R$17),0)</f>
        <v>-10085040.275010256</v>
      </c>
      <c r="Z143" s="151">
        <f ca="1">+IFERROR(PPMT(Assumptions!$N$151,Z2,Assumptions!$N$153,'S&amp;U'!$R$17),0)</f>
        <v>-10740567.892885925</v>
      </c>
    </row>
    <row r="144" spans="2:26">
      <c r="B144" s="33" t="s">
        <v>315</v>
      </c>
      <c r="F144" s="151">
        <f t="shared" ref="F144:N144" ca="1" si="335">+SUM(F141:F143)</f>
        <v>0</v>
      </c>
      <c r="G144" s="151">
        <f t="shared" ca="1" si="335"/>
        <v>0</v>
      </c>
      <c r="H144" s="151">
        <f t="shared" ca="1" si="335"/>
        <v>0</v>
      </c>
      <c r="I144" s="151">
        <f t="shared" ca="1" si="335"/>
        <v>314350342.32990885</v>
      </c>
      <c r="J144" s="151">
        <f t="shared" ca="1" si="335"/>
        <v>310429011.17091686</v>
      </c>
      <c r="K144" s="151">
        <f t="shared" ca="1" si="335"/>
        <v>306252793.48659039</v>
      </c>
      <c r="L144" s="151">
        <f t="shared" ca="1" si="335"/>
        <v>301805121.65278268</v>
      </c>
      <c r="M144" s="151">
        <f t="shared" ca="1" si="335"/>
        <v>297068351.14977747</v>
      </c>
      <c r="N144" s="151">
        <f t="shared" ca="1" si="335"/>
        <v>292023690.56407696</v>
      </c>
      <c r="O144" s="151">
        <f t="shared" ref="O144:Z144" ca="1" si="336">+SUM(O141:O143)</f>
        <v>286651127.04030591</v>
      </c>
      <c r="P144" s="151">
        <f t="shared" ca="1" si="336"/>
        <v>280929346.88748974</v>
      </c>
      <c r="Q144" s="151">
        <f t="shared" ca="1" si="336"/>
        <v>274835651.02474052</v>
      </c>
      <c r="R144" s="151">
        <f t="shared" ca="1" si="336"/>
        <v>268345864.93091255</v>
      </c>
      <c r="S144" s="151">
        <f t="shared" ca="1" si="336"/>
        <v>261434242.74098578</v>
      </c>
      <c r="T144" s="151">
        <f t="shared" ca="1" si="336"/>
        <v>254073365.10871378</v>
      </c>
      <c r="U144" s="151">
        <f t="shared" ca="1" si="336"/>
        <v>246234030.4303441</v>
      </c>
      <c r="V144" s="151">
        <f t="shared" ca="1" si="336"/>
        <v>237885138.9978804</v>
      </c>
      <c r="W144" s="151">
        <f t="shared" ca="1" si="336"/>
        <v>228993569.62230656</v>
      </c>
      <c r="X144" s="151">
        <f t="shared" ca="1" si="336"/>
        <v>219524048.23732039</v>
      </c>
      <c r="Y144" s="151">
        <f t="shared" ca="1" si="336"/>
        <v>209439007.96231014</v>
      </c>
      <c r="Z144" s="151">
        <f t="shared" ca="1" si="336"/>
        <v>198698440.06942421</v>
      </c>
    </row>
    <row r="146" spans="2:26">
      <c r="B146" s="41" t="s">
        <v>314</v>
      </c>
      <c r="F146" s="34">
        <f ca="1">-IFERROR(IPMT(Assumptions!$N$151,F2,Assumptions!$N$153,'S&amp;U'!$R$17),0)</f>
        <v>0</v>
      </c>
      <c r="G146" s="34">
        <f ca="1">-IFERROR(IPMT(Assumptions!$N$151,G2,Assumptions!$N$153,'S&amp;U'!$R$17),0)</f>
        <v>0</v>
      </c>
      <c r="H146" s="34">
        <f ca="1">-IFERROR(IPMT(Assumptions!$N$151,H2,Assumptions!$N$153,'S&amp;U'!$R$17),0)</f>
        <v>0</v>
      </c>
      <c r="I146" s="34">
        <f ca="1">-IFERROR(IPMT(Assumptions!$N$151,I2,Assumptions!$N$153,'S&amp;U'!$R$17),0)</f>
        <v>20672102.322180677</v>
      </c>
      <c r="J146" s="34">
        <f ca="1">-IFERROR(IPMT(Assumptions!$N$151,J2,Assumptions!$N$153,'S&amp;U'!$R$17),0)</f>
        <v>20432772.251444079</v>
      </c>
      <c r="K146" s="34">
        <f ca="1">-IFERROR(IPMT(Assumptions!$N$151,K2,Assumptions!$N$153,'S&amp;U'!$R$17),0)</f>
        <v>20177885.726109598</v>
      </c>
      <c r="L146" s="34">
        <f ca="1">-IFERROR(IPMT(Assumptions!$N$151,L2,Assumptions!$N$153,'S&amp;U'!$R$17),0)</f>
        <v>19906431.576628376</v>
      </c>
      <c r="M146" s="34">
        <f ca="1">-IFERROR(IPMT(Assumptions!$N$151,M2,Assumptions!$N$153,'S&amp;U'!$R$17),0)</f>
        <v>19617332.907430876</v>
      </c>
      <c r="N146" s="34">
        <f ca="1">-IFERROR(IPMT(Assumptions!$N$151,N2,Assumptions!$N$153,'S&amp;U'!$R$17),0)</f>
        <v>19309442.824735537</v>
      </c>
      <c r="O146" s="34">
        <f ca="1">-IFERROR(IPMT(Assumptions!$N$151,O2,Assumptions!$N$153,'S&amp;U'!$R$17),0)</f>
        <v>18981539.886665002</v>
      </c>
      <c r="P146" s="34">
        <f ca="1">-IFERROR(IPMT(Assumptions!$N$151,P2,Assumptions!$N$153,'S&amp;U'!$R$17),0)</f>
        <v>18632323.25761988</v>
      </c>
      <c r="Q146" s="34">
        <f ca="1">-IFERROR(IPMT(Assumptions!$N$151,Q2,Assumptions!$N$153,'S&amp;U'!$R$17),0)</f>
        <v>18260407.54768683</v>
      </c>
      <c r="R146" s="34">
        <f ca="1">-IFERROR(IPMT(Assumptions!$N$151,R2,Assumptions!$N$153,'S&amp;U'!$R$17),0)</f>
        <v>17864317.316608127</v>
      </c>
      <c r="S146" s="34">
        <f ca="1">-IFERROR(IPMT(Assumptions!$N$151,S2,Assumptions!$N$153,'S&amp;U'!$R$17),0)</f>
        <v>17442481.220509313</v>
      </c>
      <c r="T146" s="34">
        <f ca="1">-IFERROR(IPMT(Assumptions!$N$151,T2,Assumptions!$N$153,'S&amp;U'!$R$17),0)</f>
        <v>16993225.77816407</v>
      </c>
      <c r="U146" s="34">
        <f ca="1">-IFERROR(IPMT(Assumptions!$N$151,U2,Assumptions!$N$153,'S&amp;U'!$R$17),0)</f>
        <v>16514768.732066393</v>
      </c>
      <c r="V146" s="34">
        <f ca="1">-IFERROR(IPMT(Assumptions!$N$151,V2,Assumptions!$N$153,'S&amp;U'!$R$17),0)</f>
        <v>16005211.977972362</v>
      </c>
      <c r="W146" s="34">
        <f ca="1">-IFERROR(IPMT(Assumptions!$N$151,W2,Assumptions!$N$153,'S&amp;U'!$R$17),0)</f>
        <v>15462534.03486222</v>
      </c>
      <c r="X146" s="34">
        <f ca="1">-IFERROR(IPMT(Assumptions!$N$151,X2,Assumptions!$N$153,'S&amp;U'!$R$17),0)</f>
        <v>14884582.025449917</v>
      </c>
      <c r="Y146" s="34">
        <f ca="1">-IFERROR(IPMT(Assumptions!$N$151,Y2,Assumptions!$N$153,'S&amp;U'!$R$17),0)</f>
        <v>14269063.135425817</v>
      </c>
      <c r="Z146" s="34">
        <f ca="1">-IFERROR(IPMT(Assumptions!$N$151,Z2,Assumptions!$N$153,'S&amp;U'!$R$17),0)</f>
        <v>13613535.517550152</v>
      </c>
    </row>
    <row r="147" spans="2:26">
      <c r="B147" s="137" t="s">
        <v>323</v>
      </c>
      <c r="C147" s="137"/>
      <c r="D147" s="137"/>
      <c r="E147" s="137"/>
      <c r="F147" s="129">
        <f t="shared" ref="F147:K147" ca="1" si="337">+F146-F143</f>
        <v>0</v>
      </c>
      <c r="G147" s="129">
        <f t="shared" ca="1" si="337"/>
        <v>0</v>
      </c>
      <c r="H147" s="129">
        <f t="shared" ca="1" si="337"/>
        <v>0</v>
      </c>
      <c r="I147" s="129">
        <f t="shared" ca="1" si="337"/>
        <v>24354103.410436075</v>
      </c>
      <c r="J147" s="129">
        <f t="shared" ca="1" si="337"/>
        <v>24354103.410436079</v>
      </c>
      <c r="K147" s="129">
        <f t="shared" ca="1" si="337"/>
        <v>24354103.410436079</v>
      </c>
      <c r="L147" s="129">
        <f ca="1">+L146-L143</f>
        <v>24354103.410436079</v>
      </c>
      <c r="M147" s="129">
        <f t="shared" ref="M147:Z147" ca="1" si="338">+M146-M143</f>
        <v>24354103.410436079</v>
      </c>
      <c r="N147" s="129">
        <f t="shared" ca="1" si="338"/>
        <v>24354103.410436079</v>
      </c>
      <c r="O147" s="129">
        <f t="shared" ca="1" si="338"/>
        <v>24354103.410436075</v>
      </c>
      <c r="P147" s="129">
        <f t="shared" ca="1" si="338"/>
        <v>24354103.410436075</v>
      </c>
      <c r="Q147" s="129">
        <f t="shared" ca="1" si="338"/>
        <v>24354103.410436079</v>
      </c>
      <c r="R147" s="129">
        <f t="shared" ca="1" si="338"/>
        <v>24354103.410436075</v>
      </c>
      <c r="S147" s="129">
        <f t="shared" ca="1" si="338"/>
        <v>24354103.410436079</v>
      </c>
      <c r="T147" s="129">
        <f t="shared" ca="1" si="338"/>
        <v>24354103.410436075</v>
      </c>
      <c r="U147" s="129">
        <f t="shared" ca="1" si="338"/>
        <v>24354103.410436079</v>
      </c>
      <c r="V147" s="129">
        <f t="shared" ca="1" si="338"/>
        <v>24354103.410436079</v>
      </c>
      <c r="W147" s="129">
        <f t="shared" ca="1" si="338"/>
        <v>24354103.410436079</v>
      </c>
      <c r="X147" s="129">
        <f t="shared" ca="1" si="338"/>
        <v>24354103.410436075</v>
      </c>
      <c r="Y147" s="129">
        <f t="shared" ca="1" si="338"/>
        <v>24354103.410436071</v>
      </c>
      <c r="Z147" s="129">
        <f t="shared" ca="1" si="338"/>
        <v>24354103.410436079</v>
      </c>
    </row>
    <row r="148" spans="2:26" ht="15.5">
      <c r="B148" s="146" t="s">
        <v>172</v>
      </c>
      <c r="F148" s="180" t="str">
        <f ca="1">+IFERROR(F138/F147,"")</f>
        <v/>
      </c>
      <c r="G148" s="180" t="str">
        <f t="shared" ref="G148:Z148" ca="1" si="339">+IFERROR(G138/G147,"")</f>
        <v/>
      </c>
      <c r="H148" s="180" t="str">
        <f t="shared" ca="1" si="339"/>
        <v/>
      </c>
      <c r="I148" s="180">
        <f t="shared" ca="1" si="339"/>
        <v>0.69307549014460779</v>
      </c>
      <c r="J148" s="180">
        <f t="shared" ca="1" si="339"/>
        <v>1.3932296520004119</v>
      </c>
      <c r="K148" s="180">
        <f t="shared" ca="1" si="339"/>
        <v>1.4027398162250342</v>
      </c>
      <c r="L148" s="180">
        <f t="shared" ca="1" si="339"/>
        <v>1.513229382075739</v>
      </c>
      <c r="M148" s="180">
        <f t="shared" ca="1" si="339"/>
        <v>1.5208052579194795</v>
      </c>
      <c r="N148" s="180">
        <f t="shared" ca="1" si="339"/>
        <v>1.5308677007244793</v>
      </c>
      <c r="O148" s="180">
        <f t="shared" ca="1" si="339"/>
        <v>1.5411210542945757</v>
      </c>
      <c r="P148" s="180">
        <f t="shared" ca="1" si="339"/>
        <v>1.5492237402764006</v>
      </c>
      <c r="Q148" s="180">
        <f t="shared" ca="1" si="339"/>
        <v>1.6707480255268556</v>
      </c>
      <c r="R148" s="180">
        <f t="shared" ca="1" si="339"/>
        <v>1.6815954041943668</v>
      </c>
      <c r="S148" s="180">
        <f t="shared" ca="1" si="339"/>
        <v>1.6902561066682651</v>
      </c>
      <c r="T148" s="180">
        <f t="shared" ca="1" si="339"/>
        <v>1.7015178664283133</v>
      </c>
      <c r="U148" s="180">
        <f t="shared" ca="1" si="339"/>
        <v>1.7129925171622578</v>
      </c>
      <c r="V148" s="180">
        <f t="shared" ca="1" si="339"/>
        <v>1.8442104960281975</v>
      </c>
      <c r="W148" s="180">
        <f t="shared" ca="1" si="339"/>
        <v>1.8561226578285097</v>
      </c>
      <c r="X148" s="180">
        <f t="shared" ca="1" si="339"/>
        <v>1.8682595740009158</v>
      </c>
      <c r="Y148" s="180">
        <f t="shared" ca="1" si="339"/>
        <v>1.8781367104910391</v>
      </c>
      <c r="Z148" s="180">
        <f t="shared" ca="1" si="339"/>
        <v>1.8907354763406572</v>
      </c>
    </row>
    <row r="150" spans="2:26">
      <c r="B150" s="41" t="s">
        <v>150</v>
      </c>
      <c r="F150" s="34">
        <f>+F142*Assumptions!$N$152</f>
        <v>0</v>
      </c>
      <c r="G150" s="34">
        <f>+G142*Assumptions!$N$152</f>
        <v>0</v>
      </c>
      <c r="H150" s="34">
        <f>+H142*Assumptions!$N$152</f>
        <v>0</v>
      </c>
      <c r="I150" s="34">
        <f ca="1">+I142*Assumptions!$N$152</f>
        <v>3180323.4341816427</v>
      </c>
      <c r="J150" s="34">
        <f>+J142*Assumptions!$N$152</f>
        <v>0</v>
      </c>
      <c r="K150" s="34">
        <f>+K142*Assumptions!$N$152</f>
        <v>0</v>
      </c>
      <c r="L150" s="34">
        <f>+L142*Assumptions!$N$152</f>
        <v>0</v>
      </c>
      <c r="M150" s="34">
        <f>+M142*Assumptions!$N$152</f>
        <v>0</v>
      </c>
      <c r="N150" s="34">
        <f>+N142*Assumptions!$N$152</f>
        <v>0</v>
      </c>
      <c r="O150" s="34">
        <f>+O142*Assumptions!$N$152</f>
        <v>0</v>
      </c>
      <c r="P150" s="34">
        <f>+P142*Assumptions!$N$152</f>
        <v>0</v>
      </c>
      <c r="Q150" s="34">
        <f>+Q142*Assumptions!$N$152</f>
        <v>0</v>
      </c>
      <c r="R150" s="34">
        <f>+R142*Assumptions!$N$152</f>
        <v>0</v>
      </c>
      <c r="S150" s="34">
        <f>+S142*Assumptions!$N$152</f>
        <v>0</v>
      </c>
      <c r="T150" s="34">
        <f>+T142*Assumptions!$N$152</f>
        <v>0</v>
      </c>
      <c r="U150" s="34">
        <f>+U142*Assumptions!$N$152</f>
        <v>0</v>
      </c>
      <c r="V150" s="34">
        <f>+V142*Assumptions!$N$152</f>
        <v>0</v>
      </c>
      <c r="W150" s="34">
        <f>+W142*Assumptions!$N$152</f>
        <v>0</v>
      </c>
      <c r="X150" s="34">
        <f>+X142*Assumptions!$N$152</f>
        <v>0</v>
      </c>
      <c r="Y150" s="34">
        <f>+Y142*Assumptions!$N$152</f>
        <v>0</v>
      </c>
      <c r="Z150" s="34">
        <f>+Z142*Assumptions!$N$152</f>
        <v>0</v>
      </c>
    </row>
    <row r="152" spans="2:26" s="157" customFormat="1">
      <c r="B152" s="137" t="s">
        <v>316</v>
      </c>
      <c r="C152" s="137"/>
      <c r="D152" s="137"/>
      <c r="E152" s="137"/>
      <c r="F152" s="129">
        <f ca="1">+F138-F147-F150</f>
        <v>0</v>
      </c>
      <c r="G152" s="129">
        <f t="shared" ref="G152:Z152" ca="1" si="340">+G138-G147-G150</f>
        <v>0</v>
      </c>
      <c r="H152" s="129">
        <f t="shared" ca="1" si="340"/>
        <v>0</v>
      </c>
      <c r="I152" s="129">
        <f t="shared" ca="1" si="340"/>
        <v>-10655194.686397269</v>
      </c>
      <c r="J152" s="129">
        <f t="shared" ca="1" si="340"/>
        <v>9576755.6088678241</v>
      </c>
      <c r="K152" s="129">
        <f t="shared" ca="1" si="340"/>
        <v>9808367.1318445057</v>
      </c>
      <c r="L152" s="129">
        <f t="shared" ca="1" si="340"/>
        <v>12499241.444346756</v>
      </c>
      <c r="M152" s="129">
        <f t="shared" ca="1" si="340"/>
        <v>12683745.108069837</v>
      </c>
      <c r="N152" s="129">
        <f t="shared" ca="1" si="340"/>
        <v>12928806.880704403</v>
      </c>
      <c r="O152" s="129">
        <f t="shared" ca="1" si="340"/>
        <v>13178518.113854293</v>
      </c>
      <c r="P152" s="129">
        <f t="shared" ca="1" si="340"/>
        <v>13375851.766157944</v>
      </c>
      <c r="Q152" s="129">
        <f t="shared" ca="1" si="340"/>
        <v>16335466.77602686</v>
      </c>
      <c r="R152" s="129">
        <f t="shared" ca="1" si="340"/>
        <v>16599644.957827587</v>
      </c>
      <c r="S152" s="129">
        <f t="shared" ca="1" si="340"/>
        <v>16810568.601483926</v>
      </c>
      <c r="T152" s="129">
        <f t="shared" ca="1" si="340"/>
        <v>17084838.663263623</v>
      </c>
      <c r="U152" s="129">
        <f t="shared" ca="1" si="340"/>
        <v>17364293.493836746</v>
      </c>
      <c r="V152" s="129">
        <f t="shared" ca="1" si="340"/>
        <v>20559989.720446259</v>
      </c>
      <c r="W152" s="129">
        <f t="shared" ca="1" si="340"/>
        <v>20850099.74077291</v>
      </c>
      <c r="X152" s="129">
        <f t="shared" ca="1" si="340"/>
        <v>21145683.452319477</v>
      </c>
      <c r="Y152" s="129">
        <f t="shared" ca="1" si="340"/>
        <v>21386232.255798928</v>
      </c>
      <c r="Z152" s="129">
        <f t="shared" ca="1" si="340"/>
        <v>21693063.902144402</v>
      </c>
    </row>
    <row r="154" spans="2:26" ht="15.5">
      <c r="B154" s="148" t="s">
        <v>317</v>
      </c>
    </row>
    <row r="155" spans="2:26">
      <c r="B155" s="33" t="s">
        <v>318</v>
      </c>
      <c r="F155" s="34">
        <f>+IF(YEAR(F$140)=YEAR(Assumptions!$F$30),F136+F114+F93+F72+F51+F28,0)</f>
        <v>0</v>
      </c>
      <c r="G155" s="34">
        <f>+IF(YEAR(G$140)=YEAR(Assumptions!$F$30),G136+G114+G93+G72+G51+G28,0)</f>
        <v>0</v>
      </c>
      <c r="H155" s="34">
        <f>+IF(YEAR(H$140)=YEAR(Assumptions!$F$30),H136+H114+H93+H72+H51+H28,0)</f>
        <v>0</v>
      </c>
      <c r="I155" s="34">
        <f>+IF(YEAR(I$140)=YEAR(Assumptions!$F$30),I136+I114+I93+I72+I51+I28,0)</f>
        <v>0</v>
      </c>
      <c r="J155" s="34">
        <f>+IF(YEAR(J$140)=YEAR(Assumptions!$F$30),J136+J114+J93+J72+J51+J28,0)</f>
        <v>0</v>
      </c>
      <c r="K155" s="34">
        <f>+IF(YEAR(K$140)=YEAR(Assumptions!$F$30),K136+K114+K93+K72+K51+K28,0)</f>
        <v>0</v>
      </c>
      <c r="L155" s="34">
        <f>+IF(YEAR(L$140)=YEAR(Assumptions!$F$30),L136+L114+L93+L72+L51+L28,0)</f>
        <v>0</v>
      </c>
      <c r="M155" s="34">
        <f>+IF(YEAR(M$140)=YEAR(Assumptions!$F$30),M136+M114+M93+M72+M51+M28,0)</f>
        <v>0</v>
      </c>
      <c r="N155" s="34">
        <f>+IF(YEAR(N$140)=YEAR(Assumptions!$F$30),N136+N114+N93+N72+N51+N28,0)</f>
        <v>0</v>
      </c>
      <c r="O155" s="34">
        <f>+IF(YEAR(O$140)=YEAR(Assumptions!$F$30),O136+O114+O93+O72+O51+O28,0)</f>
        <v>0</v>
      </c>
      <c r="P155" s="34">
        <f ca="1">+IF(YEAR(P$140)=YEAR(Assumptions!$F$30),P136+P114+P93+P72+P51+P28,0)</f>
        <v>585894129.32454634</v>
      </c>
      <c r="Q155" s="34">
        <f>+IF(YEAR(Q$140)=YEAR(Assumptions!$F$30),Q136+Q114+Q93+Q72+Q51+Q28,0)</f>
        <v>0</v>
      </c>
      <c r="R155" s="34">
        <f>+IF(YEAR(R$140)=YEAR(Assumptions!$F$30),R136+R114+R93+R72+R51+R28,0)</f>
        <v>0</v>
      </c>
      <c r="S155" s="34">
        <f>+IF(YEAR(S$140)=YEAR(Assumptions!$F$30),S136+S114+S93+S72+S51+S28,0)</f>
        <v>0</v>
      </c>
      <c r="T155" s="34">
        <f>+IF(YEAR(T$140)=YEAR(Assumptions!$F$30),T136+T114+T93+T72+T51+T28,0)</f>
        <v>0</v>
      </c>
      <c r="U155" s="34">
        <f>+IF(YEAR(U$140)=YEAR(Assumptions!$F$30),U136+U114+U93+U72+U51+U28,0)</f>
        <v>0</v>
      </c>
      <c r="V155" s="34">
        <f>+IF(YEAR(V$140)=YEAR(Assumptions!$F$30),V136+V114+V93+V72+V51+V28,0)</f>
        <v>0</v>
      </c>
      <c r="W155" s="34">
        <f>+IF(YEAR(W$140)=YEAR(Assumptions!$F$30),W136+W114+W93+W72+W51+W28,0)</f>
        <v>0</v>
      </c>
      <c r="X155" s="34">
        <f>+IF(YEAR(X$140)=YEAR(Assumptions!$F$30),X136+X114+X93+X72+X51+X28,0)</f>
        <v>0</v>
      </c>
      <c r="Y155" s="34">
        <f>+IF(YEAR(Y$140)=YEAR(Assumptions!$F$30),Y136+Y114+Y93+Y72+Y51+Y28,0)</f>
        <v>0</v>
      </c>
      <c r="Z155" s="34">
        <f>+IF(YEAR(Z$140)=YEAR(Assumptions!$F$30),Z136+Z114+Z93+Z72+Z51+Z28,0)</f>
        <v>0</v>
      </c>
    </row>
    <row r="156" spans="2:26" ht="17.25">
      <c r="B156" s="207" t="s">
        <v>351</v>
      </c>
      <c r="C156" s="207"/>
      <c r="D156" s="207"/>
      <c r="E156" s="207"/>
      <c r="F156" s="151">
        <f>+IF(YEAR(F$140)=YEAR(Assumptions!$F$26),('S&amp;U'!$H$23-'S&amp;U'!$R$25),0)</f>
        <v>0</v>
      </c>
      <c r="G156" s="151">
        <f>+IF(YEAR(G$140)=YEAR(Assumptions!$F$26),('S&amp;U'!$H$23-'S&amp;U'!$R$25),0)</f>
        <v>0</v>
      </c>
      <c r="H156" s="151">
        <f>+IF(YEAR(H$140)=YEAR(Assumptions!$F$26),('S&amp;U'!$H$23-'S&amp;U'!$R$25),0)</f>
        <v>0</v>
      </c>
      <c r="I156" s="151">
        <f ca="1">+IF(YEAR(I$140)=YEAR(Assumptions!$F$26),('S&amp;U'!$H$23-'S&amp;U'!$R$25),0)</f>
        <v>82322952.138226867</v>
      </c>
      <c r="J156" s="151">
        <f>+IF(YEAR(J$140)=YEAR(Assumptions!$F$26),('S&amp;U'!$H$23-'S&amp;U'!$R$25),0)</f>
        <v>0</v>
      </c>
      <c r="K156" s="151">
        <f>+IF(YEAR(K$140)=YEAR(Assumptions!$F$26),('S&amp;U'!$H$23-'S&amp;U'!$R$25),0)</f>
        <v>0</v>
      </c>
      <c r="L156" s="151">
        <f>+IF(YEAR(L$140)=YEAR(Assumptions!$F$26),('S&amp;U'!$H$23-'S&amp;U'!$R$25),0)</f>
        <v>0</v>
      </c>
      <c r="M156" s="151">
        <f>+IF(YEAR(M$140)=YEAR(Assumptions!$F$26),('S&amp;U'!$H$23-'S&amp;U'!$R$25),0)</f>
        <v>0</v>
      </c>
      <c r="N156" s="151">
        <f>+IF(YEAR(N$140)=YEAR(Assumptions!$F$26),('S&amp;U'!$H$23-'S&amp;U'!$R$25),0)</f>
        <v>0</v>
      </c>
      <c r="O156" s="151">
        <f>+IF(YEAR(O$140)=YEAR(Assumptions!$F$26),('S&amp;U'!$H$23-'S&amp;U'!$R$25),0)</f>
        <v>0</v>
      </c>
      <c r="P156" s="151">
        <f>+IF(YEAR(P$140)=YEAR(Assumptions!$F$26),('S&amp;U'!$H$23-'S&amp;U'!$R$25),0)</f>
        <v>0</v>
      </c>
      <c r="Q156" s="151">
        <f>+IF(YEAR(Q$140)=YEAR(Assumptions!$F$26),('S&amp;U'!$H$23-'S&amp;U'!$R$25),0)</f>
        <v>0</v>
      </c>
      <c r="R156" s="151">
        <f>+IF(YEAR(R$140)=YEAR(Assumptions!$F$26),('S&amp;U'!$H$23-'S&amp;U'!$R$25),0)</f>
        <v>0</v>
      </c>
      <c r="S156" s="151">
        <f>+IF(YEAR(S$140)=YEAR(Assumptions!$F$26),('S&amp;U'!$H$23-'S&amp;U'!$R$25),0)</f>
        <v>0</v>
      </c>
      <c r="T156" s="151">
        <f>+IF(YEAR(T$140)=YEAR(Assumptions!$F$26),('S&amp;U'!$H$23-'S&amp;U'!$R$25),0)</f>
        <v>0</v>
      </c>
      <c r="U156" s="151">
        <f>+IF(YEAR(U$140)=YEAR(Assumptions!$F$26),('S&amp;U'!$H$23-'S&amp;U'!$R$25),0)</f>
        <v>0</v>
      </c>
      <c r="V156" s="151">
        <f>+IF(YEAR(V$140)=YEAR(Assumptions!$F$26),('S&amp;U'!$H$23-'S&amp;U'!$R$25),0)</f>
        <v>0</v>
      </c>
      <c r="W156" s="151">
        <f>+IF(YEAR(W$140)=YEAR(Assumptions!$F$26),('S&amp;U'!$H$23-'S&amp;U'!$R$25),0)</f>
        <v>0</v>
      </c>
      <c r="X156" s="151">
        <f>+IF(YEAR(X$140)=YEAR(Assumptions!$F$26),('S&amp;U'!$H$23-'S&amp;U'!$R$25),0)</f>
        <v>0</v>
      </c>
      <c r="Y156" s="151">
        <f>+IF(YEAR(Y$140)=YEAR(Assumptions!$F$26),('S&amp;U'!$H$23-'S&amp;U'!$R$25),0)</f>
        <v>0</v>
      </c>
      <c r="Z156" s="151">
        <f>+IF(YEAR(Z$140)=YEAR(Assumptions!$F$26),('S&amp;U'!$H$23-'S&amp;U'!$R$25),0)</f>
        <v>0</v>
      </c>
    </row>
    <row r="157" spans="2:26">
      <c r="B157" s="33" t="s">
        <v>319</v>
      </c>
      <c r="F157" s="151">
        <f>-F155*Assumptions!$N$136</f>
        <v>0</v>
      </c>
      <c r="G157" s="151">
        <f>-G155*Assumptions!$N$136</f>
        <v>0</v>
      </c>
      <c r="H157" s="151">
        <f>-H155*Assumptions!$N$136</f>
        <v>0</v>
      </c>
      <c r="I157" s="151">
        <f>-I155*Assumptions!$N$136</f>
        <v>0</v>
      </c>
      <c r="J157" s="151">
        <f>-J155*Assumptions!$N$136</f>
        <v>0</v>
      </c>
      <c r="K157" s="151">
        <f>-K155*Assumptions!$N$136</f>
        <v>0</v>
      </c>
      <c r="L157" s="151">
        <f>-L155*Assumptions!$N$136</f>
        <v>0</v>
      </c>
      <c r="M157" s="151">
        <f>-M155*Assumptions!$N$136</f>
        <v>0</v>
      </c>
      <c r="N157" s="151">
        <f>-N155*Assumptions!$N$136</f>
        <v>0</v>
      </c>
      <c r="O157" s="151">
        <f>-O155*Assumptions!$N$136</f>
        <v>0</v>
      </c>
      <c r="P157" s="151">
        <f ca="1">-P155*Assumptions!$N$136</f>
        <v>-11717882.586490927</v>
      </c>
      <c r="Q157" s="151">
        <f>-Q155*Assumptions!$N$136</f>
        <v>0</v>
      </c>
      <c r="R157" s="151">
        <f>-R155*Assumptions!$N$136</f>
        <v>0</v>
      </c>
      <c r="S157" s="151">
        <f>-S155*Assumptions!$N$136</f>
        <v>0</v>
      </c>
      <c r="T157" s="151">
        <f>-T155*Assumptions!$N$136</f>
        <v>0</v>
      </c>
      <c r="U157" s="151">
        <f>-U155*Assumptions!$N$136</f>
        <v>0</v>
      </c>
      <c r="V157" s="151">
        <f>-V155*Assumptions!$N$136</f>
        <v>0</v>
      </c>
      <c r="W157" s="151">
        <f>-W155*Assumptions!$N$136</f>
        <v>0</v>
      </c>
      <c r="X157" s="151">
        <f>-X155*Assumptions!$N$136</f>
        <v>0</v>
      </c>
      <c r="Y157" s="151">
        <f>-Y155*Assumptions!$N$136</f>
        <v>0</v>
      </c>
      <c r="Z157" s="151">
        <f>-Z155*Assumptions!$N$136</f>
        <v>0</v>
      </c>
    </row>
    <row r="158" spans="2:26">
      <c r="B158" s="33" t="s">
        <v>320</v>
      </c>
      <c r="F158" s="151">
        <f>+IF(YEAR(F$140)=YEAR(Assumptions!$F$30),-F144,0)</f>
        <v>0</v>
      </c>
      <c r="G158" s="151">
        <f>+IF(YEAR(G$140)=YEAR(Assumptions!$F$30),-G144,0)</f>
        <v>0</v>
      </c>
      <c r="H158" s="151">
        <f>+IF(YEAR(H$140)=YEAR(Assumptions!$F$30),-H144,0)</f>
        <v>0</v>
      </c>
      <c r="I158" s="151">
        <f>+IF(YEAR(I$140)=YEAR(Assumptions!$F$30),-I144,0)</f>
        <v>0</v>
      </c>
      <c r="J158" s="151">
        <f>+IF(YEAR(J$140)=YEAR(Assumptions!$F$30),-J144,0)</f>
        <v>0</v>
      </c>
      <c r="K158" s="151">
        <f>+IF(YEAR(K$140)=YEAR(Assumptions!$F$30),-K144,0)</f>
        <v>0</v>
      </c>
      <c r="L158" s="151">
        <f>+IF(YEAR(L$140)=YEAR(Assumptions!$F$30),-L144,0)</f>
        <v>0</v>
      </c>
      <c r="M158" s="151">
        <f>+IF(YEAR(M$140)=YEAR(Assumptions!$F$30),-M144,0)</f>
        <v>0</v>
      </c>
      <c r="N158" s="151">
        <f>+IF(YEAR(N$140)=YEAR(Assumptions!$F$30),-N144,0)</f>
        <v>0</v>
      </c>
      <c r="O158" s="151">
        <f>+IF(YEAR(O$140)=YEAR(Assumptions!$F$30),-O144,0)</f>
        <v>0</v>
      </c>
      <c r="P158" s="151">
        <f ca="1">+IF(YEAR(P$140)=YEAR(Assumptions!$F$30),-P144,0)</f>
        <v>-280929346.88748974</v>
      </c>
      <c r="Q158" s="151">
        <f>+IF(YEAR(Q$140)=YEAR(Assumptions!$F$30),-Q144,0)</f>
        <v>0</v>
      </c>
      <c r="R158" s="151">
        <f>+IF(YEAR(R$140)=YEAR(Assumptions!$F$30),-R144,0)</f>
        <v>0</v>
      </c>
      <c r="S158" s="151">
        <f>+IF(YEAR(S$140)=YEAR(Assumptions!$F$30),-S144,0)</f>
        <v>0</v>
      </c>
      <c r="T158" s="151">
        <f>+IF(YEAR(T$140)=YEAR(Assumptions!$F$30),-T144,0)</f>
        <v>0</v>
      </c>
      <c r="U158" s="151">
        <f>+IF(YEAR(U$140)=YEAR(Assumptions!$F$30),-U144,0)</f>
        <v>0</v>
      </c>
      <c r="V158" s="151">
        <f>+IF(YEAR(V$140)=YEAR(Assumptions!$F$30),-V144,0)</f>
        <v>0</v>
      </c>
      <c r="W158" s="151">
        <f>+IF(YEAR(W$140)=YEAR(Assumptions!$F$30),-W144,0)</f>
        <v>0</v>
      </c>
      <c r="X158" s="151">
        <f>+IF(YEAR(X$140)=YEAR(Assumptions!$F$30),-X144,0)</f>
        <v>0</v>
      </c>
      <c r="Y158" s="151">
        <f>+IF(YEAR(Y$140)=YEAR(Assumptions!$F$30),-Y144,0)</f>
        <v>0</v>
      </c>
      <c r="Z158" s="151">
        <f>+IF(YEAR(Z$140)=YEAR(Assumptions!$F$30),-Z144,0)</f>
        <v>0</v>
      </c>
    </row>
    <row r="159" spans="2:26">
      <c r="B159" s="137" t="s">
        <v>321</v>
      </c>
      <c r="C159" s="137"/>
      <c r="D159" s="137"/>
      <c r="E159" s="137"/>
      <c r="F159" s="129">
        <f>+SUM(F155:F158)</f>
        <v>0</v>
      </c>
      <c r="G159" s="129">
        <f t="shared" ref="G159:Z159" si="341">+SUM(G155:G158)</f>
        <v>0</v>
      </c>
      <c r="H159" s="129">
        <f t="shared" si="341"/>
        <v>0</v>
      </c>
      <c r="I159" s="129">
        <f t="shared" ca="1" si="341"/>
        <v>82322952.138226867</v>
      </c>
      <c r="J159" s="129">
        <f t="shared" si="341"/>
        <v>0</v>
      </c>
      <c r="K159" s="129">
        <f t="shared" si="341"/>
        <v>0</v>
      </c>
      <c r="L159" s="129">
        <f t="shared" si="341"/>
        <v>0</v>
      </c>
      <c r="M159" s="129">
        <f t="shared" si="341"/>
        <v>0</v>
      </c>
      <c r="N159" s="129">
        <f t="shared" si="341"/>
        <v>0</v>
      </c>
      <c r="O159" s="129">
        <f t="shared" si="341"/>
        <v>0</v>
      </c>
      <c r="P159" s="129">
        <f t="shared" ca="1" si="341"/>
        <v>293246899.85056573</v>
      </c>
      <c r="Q159" s="129">
        <f t="shared" si="341"/>
        <v>0</v>
      </c>
      <c r="R159" s="129">
        <f t="shared" si="341"/>
        <v>0</v>
      </c>
      <c r="S159" s="129">
        <f t="shared" si="341"/>
        <v>0</v>
      </c>
      <c r="T159" s="129">
        <f t="shared" si="341"/>
        <v>0</v>
      </c>
      <c r="U159" s="129">
        <f t="shared" si="341"/>
        <v>0</v>
      </c>
      <c r="V159" s="129">
        <f t="shared" si="341"/>
        <v>0</v>
      </c>
      <c r="W159" s="129">
        <f t="shared" si="341"/>
        <v>0</v>
      </c>
      <c r="X159" s="129">
        <f t="shared" si="341"/>
        <v>0</v>
      </c>
      <c r="Y159" s="129">
        <f t="shared" si="341"/>
        <v>0</v>
      </c>
      <c r="Z159" s="129">
        <f t="shared" si="341"/>
        <v>0</v>
      </c>
    </row>
    <row r="160" spans="2:26">
      <c r="B160" s="208" t="s">
        <v>700</v>
      </c>
    </row>
    <row r="162" spans="2:26" ht="15.5">
      <c r="B162" s="138" t="s">
        <v>322</v>
      </c>
      <c r="C162" s="138"/>
      <c r="D162" s="138"/>
      <c r="E162" s="138"/>
      <c r="F162" s="139">
        <f ca="1">+IF(YEAR(F$140)&lt;=YEAR(Assumptions!$F$30),'Phase I Pro Forma'!F159+'Phase I Pro Forma'!F152,0)</f>
        <v>0</v>
      </c>
      <c r="G162" s="139">
        <f ca="1">+IF(YEAR(G$140)&lt;=YEAR(Assumptions!$F$30),'Phase I Pro Forma'!G159+'Phase I Pro Forma'!G152,0)</f>
        <v>0</v>
      </c>
      <c r="H162" s="139">
        <f ca="1">+IF(YEAR(H$140)&lt;=YEAR(Assumptions!$F$30),'Phase I Pro Forma'!H159+'Phase I Pro Forma'!H152,0)</f>
        <v>0</v>
      </c>
      <c r="I162" s="139">
        <f ca="1">+IF(YEAR(I$140)&lt;=YEAR(Assumptions!$F$30),'Phase I Pro Forma'!I159+'Phase I Pro Forma'!I152,0)</f>
        <v>71667757.451829597</v>
      </c>
      <c r="J162" s="139">
        <f ca="1">+IF(YEAR(J$140)&lt;=YEAR(Assumptions!$F$30),'Phase I Pro Forma'!J159+'Phase I Pro Forma'!J152,0)</f>
        <v>9576755.6088678241</v>
      </c>
      <c r="K162" s="139">
        <f ca="1">+IF(YEAR(K$140)&lt;=YEAR(Assumptions!$F$30),'Phase I Pro Forma'!K159+'Phase I Pro Forma'!K152,0)</f>
        <v>9808367.1318445057</v>
      </c>
      <c r="L162" s="139">
        <f ca="1">+IF(YEAR(L$140)&lt;=YEAR(Assumptions!$F$30),'Phase I Pro Forma'!L159+'Phase I Pro Forma'!L152,0)</f>
        <v>12499241.444346756</v>
      </c>
      <c r="M162" s="139">
        <f ca="1">+IF(YEAR(M$140)&lt;=YEAR(Assumptions!$F$30),'Phase I Pro Forma'!M159+'Phase I Pro Forma'!M152,0)</f>
        <v>12683745.108069837</v>
      </c>
      <c r="N162" s="139">
        <f ca="1">+IF(YEAR(N$140)&lt;=YEAR(Assumptions!$F$30),'Phase I Pro Forma'!N159+'Phase I Pro Forma'!N152,0)</f>
        <v>12928806.880704403</v>
      </c>
      <c r="O162" s="139">
        <f ca="1">+IF(YEAR(O$140)&lt;=YEAR(Assumptions!$F$30),'Phase I Pro Forma'!O159+'Phase I Pro Forma'!O152,0)</f>
        <v>13178518.113854293</v>
      </c>
      <c r="P162" s="139">
        <f ca="1">+IF(YEAR(P$140)&lt;=YEAR(Assumptions!$F$30),'Phase I Pro Forma'!P159+'Phase I Pro Forma'!P152,0)</f>
        <v>306622751.61672366</v>
      </c>
      <c r="Q162" s="139">
        <f>+IF(YEAR(Q$140)&lt;=YEAR(Assumptions!$F$30),'Phase I Pro Forma'!Q159+'Phase I Pro Forma'!Q152,0)</f>
        <v>0</v>
      </c>
      <c r="R162" s="139">
        <f>+IF(YEAR(R$140)&lt;=YEAR(Assumptions!$F$30),'Phase I Pro Forma'!R159+'Phase I Pro Forma'!R152,0)</f>
        <v>0</v>
      </c>
      <c r="S162" s="139">
        <f>+IF(YEAR(S$140)&lt;=YEAR(Assumptions!$F$30),'Phase I Pro Forma'!S159+'Phase I Pro Forma'!S152,0)</f>
        <v>0</v>
      </c>
      <c r="T162" s="139">
        <f>+IF(YEAR(T$140)&lt;=YEAR(Assumptions!$F$30),'Phase I Pro Forma'!T159+'Phase I Pro Forma'!T152,0)</f>
        <v>0</v>
      </c>
      <c r="U162" s="139">
        <f>+IF(YEAR(U$140)&lt;=YEAR(Assumptions!$F$30),'Phase I Pro Forma'!U159+'Phase I Pro Forma'!U152,0)</f>
        <v>0</v>
      </c>
      <c r="V162" s="139">
        <f>+IF(YEAR(V$140)&lt;=YEAR(Assumptions!$F$30),'Phase I Pro Forma'!V159+'Phase I Pro Forma'!V152,0)</f>
        <v>0</v>
      </c>
      <c r="W162" s="139">
        <f>+IF(YEAR(W$140)&lt;=YEAR(Assumptions!$F$30),'Phase I Pro Forma'!W159+'Phase I Pro Forma'!W152,0)</f>
        <v>0</v>
      </c>
      <c r="X162" s="139">
        <f>+IF(YEAR(X$140)&lt;=YEAR(Assumptions!$F$30),'Phase I Pro Forma'!X159+'Phase I Pro Forma'!X152,0)</f>
        <v>0</v>
      </c>
      <c r="Y162" s="139">
        <f>+IF(YEAR(Y$140)&lt;=YEAR(Assumptions!$F$30),'Phase I Pro Forma'!Y159+'Phase I Pro Forma'!Y152,0)</f>
        <v>0</v>
      </c>
      <c r="Z162" s="139">
        <f>+IF(YEAR(Z$140)&lt;=YEAR(Assumptions!$F$30),'Phase I Pro Forma'!Z159+'Phase I Pro Forma'!Z152,0)</f>
        <v>0</v>
      </c>
    </row>
    <row r="164" spans="2:26" ht="15.5">
      <c r="B164" s="37" t="s">
        <v>698</v>
      </c>
      <c r="C164" s="38"/>
      <c r="D164" s="38"/>
      <c r="E164" s="38"/>
      <c r="F164" s="136"/>
      <c r="G164" s="136"/>
      <c r="H164" s="136"/>
      <c r="I164" s="136"/>
      <c r="J164" s="136"/>
      <c r="K164" s="136"/>
      <c r="L164" s="136"/>
      <c r="M164" s="136"/>
      <c r="N164" s="136"/>
      <c r="O164" s="136"/>
      <c r="P164" s="136"/>
      <c r="Q164" s="136"/>
      <c r="R164" s="136"/>
      <c r="S164" s="136"/>
      <c r="T164" s="136"/>
      <c r="U164" s="136"/>
      <c r="V164" s="136"/>
      <c r="W164" s="136"/>
      <c r="X164" s="136"/>
      <c r="Y164" s="136"/>
      <c r="Z164" s="136"/>
    </row>
    <row r="166" spans="2:26" ht="15.5">
      <c r="B166" s="148" t="s">
        <v>26</v>
      </c>
      <c r="C166" s="149"/>
      <c r="D166" s="149"/>
      <c r="E166" s="149"/>
      <c r="F166" s="150">
        <f>+Assumptions!$F$22</f>
        <v>44561</v>
      </c>
      <c r="G166" s="150">
        <f>+EOMONTH(F166,12)</f>
        <v>44926</v>
      </c>
      <c r="H166" s="150">
        <f t="shared" ref="H166:Z166" si="342">+EOMONTH(G166,12)</f>
        <v>45291</v>
      </c>
      <c r="I166" s="150">
        <f t="shared" si="342"/>
        <v>45657</v>
      </c>
      <c r="J166" s="150">
        <f t="shared" si="342"/>
        <v>46022</v>
      </c>
      <c r="K166" s="150">
        <f t="shared" si="342"/>
        <v>46387</v>
      </c>
      <c r="L166" s="150">
        <f t="shared" si="342"/>
        <v>46752</v>
      </c>
      <c r="M166" s="150">
        <f t="shared" si="342"/>
        <v>47118</v>
      </c>
      <c r="N166" s="150">
        <f t="shared" si="342"/>
        <v>47483</v>
      </c>
      <c r="O166" s="150">
        <f t="shared" si="342"/>
        <v>47848</v>
      </c>
      <c r="P166" s="150">
        <f t="shared" si="342"/>
        <v>48213</v>
      </c>
      <c r="Q166" s="150">
        <f t="shared" si="342"/>
        <v>48579</v>
      </c>
      <c r="R166" s="150">
        <f t="shared" si="342"/>
        <v>48944</v>
      </c>
      <c r="S166" s="150">
        <f t="shared" si="342"/>
        <v>49309</v>
      </c>
      <c r="T166" s="150">
        <f t="shared" si="342"/>
        <v>49674</v>
      </c>
      <c r="U166" s="150">
        <f t="shared" si="342"/>
        <v>50040</v>
      </c>
      <c r="V166" s="150">
        <f t="shared" si="342"/>
        <v>50405</v>
      </c>
      <c r="W166" s="150">
        <f t="shared" si="342"/>
        <v>50770</v>
      </c>
      <c r="X166" s="150">
        <f t="shared" si="342"/>
        <v>51135</v>
      </c>
      <c r="Y166" s="150">
        <f t="shared" si="342"/>
        <v>51501</v>
      </c>
      <c r="Z166" s="150">
        <f t="shared" si="342"/>
        <v>51866</v>
      </c>
    </row>
    <row r="167" spans="2:26">
      <c r="B167" s="33" t="s">
        <v>691</v>
      </c>
      <c r="C167" s="33"/>
      <c r="D167" s="40"/>
      <c r="E167" s="40"/>
      <c r="F167" s="42">
        <f>+IF(AND(F166&gt;=Assumptions!$F$26,F166&lt;Assumptions!$F$28),Assumptions!$F$93/ROUNDUP((Assumptions!$F$27/12),0),0)</f>
        <v>0</v>
      </c>
      <c r="G167" s="42">
        <f>+IF(AND(G166&gt;=Assumptions!$F$26,G166&lt;Assumptions!$F$28),Assumptions!$F$93/ROUNDUP((Assumptions!$F$27/12),0),0)</f>
        <v>0</v>
      </c>
      <c r="H167" s="42">
        <f>+IF(AND(H166&gt;=Assumptions!$F$26,H166&lt;Assumptions!$F$28),Assumptions!$F$93/ROUNDUP((Assumptions!$F$27/12),0),0)</f>
        <v>0</v>
      </c>
      <c r="I167" s="42">
        <f>+IF(AND(I166&gt;=Assumptions!$F$26,I166&lt;Assumptions!$F$28),Assumptions!$F$93/ROUNDUP((Assumptions!$F$27/12),0),0)</f>
        <v>5.0000000000000004E-6</v>
      </c>
      <c r="J167" s="42">
        <f>+IF(AND(J166&gt;=Assumptions!$F$26,J166&lt;Assumptions!$F$28),Assumptions!$F$93/ROUNDUP((Assumptions!$F$27/12),0),0)</f>
        <v>5.0000000000000004E-6</v>
      </c>
      <c r="K167" s="42">
        <f>+IF(AND(K166&gt;=Assumptions!$F$26,K166&lt;Assumptions!$F$28),Assumptions!$F$93/ROUNDUP((Assumptions!$F$27/12),0),0)</f>
        <v>0</v>
      </c>
      <c r="L167" s="42">
        <f>+IF(AND(L166&gt;=Assumptions!$F$26,L166&lt;Assumptions!$F$28),Assumptions!$F$93/ROUNDUP((Assumptions!$F$27/12),0),0)</f>
        <v>0</v>
      </c>
      <c r="M167" s="42">
        <f>+IF(AND(M166&gt;=Assumptions!$F$26,M166&lt;Assumptions!$F$28),Assumptions!$F$93/ROUNDUP((Assumptions!$F$27/12),0),0)</f>
        <v>0</v>
      </c>
      <c r="N167" s="42">
        <f>+IF(AND(N166&gt;=Assumptions!$F$26,N166&lt;Assumptions!$F$28),Assumptions!$F$93/ROUNDUP((Assumptions!$F$27/12),0),0)</f>
        <v>0</v>
      </c>
      <c r="O167" s="42">
        <f>+IF(AND(O166&gt;=Assumptions!$F$26,O166&lt;Assumptions!$F$28),Assumptions!$F$93/ROUNDUP((Assumptions!$F$27/12),0),0)</f>
        <v>0</v>
      </c>
      <c r="P167" s="42">
        <f>+IF(AND(P166&gt;=Assumptions!$F$26,P166&lt;Assumptions!$F$28),Assumptions!$F$93/ROUNDUP((Assumptions!$F$27/12),0),0)</f>
        <v>0</v>
      </c>
      <c r="Q167" s="42">
        <f>+IF(AND(Q166&gt;=Assumptions!$F$26,Q166&lt;Assumptions!$F$28),Assumptions!$F$93/ROUNDUP((Assumptions!$F$27/12),0),0)</f>
        <v>0</v>
      </c>
      <c r="R167" s="42">
        <f>+IF(AND(R166&gt;=Assumptions!$F$26,R166&lt;Assumptions!$F$28),Assumptions!$F$93/ROUNDUP((Assumptions!$F$27/12),0),0)</f>
        <v>0</v>
      </c>
      <c r="S167" s="42">
        <f>+IF(AND(S166&gt;=Assumptions!$F$26,S166&lt;Assumptions!$F$28),Assumptions!$F$93/ROUNDUP((Assumptions!$F$27/12),0),0)</f>
        <v>0</v>
      </c>
      <c r="T167" s="42">
        <f>+IF(AND(T166&gt;=Assumptions!$F$26,T166&lt;Assumptions!$F$28),Assumptions!$F$93/ROUNDUP((Assumptions!$F$27/12),0),0)</f>
        <v>0</v>
      </c>
      <c r="U167" s="42">
        <f>+IF(AND(U166&gt;=Assumptions!$F$26,U166&lt;Assumptions!$F$28),Assumptions!$F$93/ROUNDUP((Assumptions!$F$27/12),0),0)</f>
        <v>0</v>
      </c>
      <c r="V167" s="42">
        <f>+IF(AND(V166&gt;=Assumptions!$F$26,V166&lt;Assumptions!$F$28),Assumptions!$F$93/ROUNDUP((Assumptions!$F$27/12),0),0)</f>
        <v>0</v>
      </c>
      <c r="W167" s="42">
        <f>+IF(AND(W166&gt;=Assumptions!$F$26,W166&lt;Assumptions!$F$28),Assumptions!$F$93/ROUNDUP((Assumptions!$F$27/12),0),0)</f>
        <v>0</v>
      </c>
      <c r="X167" s="42">
        <f>+IF(AND(X166&gt;=Assumptions!$F$26,X166&lt;Assumptions!$F$28),Assumptions!$F$93/ROUNDUP((Assumptions!$F$27/12),0),0)</f>
        <v>0</v>
      </c>
      <c r="Y167" s="42">
        <f>+IF(AND(Y166&gt;=Assumptions!$F$26,Y166&lt;Assumptions!$F$28),Assumptions!$F$93/ROUNDUP((Assumptions!$F$27/12),0),0)</f>
        <v>0</v>
      </c>
      <c r="Z167" s="42">
        <f>+IF(AND(Z166&gt;=Assumptions!$F$26,Z166&lt;Assumptions!$F$28),Assumptions!$F$93/ROUNDUP((Assumptions!$F$27/12),0),0)</f>
        <v>0</v>
      </c>
    </row>
    <row r="168" spans="2:26">
      <c r="B168" s="33" t="s">
        <v>290</v>
      </c>
      <c r="C168" s="33"/>
      <c r="D168" s="40"/>
      <c r="E168" s="40"/>
      <c r="F168" s="42">
        <f>+D168+F167</f>
        <v>0</v>
      </c>
      <c r="G168" s="42">
        <f t="shared" ref="G168:Z168" si="343">+F168+G167</f>
        <v>0</v>
      </c>
      <c r="H168" s="42">
        <f t="shared" si="343"/>
        <v>0</v>
      </c>
      <c r="I168" s="42">
        <f t="shared" si="343"/>
        <v>5.0000000000000004E-6</v>
      </c>
      <c r="J168" s="42">
        <f t="shared" si="343"/>
        <v>1.0000000000000001E-5</v>
      </c>
      <c r="K168" s="42">
        <f t="shared" si="343"/>
        <v>1.0000000000000001E-5</v>
      </c>
      <c r="L168" s="42">
        <f t="shared" si="343"/>
        <v>1.0000000000000001E-5</v>
      </c>
      <c r="M168" s="42">
        <f t="shared" si="343"/>
        <v>1.0000000000000001E-5</v>
      </c>
      <c r="N168" s="42">
        <f t="shared" si="343"/>
        <v>1.0000000000000001E-5</v>
      </c>
      <c r="O168" s="42">
        <f t="shared" si="343"/>
        <v>1.0000000000000001E-5</v>
      </c>
      <c r="P168" s="42">
        <f t="shared" si="343"/>
        <v>1.0000000000000001E-5</v>
      </c>
      <c r="Q168" s="42">
        <f t="shared" si="343"/>
        <v>1.0000000000000001E-5</v>
      </c>
      <c r="R168" s="42">
        <f t="shared" si="343"/>
        <v>1.0000000000000001E-5</v>
      </c>
      <c r="S168" s="42">
        <f t="shared" si="343"/>
        <v>1.0000000000000001E-5</v>
      </c>
      <c r="T168" s="42">
        <f t="shared" si="343"/>
        <v>1.0000000000000001E-5</v>
      </c>
      <c r="U168" s="42">
        <f t="shared" si="343"/>
        <v>1.0000000000000001E-5</v>
      </c>
      <c r="V168" s="42">
        <f t="shared" si="343"/>
        <v>1.0000000000000001E-5</v>
      </c>
      <c r="W168" s="42">
        <f t="shared" si="343"/>
        <v>1.0000000000000001E-5</v>
      </c>
      <c r="X168" s="42">
        <f t="shared" si="343"/>
        <v>1.0000000000000001E-5</v>
      </c>
      <c r="Y168" s="42">
        <f t="shared" si="343"/>
        <v>1.0000000000000001E-5</v>
      </c>
      <c r="Z168" s="42">
        <f t="shared" si="343"/>
        <v>1.0000000000000001E-5</v>
      </c>
    </row>
    <row r="169" spans="2:26">
      <c r="B169" s="33" t="s">
        <v>284</v>
      </c>
      <c r="C169" s="33"/>
      <c r="D169" s="42"/>
      <c r="E169" s="42"/>
      <c r="F169" s="108">
        <f t="shared" ref="F169:J169" si="344">+F168/SUM($F167:$Z167)</f>
        <v>0</v>
      </c>
      <c r="G169" s="108">
        <f t="shared" si="344"/>
        <v>0</v>
      </c>
      <c r="H169" s="108">
        <f t="shared" si="344"/>
        <v>0</v>
      </c>
      <c r="I169" s="108">
        <f t="shared" si="344"/>
        <v>0.5</v>
      </c>
      <c r="J169" s="108">
        <f t="shared" si="344"/>
        <v>1</v>
      </c>
      <c r="K169" s="108">
        <f>+K168/SUM($F167:$Z167)</f>
        <v>1</v>
      </c>
      <c r="L169" s="108">
        <f t="shared" ref="L169:Z169" si="345">+L168/SUM($F167:$Z167)</f>
        <v>1</v>
      </c>
      <c r="M169" s="108">
        <f t="shared" si="345"/>
        <v>1</v>
      </c>
      <c r="N169" s="108">
        <f t="shared" si="345"/>
        <v>1</v>
      </c>
      <c r="O169" s="108">
        <f t="shared" si="345"/>
        <v>1</v>
      </c>
      <c r="P169" s="108">
        <f t="shared" si="345"/>
        <v>1</v>
      </c>
      <c r="Q169" s="108">
        <f t="shared" si="345"/>
        <v>1</v>
      </c>
      <c r="R169" s="108">
        <f t="shared" si="345"/>
        <v>1</v>
      </c>
      <c r="S169" s="108">
        <f t="shared" si="345"/>
        <v>1</v>
      </c>
      <c r="T169" s="108">
        <f t="shared" si="345"/>
        <v>1</v>
      </c>
      <c r="U169" s="108">
        <f t="shared" si="345"/>
        <v>1</v>
      </c>
      <c r="V169" s="108">
        <f t="shared" si="345"/>
        <v>1</v>
      </c>
      <c r="W169" s="108">
        <f t="shared" si="345"/>
        <v>1</v>
      </c>
      <c r="X169" s="108">
        <f t="shared" si="345"/>
        <v>1</v>
      </c>
      <c r="Y169" s="108">
        <f t="shared" si="345"/>
        <v>1</v>
      </c>
      <c r="Z169" s="108">
        <f t="shared" si="345"/>
        <v>1</v>
      </c>
    </row>
    <row r="170" spans="2:26">
      <c r="B170" s="33"/>
      <c r="C170" s="33"/>
      <c r="D170" s="42"/>
      <c r="E170" s="42"/>
      <c r="F170" s="108"/>
      <c r="G170" s="108"/>
      <c r="H170" s="108"/>
      <c r="I170" s="108"/>
      <c r="J170" s="108"/>
      <c r="K170" s="108"/>
      <c r="L170" s="108"/>
      <c r="M170" s="108"/>
      <c r="N170" s="108"/>
      <c r="O170" s="108"/>
      <c r="P170" s="108"/>
      <c r="Q170" s="108"/>
      <c r="R170" s="108"/>
      <c r="S170" s="108"/>
      <c r="T170" s="108"/>
      <c r="U170" s="108"/>
      <c r="V170" s="108"/>
      <c r="W170" s="108"/>
      <c r="X170" s="108"/>
      <c r="Y170" s="108"/>
      <c r="Z170" s="108"/>
    </row>
    <row r="171" spans="2:26">
      <c r="B171" s="33" t="s">
        <v>287</v>
      </c>
      <c r="F171" s="34">
        <f>+IF(F2=1,Assumptions!$F$118,IF(F2=2,Assumptions!$F$120,IF(F2&gt;2,Assumptions!$F$97,0)))</f>
        <v>0</v>
      </c>
      <c r="G171" s="34">
        <f>+IF(G2=1,Assumptions!$F$118,IF(G2=2,Assumptions!$F$120,IF(G2&gt;2,Assumptions!$F$97,0)))</f>
        <v>0</v>
      </c>
      <c r="H171" s="34">
        <f>+IF(H2=1,Assumptions!$F$118,IF(H2=2,Assumptions!$F$120,IF(H2&gt;2,Assumptions!$F$97,0)))</f>
        <v>0</v>
      </c>
      <c r="I171" s="34">
        <f>+IF(I2=1,Assumptions!$F$118,IF(I2=2,Assumptions!$F$120,IF(I2&gt;2,Assumptions!$F$97,0)))</f>
        <v>170</v>
      </c>
      <c r="J171" s="34">
        <f>+IF(J2=1,Assumptions!$F$118,IF(J2=2,Assumptions!$F$120,IF(J2&gt;2,Assumptions!$F$97,0)))</f>
        <v>175</v>
      </c>
      <c r="K171" s="34">
        <f>+IF(K2=1,Assumptions!$F$118,IF(K2=2,Assumptions!$F$120,IF(K2&gt;2,Assumptions!$F$97,0)))</f>
        <v>180</v>
      </c>
      <c r="L171" s="34">
        <f>+IF(L2=1,Assumptions!$F$118,IF(L2=2,Assumptions!$F$120,IF(L2&gt;2,Assumptions!$F$97,0)))</f>
        <v>180</v>
      </c>
      <c r="M171" s="34">
        <f>+IF(M2=1,Assumptions!$F$118,IF(M2=2,Assumptions!$F$120,IF(M2&gt;2,Assumptions!$F$97,0)))</f>
        <v>180</v>
      </c>
      <c r="N171" s="34">
        <f>+IF(N2=1,Assumptions!$F$118,IF(N2=2,Assumptions!$F$120,IF(N2&gt;2,Assumptions!$F$97,0)))</f>
        <v>180</v>
      </c>
      <c r="O171" s="34">
        <f>+IF(O2=1,Assumptions!$F$118,IF(O2=2,Assumptions!$F$120,IF(O2&gt;2,Assumptions!$F$97,0)))</f>
        <v>180</v>
      </c>
      <c r="P171" s="34">
        <f>+IF(P2=1,Assumptions!$F$118,IF(P2=2,Assumptions!$F$120,IF(P2&gt;2,Assumptions!$F$97,0)))</f>
        <v>180</v>
      </c>
      <c r="Q171" s="34">
        <f>+IF(Q2=1,Assumptions!$F$118,IF(Q2=2,Assumptions!$F$120,IF(Q2&gt;2,Assumptions!$F$97,0)))</f>
        <v>180</v>
      </c>
      <c r="R171" s="34">
        <f>+IF(R2=1,Assumptions!$F$118,IF(R2=2,Assumptions!$F$120,IF(R2&gt;2,Assumptions!$F$97,0)))</f>
        <v>180</v>
      </c>
      <c r="S171" s="34">
        <f>+IF(S2=1,Assumptions!$F$118,IF(S2=2,Assumptions!$F$120,IF(S2&gt;2,Assumptions!$F$97,0)))</f>
        <v>180</v>
      </c>
      <c r="T171" s="34">
        <f>+IF(T2=1,Assumptions!$F$118,IF(T2=2,Assumptions!$F$120,IF(T2&gt;2,Assumptions!$F$97,0)))</f>
        <v>180</v>
      </c>
      <c r="U171" s="34">
        <f>+IF(U2=1,Assumptions!$F$118,IF(U2=2,Assumptions!$F$120,IF(U2&gt;2,Assumptions!$F$97,0)))</f>
        <v>180</v>
      </c>
      <c r="V171" s="34">
        <f>+IF(V2=1,Assumptions!$F$118,IF(V2=2,Assumptions!$F$120,IF(V2&gt;2,Assumptions!$F$97,0)))</f>
        <v>180</v>
      </c>
      <c r="W171" s="34">
        <f>+IF(W2=1,Assumptions!$F$118,IF(W2=2,Assumptions!$F$120,IF(W2&gt;2,Assumptions!$F$97,0)))</f>
        <v>180</v>
      </c>
      <c r="X171" s="34">
        <f>+IF(X2=1,Assumptions!$F$118,IF(X2=2,Assumptions!$F$120,IF(X2&gt;2,Assumptions!$F$97,0)))</f>
        <v>180</v>
      </c>
      <c r="Y171" s="34">
        <f>+IF(Y2=1,Assumptions!$F$118,IF(Y2=2,Assumptions!$F$120,IF(Y2&gt;2,Assumptions!$F$97,0)))</f>
        <v>180</v>
      </c>
      <c r="Z171" s="34">
        <f>+IF(Z2=1,Assumptions!$F$118,IF(Z2=2,Assumptions!$F$120,IF(Z2&gt;2,Assumptions!$F$97,0)))</f>
        <v>180</v>
      </c>
    </row>
    <row r="172" spans="2:26">
      <c r="B172" s="33" t="s">
        <v>294</v>
      </c>
      <c r="C172" s="33"/>
      <c r="D172" s="42"/>
      <c r="E172" s="42"/>
      <c r="F172" s="108">
        <v>1</v>
      </c>
      <c r="G172" s="108">
        <f>+F172*(1+Assumptions!$N$67)</f>
        <v>1</v>
      </c>
      <c r="H172" s="108">
        <f>+G172*(1+Assumptions!$N$67)</f>
        <v>1</v>
      </c>
      <c r="I172" s="108">
        <f>+H172*(1+Assumptions!$N$67)</f>
        <v>1</v>
      </c>
      <c r="J172" s="108">
        <f>+I172*(1+Assumptions!$N$67)</f>
        <v>1</v>
      </c>
      <c r="K172" s="108">
        <f>+J172*(1+Assumptions!$N$67)</f>
        <v>1</v>
      </c>
      <c r="L172" s="108">
        <f>+K172*(1+Assumptions!$N$67)</f>
        <v>1</v>
      </c>
      <c r="M172" s="108">
        <f>+L172*(1+Assumptions!$N$67)</f>
        <v>1</v>
      </c>
      <c r="N172" s="108">
        <f>+M172*(1+Assumptions!$N$67)</f>
        <v>1</v>
      </c>
      <c r="O172" s="108">
        <f>+N172*(1+Assumptions!$N$67)</f>
        <v>1</v>
      </c>
      <c r="P172" s="108">
        <f>+O172*(1+Assumptions!$N$67)</f>
        <v>1</v>
      </c>
      <c r="Q172" s="108">
        <f>+P172*(1+Assumptions!$N$67)</f>
        <v>1</v>
      </c>
      <c r="R172" s="108">
        <f>+Q172*(1+Assumptions!$N$67)</f>
        <v>1</v>
      </c>
      <c r="S172" s="108">
        <f>+R172*(1+Assumptions!$N$67)</f>
        <v>1</v>
      </c>
      <c r="T172" s="108">
        <f>+S172*(1+Assumptions!$N$67)</f>
        <v>1</v>
      </c>
      <c r="U172" s="108">
        <f>+T172*(1+Assumptions!$N$67)</f>
        <v>1</v>
      </c>
      <c r="V172" s="108">
        <f>+U172*(1+Assumptions!$N$67)</f>
        <v>1</v>
      </c>
      <c r="W172" s="108">
        <f>+V172*(1+Assumptions!$N$67)</f>
        <v>1</v>
      </c>
      <c r="X172" s="108">
        <f>+W172*(1+Assumptions!$N$67)</f>
        <v>1</v>
      </c>
      <c r="Y172" s="108">
        <f>+X172*(1+Assumptions!$N$67)</f>
        <v>1</v>
      </c>
      <c r="Z172" s="108">
        <f>+Y172*(1+Assumptions!$N$67)</f>
        <v>1</v>
      </c>
    </row>
    <row r="173" spans="2:26">
      <c r="B173" s="33" t="s">
        <v>288</v>
      </c>
      <c r="C173" s="33"/>
      <c r="D173" s="42"/>
      <c r="E173" s="42"/>
      <c r="F173" s="34">
        <f>+F171*F172</f>
        <v>0</v>
      </c>
      <c r="G173" s="34">
        <f t="shared" ref="G173:Z173" si="346">+G171*G172</f>
        <v>0</v>
      </c>
      <c r="H173" s="34">
        <f t="shared" si="346"/>
        <v>0</v>
      </c>
      <c r="I173" s="34">
        <f t="shared" si="346"/>
        <v>170</v>
      </c>
      <c r="J173" s="34">
        <f t="shared" si="346"/>
        <v>175</v>
      </c>
      <c r="K173" s="34">
        <f t="shared" si="346"/>
        <v>180</v>
      </c>
      <c r="L173" s="34">
        <f t="shared" si="346"/>
        <v>180</v>
      </c>
      <c r="M173" s="34">
        <f t="shared" si="346"/>
        <v>180</v>
      </c>
      <c r="N173" s="34">
        <f t="shared" si="346"/>
        <v>180</v>
      </c>
      <c r="O173" s="34">
        <f t="shared" si="346"/>
        <v>180</v>
      </c>
      <c r="P173" s="34">
        <f t="shared" si="346"/>
        <v>180</v>
      </c>
      <c r="Q173" s="34">
        <f t="shared" si="346"/>
        <v>180</v>
      </c>
      <c r="R173" s="34">
        <f t="shared" si="346"/>
        <v>180</v>
      </c>
      <c r="S173" s="34">
        <f t="shared" si="346"/>
        <v>180</v>
      </c>
      <c r="T173" s="34">
        <f t="shared" si="346"/>
        <v>180</v>
      </c>
      <c r="U173" s="34">
        <f t="shared" si="346"/>
        <v>180</v>
      </c>
      <c r="V173" s="34">
        <f t="shared" si="346"/>
        <v>180</v>
      </c>
      <c r="W173" s="34">
        <f t="shared" si="346"/>
        <v>180</v>
      </c>
      <c r="X173" s="34">
        <f t="shared" si="346"/>
        <v>180</v>
      </c>
      <c r="Y173" s="34">
        <f t="shared" si="346"/>
        <v>180</v>
      </c>
      <c r="Z173" s="34">
        <f t="shared" si="346"/>
        <v>180</v>
      </c>
    </row>
    <row r="174" spans="2:26">
      <c r="B174" s="33"/>
    </row>
    <row r="175" spans="2:26">
      <c r="B175" s="33" t="s">
        <v>147</v>
      </c>
      <c r="F175" s="108">
        <f>+IF(F2=1,Assumptions!$F$117,IF(F2=2,Assumptions!$F$119,IF(F2&gt;2,Assumptions!$F$96,0)))</f>
        <v>0</v>
      </c>
      <c r="G175" s="108">
        <f>+IF(G2=1,Assumptions!$F$117,IF(G2=2,Assumptions!$F$119,IF(G2&gt;2,Assumptions!$F$96,0)))</f>
        <v>0</v>
      </c>
      <c r="H175" s="108">
        <f>+IF(H2=1,Assumptions!$F$117,IF(H2=2,Assumptions!$F$119,IF(H2&gt;2,Assumptions!$F$96,0)))</f>
        <v>0</v>
      </c>
      <c r="I175" s="108">
        <f>+IF(I2=1,Assumptions!$F$117,IF(I2=2,Assumptions!$F$119,IF(I2&gt;2,Assumptions!$F$96,0)))</f>
        <v>0.65</v>
      </c>
      <c r="J175" s="108">
        <f>+IF(J2=1,Assumptions!$F$117,IF(J2=2,Assumptions!$F$119,IF(J2&gt;2,Assumptions!$F$96,0)))</f>
        <v>0.7</v>
      </c>
      <c r="K175" s="108">
        <f>+IF(K2=1,Assumptions!$F$117,IF(K2=2,Assumptions!$F$119,IF(K2&gt;2,Assumptions!$F$96,0)))</f>
        <v>0.7</v>
      </c>
      <c r="L175" s="108">
        <f>+IF(L2=1,Assumptions!$F$117,IF(L2=2,Assumptions!$F$119,IF(L2&gt;2,Assumptions!$F$96,0)))</f>
        <v>0.7</v>
      </c>
      <c r="M175" s="108">
        <f>+IF(M2=1,Assumptions!$F$117,IF(M2=2,Assumptions!$F$119,IF(M2&gt;2,Assumptions!$F$96,0)))</f>
        <v>0.7</v>
      </c>
      <c r="N175" s="108">
        <f>+IF(N2=1,Assumptions!$F$117,IF(N2=2,Assumptions!$F$119,IF(N2&gt;2,Assumptions!$F$96,0)))</f>
        <v>0.7</v>
      </c>
      <c r="O175" s="108">
        <f>+IF(O2=1,Assumptions!$F$117,IF(O2=2,Assumptions!$F$119,IF(O2&gt;2,Assumptions!$F$96,0)))</f>
        <v>0.7</v>
      </c>
      <c r="P175" s="108">
        <f>+IF(P2=1,Assumptions!$F$117,IF(P2=2,Assumptions!$F$119,IF(P2&gt;2,Assumptions!$F$96,0)))</f>
        <v>0.7</v>
      </c>
      <c r="Q175" s="108">
        <f>+IF(Q2=1,Assumptions!$F$117,IF(Q2=2,Assumptions!$F$119,IF(Q2&gt;2,Assumptions!$F$96,0)))</f>
        <v>0.7</v>
      </c>
      <c r="R175" s="108">
        <f>+IF(R2=1,Assumptions!$F$117,IF(R2=2,Assumptions!$F$119,IF(R2&gt;2,Assumptions!$F$96,0)))</f>
        <v>0.7</v>
      </c>
      <c r="S175" s="108">
        <f>+IF(S2=1,Assumptions!$F$117,IF(S2=2,Assumptions!$F$119,IF(S2&gt;2,Assumptions!$F$96,0)))</f>
        <v>0.7</v>
      </c>
      <c r="T175" s="108">
        <f>+IF(T2=1,Assumptions!$F$117,IF(T2=2,Assumptions!$F$119,IF(T2&gt;2,Assumptions!$F$96,0)))</f>
        <v>0.7</v>
      </c>
      <c r="U175" s="108">
        <f>+IF(U2=1,Assumptions!$F$117,IF(U2=2,Assumptions!$F$119,IF(U2&gt;2,Assumptions!$F$96,0)))</f>
        <v>0.7</v>
      </c>
      <c r="V175" s="108">
        <f>+IF(V2=1,Assumptions!$F$117,IF(V2=2,Assumptions!$F$119,IF(V2&gt;2,Assumptions!$F$96,0)))</f>
        <v>0.7</v>
      </c>
      <c r="W175" s="108">
        <f>+IF(W2=1,Assumptions!$F$117,IF(W2=2,Assumptions!$F$119,IF(W2&gt;2,Assumptions!$F$96,0)))</f>
        <v>0.7</v>
      </c>
      <c r="X175" s="108">
        <f>+IF(X2=1,Assumptions!$F$117,IF(X2=2,Assumptions!$F$119,IF(X2&gt;2,Assumptions!$F$96,0)))</f>
        <v>0.7</v>
      </c>
      <c r="Y175" s="108">
        <f>+IF(Y2=1,Assumptions!$F$117,IF(Y2=2,Assumptions!$F$119,IF(Y2&gt;2,Assumptions!$F$96,0)))</f>
        <v>0.7</v>
      </c>
      <c r="Z175" s="108">
        <f>+IF(Z2=1,Assumptions!$F$117,IF(Z2=2,Assumptions!$F$119,IF(Z2&gt;2,Assumptions!$F$96,0)))</f>
        <v>0.7</v>
      </c>
    </row>
    <row r="176" spans="2:26">
      <c r="B176" s="33" t="s">
        <v>146</v>
      </c>
      <c r="F176" s="34">
        <f>+F173*F175</f>
        <v>0</v>
      </c>
      <c r="G176" s="34">
        <f t="shared" ref="G176:Z176" si="347">+G173*G175</f>
        <v>0</v>
      </c>
      <c r="H176" s="34">
        <f t="shared" si="347"/>
        <v>0</v>
      </c>
      <c r="I176" s="34">
        <f t="shared" si="347"/>
        <v>110.5</v>
      </c>
      <c r="J176" s="34">
        <f t="shared" si="347"/>
        <v>122.49999999999999</v>
      </c>
      <c r="K176" s="34">
        <f t="shared" si="347"/>
        <v>125.99999999999999</v>
      </c>
      <c r="L176" s="34">
        <f t="shared" si="347"/>
        <v>125.99999999999999</v>
      </c>
      <c r="M176" s="34">
        <f t="shared" si="347"/>
        <v>125.99999999999999</v>
      </c>
      <c r="N176" s="34">
        <f t="shared" si="347"/>
        <v>125.99999999999999</v>
      </c>
      <c r="O176" s="34">
        <f t="shared" si="347"/>
        <v>125.99999999999999</v>
      </c>
      <c r="P176" s="34">
        <f t="shared" si="347"/>
        <v>125.99999999999999</v>
      </c>
      <c r="Q176" s="34">
        <f t="shared" si="347"/>
        <v>125.99999999999999</v>
      </c>
      <c r="R176" s="34">
        <f t="shared" si="347"/>
        <v>125.99999999999999</v>
      </c>
      <c r="S176" s="34">
        <f t="shared" si="347"/>
        <v>125.99999999999999</v>
      </c>
      <c r="T176" s="34">
        <f t="shared" si="347"/>
        <v>125.99999999999999</v>
      </c>
      <c r="U176" s="34">
        <f t="shared" si="347"/>
        <v>125.99999999999999</v>
      </c>
      <c r="V176" s="34">
        <f t="shared" si="347"/>
        <v>125.99999999999999</v>
      </c>
      <c r="W176" s="34">
        <f t="shared" si="347"/>
        <v>125.99999999999999</v>
      </c>
      <c r="X176" s="34">
        <f t="shared" si="347"/>
        <v>125.99999999999999</v>
      </c>
      <c r="Y176" s="34">
        <f t="shared" si="347"/>
        <v>125.99999999999999</v>
      </c>
      <c r="Z176" s="34">
        <f t="shared" si="347"/>
        <v>125.99999999999999</v>
      </c>
    </row>
    <row r="177" spans="2:26">
      <c r="B177" s="137" t="s">
        <v>286</v>
      </c>
      <c r="C177" s="137"/>
      <c r="D177" s="137"/>
      <c r="E177" s="137"/>
      <c r="F177" s="129">
        <f>+F176*365.25*F168</f>
        <v>0</v>
      </c>
      <c r="G177" s="129">
        <f t="shared" ref="G177:Z177" si="348">+G176*365.25*G168</f>
        <v>0</v>
      </c>
      <c r="H177" s="129">
        <f t="shared" si="348"/>
        <v>0</v>
      </c>
      <c r="I177" s="129">
        <f t="shared" si="348"/>
        <v>0.20180062500000001</v>
      </c>
      <c r="J177" s="129">
        <f t="shared" si="348"/>
        <v>0.44743124999999995</v>
      </c>
      <c r="K177" s="129">
        <f t="shared" si="348"/>
        <v>0.46021499999999999</v>
      </c>
      <c r="L177" s="129">
        <f t="shared" si="348"/>
        <v>0.46021499999999999</v>
      </c>
      <c r="M177" s="129">
        <f t="shared" si="348"/>
        <v>0.46021499999999999</v>
      </c>
      <c r="N177" s="129">
        <f t="shared" si="348"/>
        <v>0.46021499999999999</v>
      </c>
      <c r="O177" s="129">
        <f t="shared" si="348"/>
        <v>0.46021499999999999</v>
      </c>
      <c r="P177" s="129">
        <f t="shared" si="348"/>
        <v>0.46021499999999999</v>
      </c>
      <c r="Q177" s="129">
        <f t="shared" si="348"/>
        <v>0.46021499999999999</v>
      </c>
      <c r="R177" s="129">
        <f t="shared" si="348"/>
        <v>0.46021499999999999</v>
      </c>
      <c r="S177" s="129">
        <f t="shared" si="348"/>
        <v>0.46021499999999999</v>
      </c>
      <c r="T177" s="129">
        <f t="shared" si="348"/>
        <v>0.46021499999999999</v>
      </c>
      <c r="U177" s="129">
        <f t="shared" si="348"/>
        <v>0.46021499999999999</v>
      </c>
      <c r="V177" s="129">
        <f t="shared" si="348"/>
        <v>0.46021499999999999</v>
      </c>
      <c r="W177" s="129">
        <f t="shared" si="348"/>
        <v>0.46021499999999999</v>
      </c>
      <c r="X177" s="129">
        <f t="shared" si="348"/>
        <v>0.46021499999999999</v>
      </c>
      <c r="Y177" s="129">
        <f t="shared" si="348"/>
        <v>0.46021499999999999</v>
      </c>
      <c r="Z177" s="129">
        <f t="shared" si="348"/>
        <v>0.46021499999999999</v>
      </c>
    </row>
    <row r="179" spans="2:26">
      <c r="B179" s="33" t="s">
        <v>292</v>
      </c>
      <c r="F179" s="34">
        <f>+Assumptions!$F$108*'Phase I Pro Forma'!F172*'Phase I Pro Forma'!F169</f>
        <v>0</v>
      </c>
      <c r="G179" s="34">
        <f>+Assumptions!$F$108*'Phase I Pro Forma'!G172*'Phase I Pro Forma'!G169</f>
        <v>0</v>
      </c>
      <c r="H179" s="34">
        <f>+Assumptions!$F$108*'Phase I Pro Forma'!H172*'Phase I Pro Forma'!H169</f>
        <v>0</v>
      </c>
      <c r="I179" s="34">
        <f>+Assumptions!$F$108*'Phase I Pro Forma'!I172*'Phase I Pro Forma'!I169</f>
        <v>5.1126250000000005E-2</v>
      </c>
      <c r="J179" s="34">
        <f>+Assumptions!$F$108*'Phase I Pro Forma'!J172*'Phase I Pro Forma'!J169</f>
        <v>0.10225250000000001</v>
      </c>
      <c r="K179" s="34">
        <f>+Assumptions!$F$108*'Phase I Pro Forma'!K172*'Phase I Pro Forma'!K169</f>
        <v>0.10225250000000001</v>
      </c>
      <c r="L179" s="34">
        <f>+Assumptions!$F$108*'Phase I Pro Forma'!L172*'Phase I Pro Forma'!L169</f>
        <v>0.10225250000000001</v>
      </c>
      <c r="M179" s="34">
        <f>+Assumptions!$F$108*'Phase I Pro Forma'!M172*'Phase I Pro Forma'!M169</f>
        <v>0.10225250000000001</v>
      </c>
      <c r="N179" s="34">
        <f>+Assumptions!$F$108*'Phase I Pro Forma'!N172*'Phase I Pro Forma'!N169</f>
        <v>0.10225250000000001</v>
      </c>
      <c r="O179" s="34">
        <f>+Assumptions!$F$108*'Phase I Pro Forma'!O172*'Phase I Pro Forma'!O169</f>
        <v>0.10225250000000001</v>
      </c>
      <c r="P179" s="34">
        <f>+Assumptions!$F$108*'Phase I Pro Forma'!P172*'Phase I Pro Forma'!P169</f>
        <v>0.10225250000000001</v>
      </c>
      <c r="Q179" s="34">
        <f>+Assumptions!$F$108*'Phase I Pro Forma'!Q172*'Phase I Pro Forma'!Q169</f>
        <v>0.10225250000000001</v>
      </c>
      <c r="R179" s="34">
        <f>+Assumptions!$F$108*'Phase I Pro Forma'!R172*'Phase I Pro Forma'!R169</f>
        <v>0.10225250000000001</v>
      </c>
      <c r="S179" s="34">
        <f>+Assumptions!$F$108*'Phase I Pro Forma'!S172*'Phase I Pro Forma'!S169</f>
        <v>0.10225250000000001</v>
      </c>
      <c r="T179" s="34">
        <f>+Assumptions!$F$108*'Phase I Pro Forma'!T172*'Phase I Pro Forma'!T169</f>
        <v>0.10225250000000001</v>
      </c>
      <c r="U179" s="34">
        <f>+Assumptions!$F$108*'Phase I Pro Forma'!U172*'Phase I Pro Forma'!U169</f>
        <v>0.10225250000000001</v>
      </c>
      <c r="V179" s="34">
        <f>+Assumptions!$F$108*'Phase I Pro Forma'!V172*'Phase I Pro Forma'!V169</f>
        <v>0.10225250000000001</v>
      </c>
      <c r="W179" s="34">
        <f>+Assumptions!$F$108*'Phase I Pro Forma'!W172*'Phase I Pro Forma'!W169</f>
        <v>0.10225250000000001</v>
      </c>
      <c r="X179" s="34">
        <f>+Assumptions!$F$108*'Phase I Pro Forma'!X172*'Phase I Pro Forma'!X169</f>
        <v>0.10225250000000001</v>
      </c>
      <c r="Y179" s="34">
        <f>+Assumptions!$F$108*'Phase I Pro Forma'!Y172*'Phase I Pro Forma'!Y169</f>
        <v>0.10225250000000001</v>
      </c>
      <c r="Z179" s="34">
        <f>+Assumptions!$F$108*'Phase I Pro Forma'!Z172*'Phase I Pro Forma'!Z169</f>
        <v>0.10225250000000001</v>
      </c>
    </row>
    <row r="180" spans="2:26">
      <c r="B180" s="137" t="s">
        <v>295</v>
      </c>
      <c r="C180" s="137"/>
      <c r="D180" s="137"/>
      <c r="E180" s="137"/>
      <c r="F180" s="129">
        <f>+F177+F179</f>
        <v>0</v>
      </c>
      <c r="G180" s="129">
        <f t="shared" ref="G180:Z180" si="349">+G177+G179</f>
        <v>0</v>
      </c>
      <c r="H180" s="129">
        <f t="shared" si="349"/>
        <v>0</v>
      </c>
      <c r="I180" s="129">
        <f t="shared" si="349"/>
        <v>0.252926875</v>
      </c>
      <c r="J180" s="129">
        <f t="shared" si="349"/>
        <v>0.54968374999999992</v>
      </c>
      <c r="K180" s="129">
        <f t="shared" si="349"/>
        <v>0.56246750000000001</v>
      </c>
      <c r="L180" s="129">
        <f t="shared" si="349"/>
        <v>0.56246750000000001</v>
      </c>
      <c r="M180" s="129">
        <f t="shared" si="349"/>
        <v>0.56246750000000001</v>
      </c>
      <c r="N180" s="129">
        <f t="shared" si="349"/>
        <v>0.56246750000000001</v>
      </c>
      <c r="O180" s="129">
        <f t="shared" si="349"/>
        <v>0.56246750000000001</v>
      </c>
      <c r="P180" s="129">
        <f t="shared" si="349"/>
        <v>0.56246750000000001</v>
      </c>
      <c r="Q180" s="129">
        <f t="shared" si="349"/>
        <v>0.56246750000000001</v>
      </c>
      <c r="R180" s="129">
        <f t="shared" si="349"/>
        <v>0.56246750000000001</v>
      </c>
      <c r="S180" s="129">
        <f t="shared" si="349"/>
        <v>0.56246750000000001</v>
      </c>
      <c r="T180" s="129">
        <f t="shared" si="349"/>
        <v>0.56246750000000001</v>
      </c>
      <c r="U180" s="129">
        <f t="shared" si="349"/>
        <v>0.56246750000000001</v>
      </c>
      <c r="V180" s="129">
        <f t="shared" si="349"/>
        <v>0.56246750000000001</v>
      </c>
      <c r="W180" s="129">
        <f t="shared" si="349"/>
        <v>0.56246750000000001</v>
      </c>
      <c r="X180" s="129">
        <f t="shared" si="349"/>
        <v>0.56246750000000001</v>
      </c>
      <c r="Y180" s="129">
        <f t="shared" si="349"/>
        <v>0.56246750000000001</v>
      </c>
      <c r="Z180" s="129">
        <f t="shared" si="349"/>
        <v>0.56246750000000001</v>
      </c>
    </row>
    <row r="181" spans="2:26">
      <c r="B181" s="33"/>
      <c r="F181" s="34"/>
      <c r="G181" s="34"/>
      <c r="H181" s="34"/>
      <c r="I181" s="34"/>
      <c r="J181" s="34"/>
      <c r="K181" s="34"/>
      <c r="L181" s="34"/>
      <c r="M181" s="34"/>
      <c r="N181" s="34"/>
      <c r="O181" s="34"/>
      <c r="P181" s="34"/>
      <c r="Q181" s="34"/>
      <c r="R181" s="34"/>
      <c r="S181" s="34"/>
      <c r="T181" s="34"/>
      <c r="U181" s="34"/>
      <c r="V181" s="34"/>
      <c r="W181" s="34"/>
      <c r="X181" s="34"/>
      <c r="Y181" s="34"/>
      <c r="Z181" s="34"/>
    </row>
    <row r="182" spans="2:26">
      <c r="B182" s="33" t="s">
        <v>293</v>
      </c>
      <c r="F182" s="42">
        <f>+Assumptions!$F$115*'Phase I Pro Forma'!F172*'Phase I Pro Forma'!F169</f>
        <v>0</v>
      </c>
      <c r="G182" s="42">
        <f>+Assumptions!$F$115*'Phase I Pro Forma'!G172*'Phase I Pro Forma'!G169</f>
        <v>0</v>
      </c>
      <c r="H182" s="42">
        <f>+Assumptions!$F$115*'Phase I Pro Forma'!H172*'Phase I Pro Forma'!H169</f>
        <v>0</v>
      </c>
      <c r="I182" s="42">
        <f>+Assumptions!$F$115*'Phase I Pro Forma'!I172*'Phase I Pro Forma'!I169</f>
        <v>2.2500000000000005E-4</v>
      </c>
      <c r="J182" s="42">
        <f>+Assumptions!$F$115*'Phase I Pro Forma'!J172*'Phase I Pro Forma'!J169</f>
        <v>4.500000000000001E-4</v>
      </c>
      <c r="K182" s="42">
        <f>+Assumptions!$F$115*'Phase I Pro Forma'!K172*'Phase I Pro Forma'!K169</f>
        <v>4.500000000000001E-4</v>
      </c>
      <c r="L182" s="42">
        <f>+Assumptions!$F$115*'Phase I Pro Forma'!L172*'Phase I Pro Forma'!L169</f>
        <v>4.500000000000001E-4</v>
      </c>
      <c r="M182" s="42">
        <f>+Assumptions!$F$115*'Phase I Pro Forma'!M172*'Phase I Pro Forma'!M169</f>
        <v>4.500000000000001E-4</v>
      </c>
      <c r="N182" s="42">
        <f>+Assumptions!$F$115*'Phase I Pro Forma'!N172*'Phase I Pro Forma'!N169</f>
        <v>4.500000000000001E-4</v>
      </c>
      <c r="O182" s="42">
        <f>+Assumptions!$F$115*'Phase I Pro Forma'!O172*'Phase I Pro Forma'!O169</f>
        <v>4.500000000000001E-4</v>
      </c>
      <c r="P182" s="42">
        <f>+Assumptions!$F$115*'Phase I Pro Forma'!P172*'Phase I Pro Forma'!P169</f>
        <v>4.500000000000001E-4</v>
      </c>
      <c r="Q182" s="42">
        <f>+Assumptions!$F$115*'Phase I Pro Forma'!Q172*'Phase I Pro Forma'!Q169</f>
        <v>4.500000000000001E-4</v>
      </c>
      <c r="R182" s="42">
        <f>+Assumptions!$F$115*'Phase I Pro Forma'!R172*'Phase I Pro Forma'!R169</f>
        <v>4.500000000000001E-4</v>
      </c>
      <c r="S182" s="42">
        <f>+Assumptions!$F$115*'Phase I Pro Forma'!S172*'Phase I Pro Forma'!S169</f>
        <v>4.500000000000001E-4</v>
      </c>
      <c r="T182" s="42">
        <f>+Assumptions!$F$115*'Phase I Pro Forma'!T172*'Phase I Pro Forma'!T169</f>
        <v>4.500000000000001E-4</v>
      </c>
      <c r="U182" s="42">
        <f>+Assumptions!$F$115*'Phase I Pro Forma'!U172*'Phase I Pro Forma'!U169</f>
        <v>4.500000000000001E-4</v>
      </c>
      <c r="V182" s="42">
        <f>+Assumptions!$F$115*'Phase I Pro Forma'!V172*'Phase I Pro Forma'!V169</f>
        <v>4.500000000000001E-4</v>
      </c>
      <c r="W182" s="42">
        <f>+Assumptions!$F$115*'Phase I Pro Forma'!W172*'Phase I Pro Forma'!W169</f>
        <v>4.500000000000001E-4</v>
      </c>
      <c r="X182" s="42">
        <f>+Assumptions!$F$115*'Phase I Pro Forma'!X172*'Phase I Pro Forma'!X169</f>
        <v>4.500000000000001E-4</v>
      </c>
      <c r="Y182" s="42">
        <f>+Assumptions!$F$115*'Phase I Pro Forma'!Y172*'Phase I Pro Forma'!Y169</f>
        <v>4.500000000000001E-4</v>
      </c>
      <c r="Z182" s="42">
        <f>+Assumptions!$F$115*'Phase I Pro Forma'!Z172*'Phase I Pro Forma'!Z169</f>
        <v>4.500000000000001E-4</v>
      </c>
    </row>
    <row r="183" spans="2:26" s="157" customFormat="1">
      <c r="B183" s="137" t="s">
        <v>701</v>
      </c>
      <c r="C183" s="137"/>
      <c r="D183" s="137"/>
      <c r="E183" s="137"/>
      <c r="F183" s="129">
        <f>+F180+F182</f>
        <v>0</v>
      </c>
      <c r="G183" s="129">
        <f t="shared" ref="G183:Z183" si="350">+G180+G182</f>
        <v>0</v>
      </c>
      <c r="H183" s="129">
        <f t="shared" si="350"/>
        <v>0</v>
      </c>
      <c r="I183" s="129">
        <f t="shared" si="350"/>
        <v>0.25315187499999997</v>
      </c>
      <c r="J183" s="129">
        <f t="shared" si="350"/>
        <v>0.55013374999999987</v>
      </c>
      <c r="K183" s="129">
        <f t="shared" si="350"/>
        <v>0.56291749999999996</v>
      </c>
      <c r="L183" s="129">
        <f t="shared" si="350"/>
        <v>0.56291749999999996</v>
      </c>
      <c r="M183" s="129">
        <f t="shared" si="350"/>
        <v>0.56291749999999996</v>
      </c>
      <c r="N183" s="129">
        <f t="shared" si="350"/>
        <v>0.56291749999999996</v>
      </c>
      <c r="O183" s="129">
        <f t="shared" si="350"/>
        <v>0.56291749999999996</v>
      </c>
      <c r="P183" s="129">
        <f t="shared" si="350"/>
        <v>0.56291749999999996</v>
      </c>
      <c r="Q183" s="129">
        <f t="shared" si="350"/>
        <v>0.56291749999999996</v>
      </c>
      <c r="R183" s="129">
        <f t="shared" si="350"/>
        <v>0.56291749999999996</v>
      </c>
      <c r="S183" s="129">
        <f t="shared" si="350"/>
        <v>0.56291749999999996</v>
      </c>
      <c r="T183" s="129">
        <f t="shared" si="350"/>
        <v>0.56291749999999996</v>
      </c>
      <c r="U183" s="129">
        <f t="shared" si="350"/>
        <v>0.56291749999999996</v>
      </c>
      <c r="V183" s="129">
        <f t="shared" si="350"/>
        <v>0.56291749999999996</v>
      </c>
      <c r="W183" s="129">
        <f t="shared" si="350"/>
        <v>0.56291749999999996</v>
      </c>
      <c r="X183" s="129">
        <f t="shared" si="350"/>
        <v>0.56291749999999996</v>
      </c>
      <c r="Y183" s="129">
        <f t="shared" si="350"/>
        <v>0.56291749999999996</v>
      </c>
      <c r="Z183" s="129">
        <f t="shared" si="350"/>
        <v>0.56291749999999996</v>
      </c>
    </row>
    <row r="185" spans="2:26">
      <c r="B185" s="155" t="s">
        <v>138</v>
      </c>
    </row>
    <row r="186" spans="2:26">
      <c r="B186" s="64" t="s">
        <v>264</v>
      </c>
      <c r="D186" s="115">
        <f>+Assumptions!M101</f>
        <v>0.25</v>
      </c>
      <c r="E186" s="115"/>
      <c r="F186" s="34">
        <f>F$177*$D186</f>
        <v>0</v>
      </c>
      <c r="G186" s="34">
        <f t="shared" ref="G186:Z186" si="351">G$177*$D186</f>
        <v>0</v>
      </c>
      <c r="H186" s="34">
        <f t="shared" si="351"/>
        <v>0</v>
      </c>
      <c r="I186" s="34">
        <f t="shared" si="351"/>
        <v>5.0450156250000003E-2</v>
      </c>
      <c r="J186" s="34">
        <f t="shared" si="351"/>
        <v>0.11185781249999999</v>
      </c>
      <c r="K186" s="34">
        <f t="shared" si="351"/>
        <v>0.11505375</v>
      </c>
      <c r="L186" s="34">
        <f t="shared" si="351"/>
        <v>0.11505375</v>
      </c>
      <c r="M186" s="34">
        <f t="shared" si="351"/>
        <v>0.11505375</v>
      </c>
      <c r="N186" s="34">
        <f t="shared" si="351"/>
        <v>0.11505375</v>
      </c>
      <c r="O186" s="34">
        <f t="shared" si="351"/>
        <v>0.11505375</v>
      </c>
      <c r="P186" s="34">
        <f t="shared" si="351"/>
        <v>0.11505375</v>
      </c>
      <c r="Q186" s="34">
        <f t="shared" si="351"/>
        <v>0.11505375</v>
      </c>
      <c r="R186" s="34">
        <f t="shared" si="351"/>
        <v>0.11505375</v>
      </c>
      <c r="S186" s="34">
        <f t="shared" si="351"/>
        <v>0.11505375</v>
      </c>
      <c r="T186" s="34">
        <f t="shared" si="351"/>
        <v>0.11505375</v>
      </c>
      <c r="U186" s="34">
        <f t="shared" si="351"/>
        <v>0.11505375</v>
      </c>
      <c r="V186" s="34">
        <f t="shared" si="351"/>
        <v>0.11505375</v>
      </c>
      <c r="W186" s="34">
        <f t="shared" si="351"/>
        <v>0.11505375</v>
      </c>
      <c r="X186" s="34">
        <f t="shared" si="351"/>
        <v>0.11505375</v>
      </c>
      <c r="Y186" s="34">
        <f t="shared" si="351"/>
        <v>0.11505375</v>
      </c>
      <c r="Z186" s="34">
        <f t="shared" si="351"/>
        <v>0.11505375</v>
      </c>
    </row>
    <row r="187" spans="2:26">
      <c r="B187" s="64" t="s">
        <v>291</v>
      </c>
      <c r="D187" s="115">
        <f>+Assumptions!M102</f>
        <v>0.7</v>
      </c>
      <c r="E187" s="115"/>
      <c r="F187" s="42">
        <f>F$179*$D187</f>
        <v>0</v>
      </c>
      <c r="G187" s="42">
        <f t="shared" ref="G187:Z187" si="352">G$179*$D187</f>
        <v>0</v>
      </c>
      <c r="H187" s="42">
        <f t="shared" si="352"/>
        <v>0</v>
      </c>
      <c r="I187" s="42">
        <f t="shared" si="352"/>
        <v>3.5788375000000004E-2</v>
      </c>
      <c r="J187" s="42">
        <f t="shared" si="352"/>
        <v>7.1576750000000008E-2</v>
      </c>
      <c r="K187" s="42">
        <f t="shared" si="352"/>
        <v>7.1576750000000008E-2</v>
      </c>
      <c r="L187" s="42">
        <f t="shared" si="352"/>
        <v>7.1576750000000008E-2</v>
      </c>
      <c r="M187" s="42">
        <f t="shared" si="352"/>
        <v>7.1576750000000008E-2</v>
      </c>
      <c r="N187" s="42">
        <f t="shared" si="352"/>
        <v>7.1576750000000008E-2</v>
      </c>
      <c r="O187" s="42">
        <f t="shared" si="352"/>
        <v>7.1576750000000008E-2</v>
      </c>
      <c r="P187" s="42">
        <f t="shared" si="352"/>
        <v>7.1576750000000008E-2</v>
      </c>
      <c r="Q187" s="42">
        <f t="shared" si="352"/>
        <v>7.1576750000000008E-2</v>
      </c>
      <c r="R187" s="42">
        <f t="shared" si="352"/>
        <v>7.1576750000000008E-2</v>
      </c>
      <c r="S187" s="42">
        <f t="shared" si="352"/>
        <v>7.1576750000000008E-2</v>
      </c>
      <c r="T187" s="42">
        <f t="shared" si="352"/>
        <v>7.1576750000000008E-2</v>
      </c>
      <c r="U187" s="42">
        <f t="shared" si="352"/>
        <v>7.1576750000000008E-2</v>
      </c>
      <c r="V187" s="42">
        <f t="shared" si="352"/>
        <v>7.1576750000000008E-2</v>
      </c>
      <c r="W187" s="42">
        <f t="shared" si="352"/>
        <v>7.1576750000000008E-2</v>
      </c>
      <c r="X187" s="42">
        <f t="shared" si="352"/>
        <v>7.1576750000000008E-2</v>
      </c>
      <c r="Y187" s="42">
        <f t="shared" si="352"/>
        <v>7.1576750000000008E-2</v>
      </c>
      <c r="Z187" s="42">
        <f t="shared" si="352"/>
        <v>7.1576750000000008E-2</v>
      </c>
    </row>
    <row r="188" spans="2:26">
      <c r="B188" s="155" t="s">
        <v>265</v>
      </c>
    </row>
    <row r="189" spans="2:26">
      <c r="B189" s="64" t="s">
        <v>266</v>
      </c>
      <c r="D189" s="115">
        <f>+Assumptions!M104</f>
        <v>0.08</v>
      </c>
      <c r="E189" s="115"/>
      <c r="F189" s="42">
        <f>F$180*$D189</f>
        <v>0</v>
      </c>
      <c r="G189" s="42">
        <f t="shared" ref="G189:V197" si="353">G$180*$D189</f>
        <v>0</v>
      </c>
      <c r="H189" s="42">
        <f t="shared" si="353"/>
        <v>0</v>
      </c>
      <c r="I189" s="42">
        <f t="shared" si="353"/>
        <v>2.0234149999999999E-2</v>
      </c>
      <c r="J189" s="42">
        <f t="shared" si="353"/>
        <v>4.3974699999999992E-2</v>
      </c>
      <c r="K189" s="42">
        <f t="shared" si="353"/>
        <v>4.49974E-2</v>
      </c>
      <c r="L189" s="42">
        <f t="shared" si="353"/>
        <v>4.49974E-2</v>
      </c>
      <c r="M189" s="42">
        <f t="shared" si="353"/>
        <v>4.49974E-2</v>
      </c>
      <c r="N189" s="42">
        <f t="shared" si="353"/>
        <v>4.49974E-2</v>
      </c>
      <c r="O189" s="42">
        <f t="shared" si="353"/>
        <v>4.49974E-2</v>
      </c>
      <c r="P189" s="42">
        <f t="shared" si="353"/>
        <v>4.49974E-2</v>
      </c>
      <c r="Q189" s="42">
        <f t="shared" si="353"/>
        <v>4.49974E-2</v>
      </c>
      <c r="R189" s="42">
        <f t="shared" si="353"/>
        <v>4.49974E-2</v>
      </c>
      <c r="S189" s="42">
        <f t="shared" si="353"/>
        <v>4.49974E-2</v>
      </c>
      <c r="T189" s="42">
        <f t="shared" si="353"/>
        <v>4.49974E-2</v>
      </c>
      <c r="U189" s="42">
        <f t="shared" si="353"/>
        <v>4.49974E-2</v>
      </c>
      <c r="V189" s="42">
        <f t="shared" si="353"/>
        <v>4.49974E-2</v>
      </c>
      <c r="W189" s="42">
        <f t="shared" ref="W189:Z197" si="354">W$180*$D189</f>
        <v>4.49974E-2</v>
      </c>
      <c r="X189" s="42">
        <f t="shared" si="354"/>
        <v>4.49974E-2</v>
      </c>
      <c r="Y189" s="42">
        <f t="shared" si="354"/>
        <v>4.49974E-2</v>
      </c>
      <c r="Z189" s="42">
        <f t="shared" si="354"/>
        <v>4.49974E-2</v>
      </c>
    </row>
    <row r="190" spans="2:26">
      <c r="B190" s="64" t="s">
        <v>267</v>
      </c>
      <c r="D190" s="115">
        <f>+Assumptions!M105</f>
        <v>0.01</v>
      </c>
      <c r="E190" s="115"/>
      <c r="F190" s="42">
        <f t="shared" ref="F190:F197" si="355">F$180*$D190</f>
        <v>0</v>
      </c>
      <c r="G190" s="42">
        <f t="shared" si="353"/>
        <v>0</v>
      </c>
      <c r="H190" s="42">
        <f t="shared" si="353"/>
        <v>0</v>
      </c>
      <c r="I190" s="42">
        <f t="shared" si="353"/>
        <v>2.5292687499999999E-3</v>
      </c>
      <c r="J190" s="42">
        <f t="shared" si="353"/>
        <v>5.4968374999999989E-3</v>
      </c>
      <c r="K190" s="42">
        <f t="shared" si="353"/>
        <v>5.624675E-3</v>
      </c>
      <c r="L190" s="42">
        <f t="shared" si="353"/>
        <v>5.624675E-3</v>
      </c>
      <c r="M190" s="42">
        <f t="shared" si="353"/>
        <v>5.624675E-3</v>
      </c>
      <c r="N190" s="42">
        <f t="shared" si="353"/>
        <v>5.624675E-3</v>
      </c>
      <c r="O190" s="42">
        <f t="shared" si="353"/>
        <v>5.624675E-3</v>
      </c>
      <c r="P190" s="42">
        <f t="shared" si="353"/>
        <v>5.624675E-3</v>
      </c>
      <c r="Q190" s="42">
        <f t="shared" si="353"/>
        <v>5.624675E-3</v>
      </c>
      <c r="R190" s="42">
        <f t="shared" si="353"/>
        <v>5.624675E-3</v>
      </c>
      <c r="S190" s="42">
        <f t="shared" si="353"/>
        <v>5.624675E-3</v>
      </c>
      <c r="T190" s="42">
        <f t="shared" si="353"/>
        <v>5.624675E-3</v>
      </c>
      <c r="U190" s="42">
        <f t="shared" si="353"/>
        <v>5.624675E-3</v>
      </c>
      <c r="V190" s="42">
        <f t="shared" si="353"/>
        <v>5.624675E-3</v>
      </c>
      <c r="W190" s="42">
        <f t="shared" si="354"/>
        <v>5.624675E-3</v>
      </c>
      <c r="X190" s="42">
        <f t="shared" si="354"/>
        <v>5.624675E-3</v>
      </c>
      <c r="Y190" s="42">
        <f t="shared" si="354"/>
        <v>5.624675E-3</v>
      </c>
      <c r="Z190" s="42">
        <f t="shared" si="354"/>
        <v>5.624675E-3</v>
      </c>
    </row>
    <row r="191" spans="2:26">
      <c r="B191" s="64" t="s">
        <v>72</v>
      </c>
      <c r="D191" s="115">
        <f>+Assumptions!M106</f>
        <v>6.5000000000000002E-2</v>
      </c>
      <c r="E191" s="115"/>
      <c r="F191" s="42">
        <f t="shared" si="355"/>
        <v>0</v>
      </c>
      <c r="G191" s="42">
        <f t="shared" si="353"/>
        <v>0</v>
      </c>
      <c r="H191" s="42">
        <f t="shared" si="353"/>
        <v>0</v>
      </c>
      <c r="I191" s="42">
        <f t="shared" si="353"/>
        <v>1.6440246875000002E-2</v>
      </c>
      <c r="J191" s="42">
        <f t="shared" si="353"/>
        <v>3.5729443749999992E-2</v>
      </c>
      <c r="K191" s="42">
        <f t="shared" si="353"/>
        <v>3.6560387499999999E-2</v>
      </c>
      <c r="L191" s="42">
        <f t="shared" si="353"/>
        <v>3.6560387499999999E-2</v>
      </c>
      <c r="M191" s="42">
        <f t="shared" si="353"/>
        <v>3.6560387499999999E-2</v>
      </c>
      <c r="N191" s="42">
        <f t="shared" si="353"/>
        <v>3.6560387499999999E-2</v>
      </c>
      <c r="O191" s="42">
        <f t="shared" si="353"/>
        <v>3.6560387499999999E-2</v>
      </c>
      <c r="P191" s="42">
        <f t="shared" si="353"/>
        <v>3.6560387499999999E-2</v>
      </c>
      <c r="Q191" s="42">
        <f t="shared" si="353"/>
        <v>3.6560387499999999E-2</v>
      </c>
      <c r="R191" s="42">
        <f t="shared" si="353"/>
        <v>3.6560387499999999E-2</v>
      </c>
      <c r="S191" s="42">
        <f t="shared" si="353"/>
        <v>3.6560387499999999E-2</v>
      </c>
      <c r="T191" s="42">
        <f t="shared" si="353"/>
        <v>3.6560387499999999E-2</v>
      </c>
      <c r="U191" s="42">
        <f t="shared" si="353"/>
        <v>3.6560387499999999E-2</v>
      </c>
      <c r="V191" s="42">
        <f t="shared" si="353"/>
        <v>3.6560387499999999E-2</v>
      </c>
      <c r="W191" s="42">
        <f t="shared" si="354"/>
        <v>3.6560387499999999E-2</v>
      </c>
      <c r="X191" s="42">
        <f t="shared" si="354"/>
        <v>3.6560387499999999E-2</v>
      </c>
      <c r="Y191" s="42">
        <f t="shared" si="354"/>
        <v>3.6560387499999999E-2</v>
      </c>
      <c r="Z191" s="42">
        <f t="shared" si="354"/>
        <v>3.6560387499999999E-2</v>
      </c>
    </row>
    <row r="192" spans="2:26">
      <c r="B192" s="64" t="s">
        <v>268</v>
      </c>
      <c r="D192" s="115">
        <f>+Assumptions!M107</f>
        <v>0.02</v>
      </c>
      <c r="E192" s="115"/>
      <c r="F192" s="42">
        <f t="shared" si="355"/>
        <v>0</v>
      </c>
      <c r="G192" s="42">
        <f t="shared" si="353"/>
        <v>0</v>
      </c>
      <c r="H192" s="42">
        <f t="shared" si="353"/>
        <v>0</v>
      </c>
      <c r="I192" s="42">
        <f t="shared" si="353"/>
        <v>5.0585374999999998E-3</v>
      </c>
      <c r="J192" s="42">
        <f t="shared" si="353"/>
        <v>1.0993674999999998E-2</v>
      </c>
      <c r="K192" s="42">
        <f t="shared" si="353"/>
        <v>1.124935E-2</v>
      </c>
      <c r="L192" s="42">
        <f t="shared" si="353"/>
        <v>1.124935E-2</v>
      </c>
      <c r="M192" s="42">
        <f t="shared" si="353"/>
        <v>1.124935E-2</v>
      </c>
      <c r="N192" s="42">
        <f t="shared" si="353"/>
        <v>1.124935E-2</v>
      </c>
      <c r="O192" s="42">
        <f t="shared" si="353"/>
        <v>1.124935E-2</v>
      </c>
      <c r="P192" s="42">
        <f t="shared" si="353"/>
        <v>1.124935E-2</v>
      </c>
      <c r="Q192" s="42">
        <f t="shared" si="353"/>
        <v>1.124935E-2</v>
      </c>
      <c r="R192" s="42">
        <f t="shared" si="353"/>
        <v>1.124935E-2</v>
      </c>
      <c r="S192" s="42">
        <f t="shared" si="353"/>
        <v>1.124935E-2</v>
      </c>
      <c r="T192" s="42">
        <f t="shared" si="353"/>
        <v>1.124935E-2</v>
      </c>
      <c r="U192" s="42">
        <f t="shared" si="353"/>
        <v>1.124935E-2</v>
      </c>
      <c r="V192" s="42">
        <f t="shared" si="353"/>
        <v>1.124935E-2</v>
      </c>
      <c r="W192" s="42">
        <f t="shared" si="354"/>
        <v>1.124935E-2</v>
      </c>
      <c r="X192" s="42">
        <f t="shared" si="354"/>
        <v>1.124935E-2</v>
      </c>
      <c r="Y192" s="42">
        <f t="shared" si="354"/>
        <v>1.124935E-2</v>
      </c>
      <c r="Z192" s="42">
        <f t="shared" si="354"/>
        <v>1.124935E-2</v>
      </c>
    </row>
    <row r="193" spans="2:26">
      <c r="B193" s="64" t="s">
        <v>269</v>
      </c>
      <c r="D193" s="115">
        <f>+Assumptions!M108</f>
        <v>0.03</v>
      </c>
      <c r="E193" s="115"/>
      <c r="F193" s="42">
        <f t="shared" si="355"/>
        <v>0</v>
      </c>
      <c r="G193" s="42">
        <f t="shared" si="353"/>
        <v>0</v>
      </c>
      <c r="H193" s="42">
        <f t="shared" si="353"/>
        <v>0</v>
      </c>
      <c r="I193" s="42">
        <f t="shared" si="353"/>
        <v>7.5878062499999998E-3</v>
      </c>
      <c r="J193" s="42">
        <f t="shared" si="353"/>
        <v>1.6490512499999999E-2</v>
      </c>
      <c r="K193" s="42">
        <f t="shared" si="353"/>
        <v>1.6874025000000001E-2</v>
      </c>
      <c r="L193" s="42">
        <f t="shared" si="353"/>
        <v>1.6874025000000001E-2</v>
      </c>
      <c r="M193" s="42">
        <f t="shared" si="353"/>
        <v>1.6874025000000001E-2</v>
      </c>
      <c r="N193" s="42">
        <f t="shared" si="353"/>
        <v>1.6874025000000001E-2</v>
      </c>
      <c r="O193" s="42">
        <f t="shared" si="353"/>
        <v>1.6874025000000001E-2</v>
      </c>
      <c r="P193" s="42">
        <f t="shared" si="353"/>
        <v>1.6874025000000001E-2</v>
      </c>
      <c r="Q193" s="42">
        <f t="shared" si="353"/>
        <v>1.6874025000000001E-2</v>
      </c>
      <c r="R193" s="42">
        <f t="shared" si="353"/>
        <v>1.6874025000000001E-2</v>
      </c>
      <c r="S193" s="42">
        <f t="shared" si="353"/>
        <v>1.6874025000000001E-2</v>
      </c>
      <c r="T193" s="42">
        <f t="shared" si="353"/>
        <v>1.6874025000000001E-2</v>
      </c>
      <c r="U193" s="42">
        <f t="shared" si="353"/>
        <v>1.6874025000000001E-2</v>
      </c>
      <c r="V193" s="42">
        <f t="shared" si="353"/>
        <v>1.6874025000000001E-2</v>
      </c>
      <c r="W193" s="42">
        <f t="shared" si="354"/>
        <v>1.6874025000000001E-2</v>
      </c>
      <c r="X193" s="42">
        <f t="shared" si="354"/>
        <v>1.6874025000000001E-2</v>
      </c>
      <c r="Y193" s="42">
        <f t="shared" si="354"/>
        <v>1.6874025000000001E-2</v>
      </c>
      <c r="Z193" s="42">
        <f t="shared" si="354"/>
        <v>1.6874025000000001E-2</v>
      </c>
    </row>
    <row r="194" spans="2:26">
      <c r="B194" s="64" t="s">
        <v>270</v>
      </c>
      <c r="D194" s="115">
        <f>+Assumptions!M109</f>
        <v>0.04</v>
      </c>
      <c r="E194" s="115"/>
      <c r="F194" s="42">
        <f t="shared" si="355"/>
        <v>0</v>
      </c>
      <c r="G194" s="42">
        <f t="shared" si="353"/>
        <v>0</v>
      </c>
      <c r="H194" s="42">
        <f t="shared" si="353"/>
        <v>0</v>
      </c>
      <c r="I194" s="42">
        <f t="shared" si="353"/>
        <v>1.0117075E-2</v>
      </c>
      <c r="J194" s="42">
        <f t="shared" si="353"/>
        <v>2.1987349999999996E-2</v>
      </c>
      <c r="K194" s="42">
        <f t="shared" si="353"/>
        <v>2.24987E-2</v>
      </c>
      <c r="L194" s="42">
        <f t="shared" si="353"/>
        <v>2.24987E-2</v>
      </c>
      <c r="M194" s="42">
        <f t="shared" si="353"/>
        <v>2.24987E-2</v>
      </c>
      <c r="N194" s="42">
        <f t="shared" si="353"/>
        <v>2.24987E-2</v>
      </c>
      <c r="O194" s="42">
        <f t="shared" si="353"/>
        <v>2.24987E-2</v>
      </c>
      <c r="P194" s="42">
        <f t="shared" si="353"/>
        <v>2.24987E-2</v>
      </c>
      <c r="Q194" s="42">
        <f t="shared" si="353"/>
        <v>2.24987E-2</v>
      </c>
      <c r="R194" s="42">
        <f t="shared" si="353"/>
        <v>2.24987E-2</v>
      </c>
      <c r="S194" s="42">
        <f t="shared" si="353"/>
        <v>2.24987E-2</v>
      </c>
      <c r="T194" s="42">
        <f t="shared" si="353"/>
        <v>2.24987E-2</v>
      </c>
      <c r="U194" s="42">
        <f t="shared" si="353"/>
        <v>2.24987E-2</v>
      </c>
      <c r="V194" s="42">
        <f t="shared" si="353"/>
        <v>2.24987E-2</v>
      </c>
      <c r="W194" s="42">
        <f t="shared" si="354"/>
        <v>2.24987E-2</v>
      </c>
      <c r="X194" s="42">
        <f t="shared" si="354"/>
        <v>2.24987E-2</v>
      </c>
      <c r="Y194" s="42">
        <f t="shared" si="354"/>
        <v>2.24987E-2</v>
      </c>
      <c r="Z194" s="42">
        <f t="shared" si="354"/>
        <v>2.24987E-2</v>
      </c>
    </row>
    <row r="195" spans="2:26">
      <c r="B195" s="64" t="s">
        <v>58</v>
      </c>
      <c r="D195" s="115">
        <f>+Assumptions!M110</f>
        <v>0.01</v>
      </c>
      <c r="E195" s="115"/>
      <c r="F195" s="42">
        <f t="shared" si="355"/>
        <v>0</v>
      </c>
      <c r="G195" s="42">
        <f t="shared" si="353"/>
        <v>0</v>
      </c>
      <c r="H195" s="42">
        <f t="shared" si="353"/>
        <v>0</v>
      </c>
      <c r="I195" s="42">
        <f t="shared" si="353"/>
        <v>2.5292687499999999E-3</v>
      </c>
      <c r="J195" s="42">
        <f t="shared" si="353"/>
        <v>5.4968374999999989E-3</v>
      </c>
      <c r="K195" s="42">
        <f t="shared" si="353"/>
        <v>5.624675E-3</v>
      </c>
      <c r="L195" s="42">
        <f t="shared" si="353"/>
        <v>5.624675E-3</v>
      </c>
      <c r="M195" s="42">
        <f t="shared" si="353"/>
        <v>5.624675E-3</v>
      </c>
      <c r="N195" s="42">
        <f t="shared" si="353"/>
        <v>5.624675E-3</v>
      </c>
      <c r="O195" s="42">
        <f t="shared" si="353"/>
        <v>5.624675E-3</v>
      </c>
      <c r="P195" s="42">
        <f t="shared" si="353"/>
        <v>5.624675E-3</v>
      </c>
      <c r="Q195" s="42">
        <f t="shared" si="353"/>
        <v>5.624675E-3</v>
      </c>
      <c r="R195" s="42">
        <f t="shared" si="353"/>
        <v>5.624675E-3</v>
      </c>
      <c r="S195" s="42">
        <f t="shared" si="353"/>
        <v>5.624675E-3</v>
      </c>
      <c r="T195" s="42">
        <f t="shared" si="353"/>
        <v>5.624675E-3</v>
      </c>
      <c r="U195" s="42">
        <f t="shared" si="353"/>
        <v>5.624675E-3</v>
      </c>
      <c r="V195" s="42">
        <f t="shared" si="353"/>
        <v>5.624675E-3</v>
      </c>
      <c r="W195" s="42">
        <f t="shared" si="354"/>
        <v>5.624675E-3</v>
      </c>
      <c r="X195" s="42">
        <f t="shared" si="354"/>
        <v>5.624675E-3</v>
      </c>
      <c r="Y195" s="42">
        <f t="shared" si="354"/>
        <v>5.624675E-3</v>
      </c>
      <c r="Z195" s="42">
        <f t="shared" si="354"/>
        <v>5.624675E-3</v>
      </c>
    </row>
    <row r="196" spans="2:26">
      <c r="B196" s="169" t="s">
        <v>308</v>
      </c>
      <c r="D196" s="116">
        <f ca="1">+SUM(F196:Z196)/SUM(F180:Z180)</f>
        <v>9.7508037187433103E-2</v>
      </c>
      <c r="E196" s="116"/>
      <c r="F196" s="42">
        <f ca="1">+IFERROR(IFERROR(INDEX('Taxes and TIF'!$M$11:$M$45,MATCH('Phase I Pro Forma'!F$7,'Taxes and TIF'!$B$11:$B$45,0)),0)*'Loan Sizing'!$I$36*F169,0)</f>
        <v>0</v>
      </c>
      <c r="G196" s="42">
        <f ca="1">+IFERROR(IFERROR(INDEX('Taxes and TIF'!$M$11:$M$45,MATCH('Phase I Pro Forma'!G$7,'Taxes and TIF'!$B$11:$B$45,0)),0)*'Loan Sizing'!$I$36*G169,0)</f>
        <v>0</v>
      </c>
      <c r="H196" s="42">
        <f ca="1">+IFERROR(IFERROR(INDEX('Taxes and TIF'!$M$11:$M$45,MATCH('Phase I Pro Forma'!H$7,'Taxes and TIF'!$B$11:$B$45,0)),0)*'Loan Sizing'!$I$36*H169,0)</f>
        <v>0</v>
      </c>
      <c r="I196" s="42">
        <f ca="1">+IFERROR(IFERROR(INDEX('Taxes and TIF'!$M$11:$M$45,MATCH('Phase I Pro Forma'!I$7,'Taxes and TIF'!$B$11:$B$45,0)),0)*'Loan Sizing'!$I$36*I169,0)</f>
        <v>2.5587583598606582E-2</v>
      </c>
      <c r="J196" s="42">
        <f ca="1">+IFERROR(IFERROR(INDEX('Taxes and TIF'!$M$11:$M$45,MATCH('Phase I Pro Forma'!J$7,'Taxes and TIF'!$B$11:$B$45,0)),0)*'Loan Sizing'!$I$36*J169,0)</f>
        <v>5.219867054115742E-2</v>
      </c>
      <c r="K196" s="42">
        <f ca="1">+IFERROR(IFERROR(INDEX('Taxes and TIF'!$M$11:$M$45,MATCH('Phase I Pro Forma'!K$7,'Taxes and TIF'!$B$11:$B$45,0)),0)*'Loan Sizing'!$I$36*K169,0)</f>
        <v>5.219867054115742E-2</v>
      </c>
      <c r="L196" s="42">
        <f ca="1">+IFERROR(IFERROR(INDEX('Taxes and TIF'!$M$11:$M$45,MATCH('Phase I Pro Forma'!L$7,'Taxes and TIF'!$B$11:$B$45,0)),0)*'Loan Sizing'!$I$36*L169,0)</f>
        <v>5.219867054115742E-2</v>
      </c>
      <c r="M196" s="42">
        <f ca="1">+IFERROR(IFERROR(INDEX('Taxes and TIF'!$M$11:$M$45,MATCH('Phase I Pro Forma'!M$7,'Taxes and TIF'!$B$11:$B$45,0)),0)*'Loan Sizing'!$I$36*M169,0)</f>
        <v>5.3242643951980577E-2</v>
      </c>
      <c r="N196" s="42">
        <f ca="1">+IFERROR(IFERROR(INDEX('Taxes and TIF'!$M$11:$M$45,MATCH('Phase I Pro Forma'!N$7,'Taxes and TIF'!$B$11:$B$45,0)),0)*'Loan Sizing'!$I$36*N169,0)</f>
        <v>5.3242643951980577E-2</v>
      </c>
      <c r="O196" s="42">
        <f ca="1">+IFERROR(IFERROR(INDEX('Taxes and TIF'!$M$11:$M$45,MATCH('Phase I Pro Forma'!O$7,'Taxes and TIF'!$B$11:$B$45,0)),0)*'Loan Sizing'!$I$36*O169,0)</f>
        <v>5.3242643951980577E-2</v>
      </c>
      <c r="P196" s="42">
        <f ca="1">+IFERROR(IFERROR(INDEX('Taxes and TIF'!$M$11:$M$45,MATCH('Phase I Pro Forma'!P$7,'Taxes and TIF'!$B$11:$B$45,0)),0)*'Loan Sizing'!$I$36*P169,0)</f>
        <v>5.430749683102018E-2</v>
      </c>
      <c r="Q196" s="42">
        <f ca="1">+IFERROR(IFERROR(INDEX('Taxes and TIF'!$M$11:$M$45,MATCH('Phase I Pro Forma'!Q$7,'Taxes and TIF'!$B$11:$B$45,0)),0)*'Loan Sizing'!$I$36*Q169,0)</f>
        <v>5.430749683102018E-2</v>
      </c>
      <c r="R196" s="42">
        <f ca="1">+IFERROR(IFERROR(INDEX('Taxes and TIF'!$M$11:$M$45,MATCH('Phase I Pro Forma'!R$7,'Taxes and TIF'!$B$11:$B$45,0)),0)*'Loan Sizing'!$I$36*R169,0)</f>
        <v>5.430749683102018E-2</v>
      </c>
      <c r="S196" s="42">
        <f ca="1">+IFERROR(IFERROR(INDEX('Taxes and TIF'!$M$11:$M$45,MATCH('Phase I Pro Forma'!S$7,'Taxes and TIF'!$B$11:$B$45,0)),0)*'Loan Sizing'!$I$36*S169,0)</f>
        <v>5.5393646767640581E-2</v>
      </c>
      <c r="T196" s="42">
        <f ca="1">+IFERROR(IFERROR(INDEX('Taxes and TIF'!$M$11:$M$45,MATCH('Phase I Pro Forma'!T$7,'Taxes and TIF'!$B$11:$B$45,0)),0)*'Loan Sizing'!$I$36*T169,0)</f>
        <v>5.5393646767640581E-2</v>
      </c>
      <c r="U196" s="42">
        <f ca="1">+IFERROR(IFERROR(INDEX('Taxes and TIF'!$M$11:$M$45,MATCH('Phase I Pro Forma'!U$7,'Taxes and TIF'!$B$11:$B$45,0)),0)*'Loan Sizing'!$I$36*U169,0)</f>
        <v>5.5393646767640581E-2</v>
      </c>
      <c r="V196" s="42">
        <f ca="1">+IFERROR(IFERROR(INDEX('Taxes and TIF'!$M$11:$M$45,MATCH('Phase I Pro Forma'!V$7,'Taxes and TIF'!$B$11:$B$45,0)),0)*'Loan Sizing'!$I$36*V169,0)</f>
        <v>5.65015197029934E-2</v>
      </c>
      <c r="W196" s="42">
        <f ca="1">+IFERROR(IFERROR(INDEX('Taxes and TIF'!$M$11:$M$45,MATCH('Phase I Pro Forma'!W$7,'Taxes and TIF'!$B$11:$B$45,0)),0)*'Loan Sizing'!$I$36*W169,0)</f>
        <v>5.65015197029934E-2</v>
      </c>
      <c r="X196" s="42">
        <f ca="1">+IFERROR(IFERROR(INDEX('Taxes and TIF'!$M$11:$M$45,MATCH('Phase I Pro Forma'!X$7,'Taxes and TIF'!$B$11:$B$45,0)),0)*'Loan Sizing'!$I$36*X169,0)</f>
        <v>5.65015197029934E-2</v>
      </c>
      <c r="Y196" s="42">
        <f ca="1">+IFERROR(IFERROR(INDEX('Taxes and TIF'!$M$11:$M$45,MATCH('Phase I Pro Forma'!Y$7,'Taxes and TIF'!$B$11:$B$45,0)),0)*'Loan Sizing'!$I$36*Y169,0)</f>
        <v>5.7631550097053265E-2</v>
      </c>
      <c r="Z196" s="42">
        <f ca="1">+IFERROR(IFERROR(INDEX('Taxes and TIF'!$M$11:$M$45,MATCH('Phase I Pro Forma'!Z$7,'Taxes and TIF'!$B$11:$B$45,0)),0)*'Loan Sizing'!$I$36*Z169,0)</f>
        <v>5.7631550097053265E-2</v>
      </c>
    </row>
    <row r="197" spans="2:26">
      <c r="B197" s="64" t="s">
        <v>271</v>
      </c>
      <c r="D197" s="115">
        <f>+Assumptions!M111</f>
        <v>3.5000000000000003E-2</v>
      </c>
      <c r="E197" s="115"/>
      <c r="F197" s="42">
        <f t="shared" si="355"/>
        <v>0</v>
      </c>
      <c r="G197" s="42">
        <f t="shared" si="353"/>
        <v>0</v>
      </c>
      <c r="H197" s="42">
        <f t="shared" si="353"/>
        <v>0</v>
      </c>
      <c r="I197" s="42">
        <f t="shared" si="353"/>
        <v>8.852440625000001E-3</v>
      </c>
      <c r="J197" s="42">
        <f t="shared" si="353"/>
        <v>1.9238931249999997E-2</v>
      </c>
      <c r="K197" s="42">
        <f t="shared" si="353"/>
        <v>1.9686362500000002E-2</v>
      </c>
      <c r="L197" s="42">
        <f t="shared" si="353"/>
        <v>1.9686362500000002E-2</v>
      </c>
      <c r="M197" s="42">
        <f t="shared" si="353"/>
        <v>1.9686362500000002E-2</v>
      </c>
      <c r="N197" s="42">
        <f t="shared" si="353"/>
        <v>1.9686362500000002E-2</v>
      </c>
      <c r="O197" s="42">
        <f t="shared" si="353"/>
        <v>1.9686362500000002E-2</v>
      </c>
      <c r="P197" s="42">
        <f t="shared" si="353"/>
        <v>1.9686362500000002E-2</v>
      </c>
      <c r="Q197" s="42">
        <f t="shared" si="353"/>
        <v>1.9686362500000002E-2</v>
      </c>
      <c r="R197" s="42">
        <f t="shared" si="353"/>
        <v>1.9686362500000002E-2</v>
      </c>
      <c r="S197" s="42">
        <f t="shared" si="353"/>
        <v>1.9686362500000002E-2</v>
      </c>
      <c r="T197" s="42">
        <f t="shared" si="353"/>
        <v>1.9686362500000002E-2</v>
      </c>
      <c r="U197" s="42">
        <f t="shared" si="353"/>
        <v>1.9686362500000002E-2</v>
      </c>
      <c r="V197" s="42">
        <f t="shared" si="353"/>
        <v>1.9686362500000002E-2</v>
      </c>
      <c r="W197" s="42">
        <f t="shared" si="354"/>
        <v>1.9686362500000002E-2</v>
      </c>
      <c r="X197" s="42">
        <f t="shared" si="354"/>
        <v>1.9686362500000002E-2</v>
      </c>
      <c r="Y197" s="42">
        <f t="shared" si="354"/>
        <v>1.9686362500000002E-2</v>
      </c>
      <c r="Z197" s="42">
        <f t="shared" si="354"/>
        <v>1.9686362500000002E-2</v>
      </c>
    </row>
    <row r="198" spans="2:26">
      <c r="B198" s="156" t="s">
        <v>171</v>
      </c>
    </row>
    <row r="199" spans="2:26">
      <c r="B199" s="64" t="s">
        <v>9</v>
      </c>
      <c r="D199" s="115">
        <f>+Assumptions!M115</f>
        <v>0.4</v>
      </c>
      <c r="E199" s="115"/>
      <c r="F199" s="42">
        <f t="shared" ref="F199:Z199" si="356">F$182*$D199</f>
        <v>0</v>
      </c>
      <c r="G199" s="42">
        <f t="shared" si="356"/>
        <v>0</v>
      </c>
      <c r="H199" s="42">
        <f t="shared" si="356"/>
        <v>0</v>
      </c>
      <c r="I199" s="42">
        <f t="shared" si="356"/>
        <v>9.0000000000000019E-5</v>
      </c>
      <c r="J199" s="42">
        <f t="shared" si="356"/>
        <v>1.8000000000000004E-4</v>
      </c>
      <c r="K199" s="42">
        <f t="shared" si="356"/>
        <v>1.8000000000000004E-4</v>
      </c>
      <c r="L199" s="42">
        <f t="shared" si="356"/>
        <v>1.8000000000000004E-4</v>
      </c>
      <c r="M199" s="42">
        <f t="shared" si="356"/>
        <v>1.8000000000000004E-4</v>
      </c>
      <c r="N199" s="42">
        <f t="shared" si="356"/>
        <v>1.8000000000000004E-4</v>
      </c>
      <c r="O199" s="42">
        <f t="shared" si="356"/>
        <v>1.8000000000000004E-4</v>
      </c>
      <c r="P199" s="42">
        <f t="shared" si="356"/>
        <v>1.8000000000000004E-4</v>
      </c>
      <c r="Q199" s="42">
        <f t="shared" si="356"/>
        <v>1.8000000000000004E-4</v>
      </c>
      <c r="R199" s="42">
        <f t="shared" si="356"/>
        <v>1.8000000000000004E-4</v>
      </c>
      <c r="S199" s="42">
        <f t="shared" si="356"/>
        <v>1.8000000000000004E-4</v>
      </c>
      <c r="T199" s="42">
        <f t="shared" si="356"/>
        <v>1.8000000000000004E-4</v>
      </c>
      <c r="U199" s="42">
        <f t="shared" si="356"/>
        <v>1.8000000000000004E-4</v>
      </c>
      <c r="V199" s="42">
        <f t="shared" si="356"/>
        <v>1.8000000000000004E-4</v>
      </c>
      <c r="W199" s="42">
        <f t="shared" si="356"/>
        <v>1.8000000000000004E-4</v>
      </c>
      <c r="X199" s="42">
        <f t="shared" si="356"/>
        <v>1.8000000000000004E-4</v>
      </c>
      <c r="Y199" s="42">
        <f t="shared" si="356"/>
        <v>1.8000000000000004E-4</v>
      </c>
      <c r="Z199" s="42">
        <f t="shared" si="356"/>
        <v>1.8000000000000004E-4</v>
      </c>
    </row>
    <row r="200" spans="2:26">
      <c r="B200" s="137" t="s">
        <v>297</v>
      </c>
      <c r="C200" s="137"/>
      <c r="D200" s="137"/>
      <c r="E200" s="137"/>
      <c r="F200" s="129">
        <f t="shared" ref="F200:Z200" ca="1" si="357">+SUM(F186:F199)</f>
        <v>0</v>
      </c>
      <c r="G200" s="129">
        <f t="shared" ca="1" si="357"/>
        <v>0</v>
      </c>
      <c r="H200" s="129">
        <f t="shared" ca="1" si="357"/>
        <v>0</v>
      </c>
      <c r="I200" s="129">
        <f t="shared" ca="1" si="357"/>
        <v>0.18526490859860659</v>
      </c>
      <c r="J200" s="129">
        <f t="shared" ca="1" si="357"/>
        <v>0.39522152054115739</v>
      </c>
      <c r="K200" s="129">
        <f t="shared" ca="1" si="357"/>
        <v>0.4021247455411574</v>
      </c>
      <c r="L200" s="129">
        <f t="shared" ca="1" si="357"/>
        <v>0.4021247455411574</v>
      </c>
      <c r="M200" s="129">
        <f t="shared" ca="1" si="357"/>
        <v>0.40316871895198059</v>
      </c>
      <c r="N200" s="129">
        <f t="shared" ca="1" si="357"/>
        <v>0.40316871895198059</v>
      </c>
      <c r="O200" s="129">
        <f t="shared" ca="1" si="357"/>
        <v>0.40316871895198059</v>
      </c>
      <c r="P200" s="129">
        <f t="shared" ca="1" si="357"/>
        <v>0.40423357183102021</v>
      </c>
      <c r="Q200" s="129">
        <f t="shared" ca="1" si="357"/>
        <v>0.40423357183102021</v>
      </c>
      <c r="R200" s="129">
        <f t="shared" ca="1" si="357"/>
        <v>0.40423357183102021</v>
      </c>
      <c r="S200" s="129">
        <f t="shared" ca="1" si="357"/>
        <v>0.40531972176764058</v>
      </c>
      <c r="T200" s="129">
        <f t="shared" ca="1" si="357"/>
        <v>0.40531972176764058</v>
      </c>
      <c r="U200" s="129">
        <f t="shared" ca="1" si="357"/>
        <v>0.40531972176764058</v>
      </c>
      <c r="V200" s="129">
        <f t="shared" ca="1" si="357"/>
        <v>0.40642759470299339</v>
      </c>
      <c r="W200" s="129">
        <f t="shared" ca="1" si="357"/>
        <v>0.40642759470299339</v>
      </c>
      <c r="X200" s="129">
        <f t="shared" ca="1" si="357"/>
        <v>0.40642759470299339</v>
      </c>
      <c r="Y200" s="129">
        <f t="shared" ca="1" si="357"/>
        <v>0.40755762509705329</v>
      </c>
      <c r="Z200" s="129">
        <f t="shared" ca="1" si="357"/>
        <v>0.40755762509705329</v>
      </c>
    </row>
    <row r="202" spans="2:26">
      <c r="B202" s="137" t="s">
        <v>296</v>
      </c>
      <c r="C202" s="137"/>
      <c r="D202" s="137"/>
      <c r="E202" s="137"/>
      <c r="F202" s="129">
        <f t="shared" ref="F202:Z202" ca="1" si="358">+F183-F200</f>
        <v>0</v>
      </c>
      <c r="G202" s="129">
        <f t="shared" ca="1" si="358"/>
        <v>0</v>
      </c>
      <c r="H202" s="129">
        <f t="shared" ca="1" si="358"/>
        <v>0</v>
      </c>
      <c r="I202" s="129">
        <f t="shared" ca="1" si="358"/>
        <v>6.7886966401393384E-2</v>
      </c>
      <c r="J202" s="129">
        <f t="shared" ca="1" si="358"/>
        <v>0.15491222945884248</v>
      </c>
      <c r="K202" s="129">
        <f t="shared" ca="1" si="358"/>
        <v>0.16079275445884256</v>
      </c>
      <c r="L202" s="129">
        <f t="shared" ca="1" si="358"/>
        <v>0.16079275445884256</v>
      </c>
      <c r="M202" s="129">
        <f t="shared" ca="1" si="358"/>
        <v>0.15974878104801937</v>
      </c>
      <c r="N202" s="129">
        <f t="shared" ca="1" si="358"/>
        <v>0.15974878104801937</v>
      </c>
      <c r="O202" s="129">
        <f t="shared" ca="1" si="358"/>
        <v>0.15974878104801937</v>
      </c>
      <c r="P202" s="129">
        <f t="shared" ca="1" si="358"/>
        <v>0.15868392816897975</v>
      </c>
      <c r="Q202" s="129">
        <f t="shared" ca="1" si="358"/>
        <v>0.15868392816897975</v>
      </c>
      <c r="R202" s="129">
        <f t="shared" ca="1" si="358"/>
        <v>0.15868392816897975</v>
      </c>
      <c r="S202" s="129">
        <f t="shared" ca="1" si="358"/>
        <v>0.15759777823235938</v>
      </c>
      <c r="T202" s="129">
        <f t="shared" ca="1" si="358"/>
        <v>0.15759777823235938</v>
      </c>
      <c r="U202" s="129">
        <f t="shared" ca="1" si="358"/>
        <v>0.15759777823235938</v>
      </c>
      <c r="V202" s="129">
        <f t="shared" ca="1" si="358"/>
        <v>0.15648990529700657</v>
      </c>
      <c r="W202" s="129">
        <f t="shared" ca="1" si="358"/>
        <v>0.15648990529700657</v>
      </c>
      <c r="X202" s="129">
        <f t="shared" ca="1" si="358"/>
        <v>0.15648990529700657</v>
      </c>
      <c r="Y202" s="129">
        <f t="shared" ca="1" si="358"/>
        <v>0.15535987490294667</v>
      </c>
      <c r="Z202" s="129">
        <f t="shared" ca="1" si="358"/>
        <v>0.15535987490294667</v>
      </c>
    </row>
    <row r="204" spans="2:26">
      <c r="B204" s="156" t="s">
        <v>82</v>
      </c>
    </row>
    <row r="205" spans="2:26">
      <c r="B205" s="64" t="s">
        <v>272</v>
      </c>
      <c r="D205" s="115">
        <f>+Assumptions!M113</f>
        <v>0.03</v>
      </c>
      <c r="E205" s="115"/>
      <c r="F205" s="42">
        <f t="shared" ref="F205:Z205" si="359">F$180*$D205</f>
        <v>0</v>
      </c>
      <c r="G205" s="42">
        <f t="shared" si="359"/>
        <v>0</v>
      </c>
      <c r="H205" s="42">
        <f t="shared" si="359"/>
        <v>0</v>
      </c>
      <c r="I205" s="42">
        <f t="shared" si="359"/>
        <v>7.5878062499999998E-3</v>
      </c>
      <c r="J205" s="42">
        <f t="shared" si="359"/>
        <v>1.6490512499999999E-2</v>
      </c>
      <c r="K205" s="42">
        <f t="shared" si="359"/>
        <v>1.6874025000000001E-2</v>
      </c>
      <c r="L205" s="42">
        <f t="shared" si="359"/>
        <v>1.6874025000000001E-2</v>
      </c>
      <c r="M205" s="42">
        <f t="shared" si="359"/>
        <v>1.6874025000000001E-2</v>
      </c>
      <c r="N205" s="42">
        <f t="shared" si="359"/>
        <v>1.6874025000000001E-2</v>
      </c>
      <c r="O205" s="42">
        <f t="shared" si="359"/>
        <v>1.6874025000000001E-2</v>
      </c>
      <c r="P205" s="42">
        <f t="shared" si="359"/>
        <v>1.6874025000000001E-2</v>
      </c>
      <c r="Q205" s="42">
        <f t="shared" si="359"/>
        <v>1.6874025000000001E-2</v>
      </c>
      <c r="R205" s="42">
        <f t="shared" si="359"/>
        <v>1.6874025000000001E-2</v>
      </c>
      <c r="S205" s="42">
        <f t="shared" si="359"/>
        <v>1.6874025000000001E-2</v>
      </c>
      <c r="T205" s="42">
        <f t="shared" si="359"/>
        <v>1.6874025000000001E-2</v>
      </c>
      <c r="U205" s="42">
        <f t="shared" si="359"/>
        <v>1.6874025000000001E-2</v>
      </c>
      <c r="V205" s="42">
        <f t="shared" si="359"/>
        <v>1.6874025000000001E-2</v>
      </c>
      <c r="W205" s="42">
        <f t="shared" si="359"/>
        <v>1.6874025000000001E-2</v>
      </c>
      <c r="X205" s="42">
        <f t="shared" si="359"/>
        <v>1.6874025000000001E-2</v>
      </c>
      <c r="Y205" s="42">
        <f t="shared" si="359"/>
        <v>1.6874025000000001E-2</v>
      </c>
      <c r="Z205" s="42">
        <f t="shared" si="359"/>
        <v>1.6874025000000001E-2</v>
      </c>
    </row>
    <row r="206" spans="2:26" ht="15.5">
      <c r="B206" s="138" t="s">
        <v>298</v>
      </c>
      <c r="C206" s="138"/>
      <c r="D206" s="138"/>
      <c r="E206" s="138"/>
      <c r="F206" s="139">
        <f ca="1">+F202-F205</f>
        <v>0</v>
      </c>
      <c r="G206" s="139">
        <f t="shared" ref="G206:Z206" ca="1" si="360">+G202-G205</f>
        <v>0</v>
      </c>
      <c r="H206" s="139">
        <f t="shared" ca="1" si="360"/>
        <v>0</v>
      </c>
      <c r="I206" s="139">
        <f t="shared" ca="1" si="360"/>
        <v>6.0299160151393381E-2</v>
      </c>
      <c r="J206" s="139">
        <f t="shared" ca="1" si="360"/>
        <v>0.13842171695884248</v>
      </c>
      <c r="K206" s="139">
        <f t="shared" ca="1" si="360"/>
        <v>0.14391872945884254</v>
      </c>
      <c r="L206" s="139">
        <f t="shared" ca="1" si="360"/>
        <v>0.14391872945884254</v>
      </c>
      <c r="M206" s="139">
        <f t="shared" ca="1" si="360"/>
        <v>0.14287475604801936</v>
      </c>
      <c r="N206" s="139">
        <f t="shared" ca="1" si="360"/>
        <v>0.14287475604801936</v>
      </c>
      <c r="O206" s="139">
        <f t="shared" ca="1" si="360"/>
        <v>0.14287475604801936</v>
      </c>
      <c r="P206" s="139">
        <f t="shared" ca="1" si="360"/>
        <v>0.14180990316897973</v>
      </c>
      <c r="Q206" s="139">
        <f t="shared" ca="1" si="360"/>
        <v>0.14180990316897973</v>
      </c>
      <c r="R206" s="139">
        <f t="shared" ca="1" si="360"/>
        <v>0.14180990316897973</v>
      </c>
      <c r="S206" s="139">
        <f t="shared" ca="1" si="360"/>
        <v>0.14072375323235936</v>
      </c>
      <c r="T206" s="139">
        <f t="shared" ca="1" si="360"/>
        <v>0.14072375323235936</v>
      </c>
      <c r="U206" s="139">
        <f t="shared" ca="1" si="360"/>
        <v>0.14072375323235936</v>
      </c>
      <c r="V206" s="139">
        <f t="shared" ca="1" si="360"/>
        <v>0.13961588029700656</v>
      </c>
      <c r="W206" s="139">
        <f t="shared" ca="1" si="360"/>
        <v>0.13961588029700656</v>
      </c>
      <c r="X206" s="139">
        <f t="shared" ca="1" si="360"/>
        <v>0.13961588029700656</v>
      </c>
      <c r="Y206" s="139">
        <f t="shared" ca="1" si="360"/>
        <v>0.13848584990294666</v>
      </c>
      <c r="Z206" s="139">
        <f t="shared" ca="1" si="360"/>
        <v>0.13848584990294666</v>
      </c>
    </row>
    <row r="207" spans="2:26" ht="15.5">
      <c r="B207" s="143" t="s">
        <v>239</v>
      </c>
      <c r="C207" s="141"/>
      <c r="D207" s="141"/>
      <c r="E207" s="141"/>
      <c r="F207" s="144" t="str">
        <f t="shared" ref="F207:Z207" ca="1" si="361">+IFERROR(F206/F183,"")</f>
        <v/>
      </c>
      <c r="G207" s="144" t="str">
        <f t="shared" ca="1" si="361"/>
        <v/>
      </c>
      <c r="H207" s="144" t="str">
        <f t="shared" ca="1" si="361"/>
        <v/>
      </c>
      <c r="I207" s="144">
        <f t="shared" ca="1" si="361"/>
        <v>0.23819361460938573</v>
      </c>
      <c r="J207" s="144">
        <f t="shared" ca="1" si="361"/>
        <v>0.25161466090535711</v>
      </c>
      <c r="K207" s="144">
        <f t="shared" ca="1" si="361"/>
        <v>0.25566575823072218</v>
      </c>
      <c r="L207" s="144">
        <f t="shared" ca="1" si="361"/>
        <v>0.25566575823072218</v>
      </c>
      <c r="M207" s="144">
        <f t="shared" ca="1" si="361"/>
        <v>0.25381118200805514</v>
      </c>
      <c r="N207" s="144">
        <f t="shared" ca="1" si="361"/>
        <v>0.25381118200805514</v>
      </c>
      <c r="O207" s="144">
        <f t="shared" ca="1" si="361"/>
        <v>0.25381118200805514</v>
      </c>
      <c r="P207" s="144">
        <f t="shared" ca="1" si="361"/>
        <v>0.25191951426093478</v>
      </c>
      <c r="Q207" s="144">
        <f t="shared" ca="1" si="361"/>
        <v>0.25191951426093478</v>
      </c>
      <c r="R207" s="144">
        <f t="shared" ca="1" si="361"/>
        <v>0.25191951426093478</v>
      </c>
      <c r="S207" s="144">
        <f t="shared" ca="1" si="361"/>
        <v>0.24999001315887207</v>
      </c>
      <c r="T207" s="144">
        <f t="shared" ca="1" si="361"/>
        <v>0.24999001315887207</v>
      </c>
      <c r="U207" s="144">
        <f t="shared" ca="1" si="361"/>
        <v>0.24999001315887207</v>
      </c>
      <c r="V207" s="144">
        <f t="shared" ca="1" si="361"/>
        <v>0.24802192203476808</v>
      </c>
      <c r="W207" s="144">
        <f t="shared" ca="1" si="361"/>
        <v>0.24802192203476808</v>
      </c>
      <c r="X207" s="144">
        <f t="shared" ca="1" si="361"/>
        <v>0.24802192203476808</v>
      </c>
      <c r="Y207" s="144">
        <f t="shared" ca="1" si="361"/>
        <v>0.24601446908818195</v>
      </c>
      <c r="Z207" s="144">
        <f t="shared" ca="1" si="361"/>
        <v>0.24601446908818195</v>
      </c>
    </row>
    <row r="208" spans="2:26" ht="15.5">
      <c r="B208" s="143" t="s">
        <v>179</v>
      </c>
      <c r="C208" s="141"/>
      <c r="D208" s="141"/>
      <c r="E208" s="141"/>
      <c r="F208" s="142">
        <f ca="1">+F202/Assumptions!$N$131</f>
        <v>0</v>
      </c>
      <c r="G208" s="142">
        <f ca="1">+G202/Assumptions!$N$131</f>
        <v>0</v>
      </c>
      <c r="H208" s="142">
        <f ca="1">+H202/Assumptions!$N$131</f>
        <v>0</v>
      </c>
      <c r="I208" s="142">
        <f ca="1">+I202/Assumptions!$N$131</f>
        <v>0.84858708001741723</v>
      </c>
      <c r="J208" s="142">
        <f ca="1">+J202/Assumptions!$N$131</f>
        <v>1.936402868235531</v>
      </c>
      <c r="K208" s="142">
        <f ca="1">+K202/Assumptions!$N$131</f>
        <v>2.0099094307355321</v>
      </c>
      <c r="L208" s="142">
        <f ca="1">+L202/Assumptions!$N$131</f>
        <v>2.0099094307355321</v>
      </c>
      <c r="M208" s="142">
        <f ca="1">+M202/Assumptions!$N$131</f>
        <v>1.996859763100242</v>
      </c>
      <c r="N208" s="142">
        <f ca="1">+N202/Assumptions!$N$131</f>
        <v>1.996859763100242</v>
      </c>
      <c r="O208" s="142">
        <f ca="1">+O202/Assumptions!$N$131</f>
        <v>1.996859763100242</v>
      </c>
      <c r="P208" s="142">
        <f ca="1">+P202/Assumptions!$N$131</f>
        <v>1.9835491021122469</v>
      </c>
      <c r="Q208" s="142">
        <f ca="1">+Q202/Assumptions!$N$131</f>
        <v>1.9835491021122469</v>
      </c>
      <c r="R208" s="142">
        <f ca="1">+R202/Assumptions!$N$131</f>
        <v>1.9835491021122469</v>
      </c>
      <c r="S208" s="142">
        <f ca="1">+S202/Assumptions!$N$131</f>
        <v>1.9699722279044922</v>
      </c>
      <c r="T208" s="142">
        <f ca="1">+T202/Assumptions!$N$131</f>
        <v>1.9699722279044922</v>
      </c>
      <c r="U208" s="142">
        <f ca="1">+U202/Assumptions!$N$131</f>
        <v>1.9699722279044922</v>
      </c>
      <c r="V208" s="142">
        <f ca="1">+V202/Assumptions!$N$131</f>
        <v>1.956123816212582</v>
      </c>
      <c r="W208" s="142">
        <f ca="1">+W202/Assumptions!$N$131</f>
        <v>1.956123816212582</v>
      </c>
      <c r="X208" s="142">
        <f ca="1">+X202/Assumptions!$N$131</f>
        <v>1.956123816212582</v>
      </c>
      <c r="Y208" s="142">
        <f ca="1">+Y202/Assumptions!$N$131</f>
        <v>1.9419984362868334</v>
      </c>
      <c r="Z208" s="142">
        <f ca="1">+Z202/Assumptions!$N$131</f>
        <v>1.9419984362868334</v>
      </c>
    </row>
    <row r="210" spans="2:26" ht="15.5">
      <c r="B210" s="148" t="s">
        <v>31</v>
      </c>
      <c r="F210" s="150">
        <f>+Assumptions!$F$22</f>
        <v>44561</v>
      </c>
      <c r="G210" s="150">
        <f>+EOMONTH(F210,12)</f>
        <v>44926</v>
      </c>
      <c r="H210" s="150">
        <f t="shared" ref="H210:Z210" si="362">+EOMONTH(G210,12)</f>
        <v>45291</v>
      </c>
      <c r="I210" s="150">
        <f t="shared" si="362"/>
        <v>45657</v>
      </c>
      <c r="J210" s="150">
        <f t="shared" si="362"/>
        <v>46022</v>
      </c>
      <c r="K210" s="150">
        <f t="shared" si="362"/>
        <v>46387</v>
      </c>
      <c r="L210" s="150">
        <f t="shared" si="362"/>
        <v>46752</v>
      </c>
      <c r="M210" s="150">
        <f t="shared" si="362"/>
        <v>47118</v>
      </c>
      <c r="N210" s="150">
        <f t="shared" si="362"/>
        <v>47483</v>
      </c>
      <c r="O210" s="150">
        <f t="shared" si="362"/>
        <v>47848</v>
      </c>
      <c r="P210" s="150">
        <f t="shared" si="362"/>
        <v>48213</v>
      </c>
      <c r="Q210" s="150">
        <f t="shared" si="362"/>
        <v>48579</v>
      </c>
      <c r="R210" s="150">
        <f t="shared" si="362"/>
        <v>48944</v>
      </c>
      <c r="S210" s="150">
        <f t="shared" si="362"/>
        <v>49309</v>
      </c>
      <c r="T210" s="150">
        <f t="shared" si="362"/>
        <v>49674</v>
      </c>
      <c r="U210" s="150">
        <f t="shared" si="362"/>
        <v>50040</v>
      </c>
      <c r="V210" s="150">
        <f t="shared" si="362"/>
        <v>50405</v>
      </c>
      <c r="W210" s="150">
        <f t="shared" si="362"/>
        <v>50770</v>
      </c>
      <c r="X210" s="150">
        <f t="shared" si="362"/>
        <v>51135</v>
      </c>
      <c r="Y210" s="150">
        <f t="shared" si="362"/>
        <v>51501</v>
      </c>
      <c r="Z210" s="150">
        <f t="shared" si="362"/>
        <v>51866</v>
      </c>
    </row>
    <row r="211" spans="2:26">
      <c r="B211" s="33" t="s">
        <v>313</v>
      </c>
      <c r="F211" s="34">
        <v>0</v>
      </c>
      <c r="G211" s="34">
        <f t="shared" ref="G211:N211" si="363">+F214</f>
        <v>0</v>
      </c>
      <c r="H211" s="34">
        <f t="shared" si="363"/>
        <v>0</v>
      </c>
      <c r="I211" s="34">
        <f t="shared" si="363"/>
        <v>0</v>
      </c>
      <c r="J211" s="34">
        <f t="shared" si="363"/>
        <v>0</v>
      </c>
      <c r="K211" s="34">
        <f t="shared" si="363"/>
        <v>0</v>
      </c>
      <c r="L211" s="34">
        <f t="shared" si="363"/>
        <v>0</v>
      </c>
      <c r="M211" s="34">
        <f t="shared" si="363"/>
        <v>0</v>
      </c>
      <c r="N211" s="34">
        <f t="shared" si="363"/>
        <v>0</v>
      </c>
      <c r="O211" s="34">
        <f t="shared" ref="O211:Z211" si="364">+N214</f>
        <v>0</v>
      </c>
      <c r="P211" s="34">
        <f t="shared" si="364"/>
        <v>0</v>
      </c>
      <c r="Q211" s="34">
        <f t="shared" si="364"/>
        <v>0</v>
      </c>
      <c r="R211" s="34">
        <f t="shared" si="364"/>
        <v>0</v>
      </c>
      <c r="S211" s="34">
        <f t="shared" si="364"/>
        <v>0</v>
      </c>
      <c r="T211" s="34">
        <f t="shared" si="364"/>
        <v>0</v>
      </c>
      <c r="U211" s="34">
        <f t="shared" si="364"/>
        <v>0</v>
      </c>
      <c r="V211" s="34">
        <f t="shared" si="364"/>
        <v>0</v>
      </c>
      <c r="W211" s="34">
        <f t="shared" si="364"/>
        <v>0</v>
      </c>
      <c r="X211" s="34">
        <f t="shared" si="364"/>
        <v>0</v>
      </c>
      <c r="Y211" s="34">
        <f t="shared" si="364"/>
        <v>0</v>
      </c>
      <c r="Z211" s="34">
        <f t="shared" si="364"/>
        <v>0</v>
      </c>
    </row>
    <row r="212" spans="2:26">
      <c r="B212" s="33" t="s">
        <v>324</v>
      </c>
      <c r="F212" s="151">
        <f>+IF(YEAR(F$140)=YEAR(Assumptions!$F$26),'S&amp;U'!$R$18,0)</f>
        <v>0</v>
      </c>
      <c r="G212" s="151">
        <f>+IF(YEAR(G$140)=YEAR(Assumptions!$F$26),'S&amp;U'!$R$18,0)</f>
        <v>0</v>
      </c>
      <c r="H212" s="151">
        <f>+IF(YEAR(H$140)=YEAR(Assumptions!$F$26),'S&amp;U'!$R$18,0)</f>
        <v>0</v>
      </c>
      <c r="I212" s="151">
        <f>+IF(YEAR(I$140)=YEAR(Assumptions!$F$26),'S&amp;U'!$R$18,0)</f>
        <v>0</v>
      </c>
      <c r="J212" s="151">
        <f>+IF(YEAR(J$140)=YEAR(Assumptions!$F$26),'S&amp;U'!$R$18,0)</f>
        <v>0</v>
      </c>
      <c r="K212" s="151">
        <f>+IF(YEAR(K$140)=YEAR(Assumptions!$F$26),'S&amp;U'!$R$18,0)</f>
        <v>0</v>
      </c>
      <c r="L212" s="151">
        <f>+IF(YEAR(L$140)=YEAR(Assumptions!$F$26),'S&amp;U'!$R$18,0)</f>
        <v>0</v>
      </c>
      <c r="M212" s="151">
        <f>+IF(YEAR(M$140)=YEAR(Assumptions!$F$26),'S&amp;U'!$R$18,0)</f>
        <v>0</v>
      </c>
      <c r="N212" s="151">
        <f>+IF(YEAR(N$140)=YEAR(Assumptions!$F$26),'S&amp;U'!$R$18,0)</f>
        <v>0</v>
      </c>
      <c r="O212" s="151">
        <f>+IF(YEAR(O$140)=YEAR(Assumptions!$F$26),'S&amp;U'!$R$18,0)</f>
        <v>0</v>
      </c>
      <c r="P212" s="151">
        <f>+IF(YEAR(P$140)=YEAR(Assumptions!$F$26),'S&amp;U'!$R$18,0)</f>
        <v>0</v>
      </c>
      <c r="Q212" s="151">
        <f>+IF(YEAR(Q$140)=YEAR(Assumptions!$F$26),'S&amp;U'!$R$18,0)</f>
        <v>0</v>
      </c>
      <c r="R212" s="151">
        <f>+IF(YEAR(R$140)=YEAR(Assumptions!$F$26),'S&amp;U'!$R$18,0)</f>
        <v>0</v>
      </c>
      <c r="S212" s="151">
        <f>+IF(YEAR(S$140)=YEAR(Assumptions!$F$26),'S&amp;U'!$R$18,0)</f>
        <v>0</v>
      </c>
      <c r="T212" s="151">
        <f>+IF(YEAR(T$140)=YEAR(Assumptions!$F$26),'S&amp;U'!$R$18,0)</f>
        <v>0</v>
      </c>
      <c r="U212" s="151">
        <f>+IF(YEAR(U$140)=YEAR(Assumptions!$F$26),'S&amp;U'!$R$18,0)</f>
        <v>0</v>
      </c>
      <c r="V212" s="151">
        <f>+IF(YEAR(V$140)=YEAR(Assumptions!$F$26),'S&amp;U'!$R$18,0)</f>
        <v>0</v>
      </c>
      <c r="W212" s="151">
        <f>+IF(YEAR(W$140)=YEAR(Assumptions!$F$26),'S&amp;U'!$R$18,0)</f>
        <v>0</v>
      </c>
      <c r="X212" s="151">
        <f>+IF(YEAR(X$140)=YEAR(Assumptions!$F$26),'S&amp;U'!$R$18,0)</f>
        <v>0</v>
      </c>
      <c r="Y212" s="151">
        <f>+IF(YEAR(Y$140)=YEAR(Assumptions!$F$26),'S&amp;U'!$R$18,0)</f>
        <v>0</v>
      </c>
      <c r="Z212" s="151">
        <f>+IF(YEAR(Z$140)=YEAR(Assumptions!$F$26),'S&amp;U'!$R$18,0)</f>
        <v>0</v>
      </c>
    </row>
    <row r="213" spans="2:26">
      <c r="B213" s="33" t="s">
        <v>156</v>
      </c>
      <c r="F213" s="151">
        <v>0</v>
      </c>
      <c r="G213" s="151">
        <v>0</v>
      </c>
      <c r="H213" s="151">
        <v>0</v>
      </c>
      <c r="I213" s="151">
        <v>0</v>
      </c>
      <c r="J213" s="151">
        <v>0</v>
      </c>
      <c r="K213" s="151">
        <v>0</v>
      </c>
      <c r="L213" s="151">
        <v>0</v>
      </c>
      <c r="M213" s="151">
        <v>0</v>
      </c>
      <c r="N213" s="151">
        <v>0</v>
      </c>
      <c r="O213" s="151">
        <v>0</v>
      </c>
      <c r="P213" s="151">
        <v>0</v>
      </c>
      <c r="Q213" s="151">
        <v>0</v>
      </c>
      <c r="R213" s="151">
        <v>0</v>
      </c>
      <c r="S213" s="151">
        <v>0</v>
      </c>
      <c r="T213" s="151">
        <v>0</v>
      </c>
      <c r="U213" s="151">
        <v>0</v>
      </c>
      <c r="V213" s="151">
        <v>0</v>
      </c>
      <c r="W213" s="151">
        <v>0</v>
      </c>
      <c r="X213" s="151">
        <v>0</v>
      </c>
      <c r="Y213" s="151">
        <v>0</v>
      </c>
      <c r="Z213" s="151">
        <v>0</v>
      </c>
    </row>
    <row r="214" spans="2:26">
      <c r="B214" s="33" t="s">
        <v>315</v>
      </c>
      <c r="F214" s="151">
        <f t="shared" ref="F214:N214" si="365">+SUM(F211:F213)</f>
        <v>0</v>
      </c>
      <c r="G214" s="151">
        <f t="shared" si="365"/>
        <v>0</v>
      </c>
      <c r="H214" s="151">
        <f t="shared" si="365"/>
        <v>0</v>
      </c>
      <c r="I214" s="151">
        <f t="shared" si="365"/>
        <v>0</v>
      </c>
      <c r="J214" s="151">
        <f t="shared" si="365"/>
        <v>0</v>
      </c>
      <c r="K214" s="151">
        <f t="shared" si="365"/>
        <v>0</v>
      </c>
      <c r="L214" s="151">
        <f t="shared" si="365"/>
        <v>0</v>
      </c>
      <c r="M214" s="151">
        <f t="shared" si="365"/>
        <v>0</v>
      </c>
      <c r="N214" s="151">
        <f t="shared" si="365"/>
        <v>0</v>
      </c>
      <c r="O214" s="151">
        <f t="shared" ref="O214" si="366">+SUM(O211:O213)</f>
        <v>0</v>
      </c>
      <c r="P214" s="151">
        <f t="shared" ref="P214" si="367">+SUM(P211:P213)</f>
        <v>0</v>
      </c>
      <c r="Q214" s="151">
        <f t="shared" ref="Q214" si="368">+SUM(Q211:Q213)</f>
        <v>0</v>
      </c>
      <c r="R214" s="151">
        <f t="shared" ref="R214" si="369">+SUM(R211:R213)</f>
        <v>0</v>
      </c>
      <c r="S214" s="151">
        <f t="shared" ref="S214" si="370">+SUM(S211:S213)</f>
        <v>0</v>
      </c>
      <c r="T214" s="151">
        <f t="shared" ref="T214" si="371">+SUM(T211:T213)</f>
        <v>0</v>
      </c>
      <c r="U214" s="151">
        <f t="shared" ref="U214" si="372">+SUM(U211:U213)</f>
        <v>0</v>
      </c>
      <c r="V214" s="151">
        <f t="shared" ref="V214" si="373">+SUM(V211:V213)</f>
        <v>0</v>
      </c>
      <c r="W214" s="151">
        <f t="shared" ref="W214" si="374">+SUM(W211:W213)</f>
        <v>0</v>
      </c>
      <c r="X214" s="151">
        <f t="shared" ref="X214" si="375">+SUM(X211:X213)</f>
        <v>0</v>
      </c>
      <c r="Y214" s="151">
        <f t="shared" ref="Y214" si="376">+SUM(Y211:Y213)</f>
        <v>0</v>
      </c>
      <c r="Z214" s="151">
        <f t="shared" ref="Z214" si="377">+SUM(Z211:Z213)</f>
        <v>0</v>
      </c>
    </row>
    <row r="216" spans="2:26">
      <c r="B216" s="41" t="s">
        <v>314</v>
      </c>
      <c r="F216" s="34">
        <f>+F214*Assumptions!$N$157</f>
        <v>0</v>
      </c>
      <c r="G216" s="34">
        <f>+G214*Assumptions!$N$157</f>
        <v>0</v>
      </c>
      <c r="H216" s="34">
        <f>+H214*Assumptions!$N$157</f>
        <v>0</v>
      </c>
      <c r="I216" s="34">
        <f>+I214*Assumptions!$N$157</f>
        <v>0</v>
      </c>
      <c r="J216" s="34">
        <f>+J214*Assumptions!$N$157</f>
        <v>0</v>
      </c>
      <c r="K216" s="34">
        <f>+K214*Assumptions!$N$157</f>
        <v>0</v>
      </c>
      <c r="L216" s="34">
        <f>+L214*Assumptions!$N$157</f>
        <v>0</v>
      </c>
      <c r="M216" s="34">
        <f>+M214*Assumptions!$N$157</f>
        <v>0</v>
      </c>
      <c r="N216" s="34">
        <f>+N214*Assumptions!$N$157</f>
        <v>0</v>
      </c>
      <c r="O216" s="34">
        <f>+O214*Assumptions!$N$157</f>
        <v>0</v>
      </c>
      <c r="P216" s="34">
        <f>+P214*Assumptions!$N$157</f>
        <v>0</v>
      </c>
      <c r="Q216" s="34">
        <f>+Q214*Assumptions!$N$157</f>
        <v>0</v>
      </c>
      <c r="R216" s="34">
        <f>+R214*Assumptions!$N$157</f>
        <v>0</v>
      </c>
      <c r="S216" s="34">
        <f>+S214*Assumptions!$N$157</f>
        <v>0</v>
      </c>
      <c r="T216" s="34">
        <f>+T214*Assumptions!$N$157</f>
        <v>0</v>
      </c>
      <c r="U216" s="34">
        <f>+U214*Assumptions!$N$157</f>
        <v>0</v>
      </c>
      <c r="V216" s="34">
        <f>+V214*Assumptions!$N$157</f>
        <v>0</v>
      </c>
      <c r="W216" s="34">
        <f>+W214*Assumptions!$N$157</f>
        <v>0</v>
      </c>
      <c r="X216" s="34">
        <f>+X214*Assumptions!$N$157</f>
        <v>0</v>
      </c>
      <c r="Y216" s="34">
        <f>+Y214*Assumptions!$N$157</f>
        <v>0</v>
      </c>
      <c r="Z216" s="34">
        <f>+Z214*Assumptions!$N$157</f>
        <v>0</v>
      </c>
    </row>
    <row r="217" spans="2:26">
      <c r="B217" s="137" t="s">
        <v>323</v>
      </c>
      <c r="C217" s="137"/>
      <c r="D217" s="137"/>
      <c r="E217" s="137"/>
      <c r="F217" s="129">
        <f t="shared" ref="F217" si="378">+F216-F213</f>
        <v>0</v>
      </c>
      <c r="G217" s="129">
        <f t="shared" ref="G217" si="379">+G216-G213</f>
        <v>0</v>
      </c>
      <c r="H217" s="129">
        <f t="shared" ref="H217" si="380">+H216-H213</f>
        <v>0</v>
      </c>
      <c r="I217" s="129">
        <f t="shared" ref="I217" si="381">+I216-I213</f>
        <v>0</v>
      </c>
      <c r="J217" s="129">
        <f t="shared" ref="J217" si="382">+J216-J213</f>
        <v>0</v>
      </c>
      <c r="K217" s="129">
        <f t="shared" ref="K217" si="383">+K216-K213</f>
        <v>0</v>
      </c>
      <c r="L217" s="129">
        <f>+L216-L213</f>
        <v>0</v>
      </c>
      <c r="M217" s="129">
        <f t="shared" ref="M217" si="384">+M216-M213</f>
        <v>0</v>
      </c>
      <c r="N217" s="129">
        <f t="shared" ref="N217" si="385">+N216-N213</f>
        <v>0</v>
      </c>
      <c r="O217" s="129">
        <f t="shared" ref="O217" si="386">+O216-O213</f>
        <v>0</v>
      </c>
      <c r="P217" s="129">
        <f t="shared" ref="P217" si="387">+P216-P213</f>
        <v>0</v>
      </c>
      <c r="Q217" s="129">
        <f t="shared" ref="Q217" si="388">+Q216-Q213</f>
        <v>0</v>
      </c>
      <c r="R217" s="129">
        <f t="shared" ref="R217" si="389">+R216-R213</f>
        <v>0</v>
      </c>
      <c r="S217" s="129">
        <f t="shared" ref="S217" si="390">+S216-S213</f>
        <v>0</v>
      </c>
      <c r="T217" s="129">
        <f t="shared" ref="T217" si="391">+T216-T213</f>
        <v>0</v>
      </c>
      <c r="U217" s="129">
        <f t="shared" ref="U217" si="392">+U216-U213</f>
        <v>0</v>
      </c>
      <c r="V217" s="129">
        <f t="shared" ref="V217" si="393">+V216-V213</f>
        <v>0</v>
      </c>
      <c r="W217" s="129">
        <f t="shared" ref="W217" si="394">+W216-W213</f>
        <v>0</v>
      </c>
      <c r="X217" s="129">
        <f t="shared" ref="X217" si="395">+X216-X213</f>
        <v>0</v>
      </c>
      <c r="Y217" s="129">
        <f t="shared" ref="Y217" si="396">+Y216-Y213</f>
        <v>0</v>
      </c>
      <c r="Z217" s="129">
        <f t="shared" ref="Z217" si="397">+Z216-Z213</f>
        <v>0</v>
      </c>
    </row>
    <row r="218" spans="2:26" ht="15.5">
      <c r="B218" s="146" t="s">
        <v>172</v>
      </c>
      <c r="F218" s="180" t="str">
        <f t="shared" ref="F218:J218" ca="1" si="398">+IFERROR(F206/F217,"")</f>
        <v/>
      </c>
      <c r="G218" s="180" t="str">
        <f t="shared" ca="1" si="398"/>
        <v/>
      </c>
      <c r="H218" s="180" t="str">
        <f t="shared" ca="1" si="398"/>
        <v/>
      </c>
      <c r="I218" s="180" t="str">
        <f t="shared" ca="1" si="398"/>
        <v/>
      </c>
      <c r="J218" s="180" t="str">
        <f t="shared" ca="1" si="398"/>
        <v/>
      </c>
      <c r="K218" s="180" t="str">
        <f ca="1">+IFERROR(K206/K217,"")</f>
        <v/>
      </c>
      <c r="L218" s="180" t="str">
        <f t="shared" ref="L218:Z218" ca="1" si="399">+IFERROR(L206/L217,"")</f>
        <v/>
      </c>
      <c r="M218" s="180" t="str">
        <f t="shared" ca="1" si="399"/>
        <v/>
      </c>
      <c r="N218" s="180" t="str">
        <f t="shared" ca="1" si="399"/>
        <v/>
      </c>
      <c r="O218" s="180" t="str">
        <f t="shared" ca="1" si="399"/>
        <v/>
      </c>
      <c r="P218" s="180" t="str">
        <f t="shared" ca="1" si="399"/>
        <v/>
      </c>
      <c r="Q218" s="180" t="str">
        <f t="shared" ca="1" si="399"/>
        <v/>
      </c>
      <c r="R218" s="180" t="str">
        <f t="shared" ca="1" si="399"/>
        <v/>
      </c>
      <c r="S218" s="180" t="str">
        <f t="shared" ca="1" si="399"/>
        <v/>
      </c>
      <c r="T218" s="180" t="str">
        <f t="shared" ca="1" si="399"/>
        <v/>
      </c>
      <c r="U218" s="180" t="str">
        <f t="shared" ca="1" si="399"/>
        <v/>
      </c>
      <c r="V218" s="180" t="str">
        <f t="shared" ca="1" si="399"/>
        <v/>
      </c>
      <c r="W218" s="180" t="str">
        <f t="shared" ca="1" si="399"/>
        <v/>
      </c>
      <c r="X218" s="180" t="str">
        <f t="shared" ca="1" si="399"/>
        <v/>
      </c>
      <c r="Y218" s="180" t="str">
        <f t="shared" ca="1" si="399"/>
        <v/>
      </c>
      <c r="Z218" s="180" t="str">
        <f t="shared" ca="1" si="399"/>
        <v/>
      </c>
    </row>
    <row r="220" spans="2:26">
      <c r="B220" s="41" t="s">
        <v>150</v>
      </c>
      <c r="F220" s="34">
        <f>+F212*Assumptions!$N$158</f>
        <v>0</v>
      </c>
      <c r="G220" s="34">
        <f>+G212*Assumptions!$N$158</f>
        <v>0</v>
      </c>
      <c r="H220" s="34">
        <f>+H212*Assumptions!$N$158</f>
        <v>0</v>
      </c>
      <c r="I220" s="34">
        <f>+I212*Assumptions!$N$158</f>
        <v>0</v>
      </c>
      <c r="J220" s="34">
        <f>+J212*Assumptions!$N$158</f>
        <v>0</v>
      </c>
      <c r="K220" s="34">
        <f>+K212*Assumptions!$N$158</f>
        <v>0</v>
      </c>
      <c r="L220" s="34">
        <f>+L212*Assumptions!$N$158</f>
        <v>0</v>
      </c>
      <c r="M220" s="34">
        <f>+M212*Assumptions!$N$158</f>
        <v>0</v>
      </c>
      <c r="N220" s="34">
        <f>+N212*Assumptions!$N$158</f>
        <v>0</v>
      </c>
      <c r="O220" s="34">
        <f>+O212*Assumptions!$N$158</f>
        <v>0</v>
      </c>
      <c r="P220" s="34">
        <f>+P212*Assumptions!$N$158</f>
        <v>0</v>
      </c>
      <c r="Q220" s="34">
        <f>+Q212*Assumptions!$N$158</f>
        <v>0</v>
      </c>
      <c r="R220" s="34">
        <f>+R212*Assumptions!$N$158</f>
        <v>0</v>
      </c>
      <c r="S220" s="34">
        <f>+S212*Assumptions!$N$158</f>
        <v>0</v>
      </c>
      <c r="T220" s="34">
        <f>+T212*Assumptions!$N$158</f>
        <v>0</v>
      </c>
      <c r="U220" s="34">
        <f>+U212*Assumptions!$N$158</f>
        <v>0</v>
      </c>
      <c r="V220" s="34">
        <f>+V212*Assumptions!$N$158</f>
        <v>0</v>
      </c>
      <c r="W220" s="34">
        <f>+W212*Assumptions!$N$158</f>
        <v>0</v>
      </c>
      <c r="X220" s="34">
        <f>+X212*Assumptions!$N$158</f>
        <v>0</v>
      </c>
      <c r="Y220" s="34">
        <f>+Y212*Assumptions!$N$158</f>
        <v>0</v>
      </c>
      <c r="Z220" s="34">
        <f>+Z212*Assumptions!$N$158</f>
        <v>0</v>
      </c>
    </row>
    <row r="222" spans="2:26">
      <c r="B222" s="137" t="s">
        <v>316</v>
      </c>
      <c r="C222" s="137"/>
      <c r="D222" s="137"/>
      <c r="E222" s="137"/>
      <c r="F222" s="129">
        <f ca="1">+F206-F217-F220</f>
        <v>0</v>
      </c>
      <c r="G222" s="129">
        <f t="shared" ref="G222:Z222" ca="1" si="400">+G206-G217-G220</f>
        <v>0</v>
      </c>
      <c r="H222" s="129">
        <f t="shared" ca="1" si="400"/>
        <v>0</v>
      </c>
      <c r="I222" s="129">
        <f t="shared" ca="1" si="400"/>
        <v>6.0299160151393381E-2</v>
      </c>
      <c r="J222" s="129">
        <f t="shared" ca="1" si="400"/>
        <v>0.13842171695884248</v>
      </c>
      <c r="K222" s="129">
        <f t="shared" ca="1" si="400"/>
        <v>0.14391872945884254</v>
      </c>
      <c r="L222" s="129">
        <f t="shared" ca="1" si="400"/>
        <v>0.14391872945884254</v>
      </c>
      <c r="M222" s="129">
        <f t="shared" ca="1" si="400"/>
        <v>0.14287475604801936</v>
      </c>
      <c r="N222" s="129">
        <f t="shared" ca="1" si="400"/>
        <v>0.14287475604801936</v>
      </c>
      <c r="O222" s="129">
        <f t="shared" ca="1" si="400"/>
        <v>0.14287475604801936</v>
      </c>
      <c r="P222" s="129">
        <f t="shared" ca="1" si="400"/>
        <v>0.14180990316897973</v>
      </c>
      <c r="Q222" s="129">
        <f t="shared" ca="1" si="400"/>
        <v>0.14180990316897973</v>
      </c>
      <c r="R222" s="129">
        <f t="shared" ca="1" si="400"/>
        <v>0.14180990316897973</v>
      </c>
      <c r="S222" s="129">
        <f t="shared" ca="1" si="400"/>
        <v>0.14072375323235936</v>
      </c>
      <c r="T222" s="129">
        <f t="shared" ca="1" si="400"/>
        <v>0.14072375323235936</v>
      </c>
      <c r="U222" s="129">
        <f t="shared" ca="1" si="400"/>
        <v>0.14072375323235936</v>
      </c>
      <c r="V222" s="129">
        <f t="shared" ca="1" si="400"/>
        <v>0.13961588029700656</v>
      </c>
      <c r="W222" s="129">
        <f t="shared" ca="1" si="400"/>
        <v>0.13961588029700656</v>
      </c>
      <c r="X222" s="129">
        <f t="shared" ca="1" si="400"/>
        <v>0.13961588029700656</v>
      </c>
      <c r="Y222" s="129">
        <f t="shared" ca="1" si="400"/>
        <v>0.13848584990294666</v>
      </c>
      <c r="Z222" s="129">
        <f t="shared" ca="1" si="400"/>
        <v>0.13848584990294666</v>
      </c>
    </row>
    <row r="224" spans="2:26" ht="15.5">
      <c r="B224" s="148" t="s">
        <v>317</v>
      </c>
    </row>
    <row r="225" spans="2:26">
      <c r="B225" s="33" t="s">
        <v>318</v>
      </c>
      <c r="F225" s="34">
        <f>+IF(YEAR(F$140)=YEAR(Assumptions!$F$30),F208,0)</f>
        <v>0</v>
      </c>
      <c r="G225" s="34">
        <f>+IF(YEAR(G$140)=YEAR(Assumptions!$F$30),G208,0)</f>
        <v>0</v>
      </c>
      <c r="H225" s="34">
        <f>+IF(YEAR(H$140)=YEAR(Assumptions!$F$30),H208,0)</f>
        <v>0</v>
      </c>
      <c r="I225" s="34">
        <f>+IF(YEAR(I$140)=YEAR(Assumptions!$F$30),I208,0)</f>
        <v>0</v>
      </c>
      <c r="J225" s="34">
        <f>+IF(YEAR(J$140)=YEAR(Assumptions!$F$30),J208,0)</f>
        <v>0</v>
      </c>
      <c r="K225" s="34">
        <f>+IF(YEAR(K$140)=YEAR(Assumptions!$F$30),K208,0)</f>
        <v>0</v>
      </c>
      <c r="L225" s="34">
        <f>+IF(YEAR(L$140)=YEAR(Assumptions!$F$30),L208,0)</f>
        <v>0</v>
      </c>
      <c r="M225" s="34">
        <f>+IF(YEAR(M$140)=YEAR(Assumptions!$F$30),M208,0)</f>
        <v>0</v>
      </c>
      <c r="N225" s="34">
        <f>+IF(YEAR(N$140)=YEAR(Assumptions!$F$30),N208,0)</f>
        <v>0</v>
      </c>
      <c r="O225" s="34">
        <f>+IF(YEAR(O$140)=YEAR(Assumptions!$F$30),O208,0)</f>
        <v>0</v>
      </c>
      <c r="P225" s="34">
        <f ca="1">+IF(YEAR(P$140)=YEAR(Assumptions!$F$30),P208,0)</f>
        <v>1.9835491021122469</v>
      </c>
      <c r="Q225" s="34">
        <f>+IF(YEAR(Q$140)=YEAR(Assumptions!$F$30),Q208,0)</f>
        <v>0</v>
      </c>
      <c r="R225" s="34">
        <f>+IF(YEAR(R$140)=YEAR(Assumptions!$F$30),R208,0)</f>
        <v>0</v>
      </c>
      <c r="S225" s="34">
        <f>+IF(YEAR(S$140)=YEAR(Assumptions!$F$30),S208,0)</f>
        <v>0</v>
      </c>
      <c r="T225" s="34">
        <f>+IF(YEAR(T$140)=YEAR(Assumptions!$F$30),T208,0)</f>
        <v>0</v>
      </c>
      <c r="U225" s="34">
        <f>+IF(YEAR(U$140)=YEAR(Assumptions!$F$30),U208,0)</f>
        <v>0</v>
      </c>
      <c r="V225" s="34">
        <f>+IF(YEAR(V$140)=YEAR(Assumptions!$F$30),V208,0)</f>
        <v>0</v>
      </c>
      <c r="W225" s="34">
        <f>+IF(YEAR(W$140)=YEAR(Assumptions!$F$30),W208,0)</f>
        <v>0</v>
      </c>
      <c r="X225" s="34">
        <f>+IF(YEAR(X$140)=YEAR(Assumptions!$F$30),X208,0)</f>
        <v>0</v>
      </c>
      <c r="Y225" s="34">
        <f>+IF(YEAR(Y$140)=YEAR(Assumptions!$F$30),Y208,0)</f>
        <v>0</v>
      </c>
      <c r="Z225" s="34">
        <f>+IF(YEAR(Z$140)=YEAR(Assumptions!$F$30),Z208,0)</f>
        <v>0</v>
      </c>
    </row>
    <row r="226" spans="2:26">
      <c r="B226" s="33" t="s">
        <v>319</v>
      </c>
      <c r="F226" s="151">
        <f>-F225*Assumptions!$N$136</f>
        <v>0</v>
      </c>
      <c r="G226" s="151">
        <f>-G225*Assumptions!$N$136</f>
        <v>0</v>
      </c>
      <c r="H226" s="151">
        <f>-H225*Assumptions!$N$136</f>
        <v>0</v>
      </c>
      <c r="I226" s="151">
        <f>-I225*Assumptions!$N$136</f>
        <v>0</v>
      </c>
      <c r="J226" s="151">
        <f>-J225*Assumptions!$N$136</f>
        <v>0</v>
      </c>
      <c r="K226" s="151">
        <f>-K225*Assumptions!$N$136</f>
        <v>0</v>
      </c>
      <c r="L226" s="151">
        <f>-L225*Assumptions!$N$136</f>
        <v>0</v>
      </c>
      <c r="M226" s="151">
        <f>-M225*Assumptions!$N$136</f>
        <v>0</v>
      </c>
      <c r="N226" s="151">
        <f>-N225*Assumptions!$N$136</f>
        <v>0</v>
      </c>
      <c r="O226" s="151">
        <f>-O225*Assumptions!$N$136</f>
        <v>0</v>
      </c>
      <c r="P226" s="151">
        <f ca="1">-P225*Assumptions!$N$136</f>
        <v>-3.9670982042244937E-2</v>
      </c>
      <c r="Q226" s="151">
        <f>-Q225*Assumptions!$N$136</f>
        <v>0</v>
      </c>
      <c r="R226" s="151">
        <f>-R225*Assumptions!$N$136</f>
        <v>0</v>
      </c>
      <c r="S226" s="151">
        <f>-S225*Assumptions!$N$136</f>
        <v>0</v>
      </c>
      <c r="T226" s="151">
        <f>-T225*Assumptions!$N$136</f>
        <v>0</v>
      </c>
      <c r="U226" s="151">
        <f>-U225*Assumptions!$N$136</f>
        <v>0</v>
      </c>
      <c r="V226" s="151">
        <f>-V225*Assumptions!$N$136</f>
        <v>0</v>
      </c>
      <c r="W226" s="151">
        <f>-W225*Assumptions!$N$136</f>
        <v>0</v>
      </c>
      <c r="X226" s="151">
        <f>-X225*Assumptions!$N$136</f>
        <v>0</v>
      </c>
      <c r="Y226" s="151">
        <f>-Y225*Assumptions!$N$136</f>
        <v>0</v>
      </c>
      <c r="Z226" s="151">
        <f>-Z225*Assumptions!$N$136</f>
        <v>0</v>
      </c>
    </row>
    <row r="227" spans="2:26">
      <c r="B227" s="33" t="s">
        <v>320</v>
      </c>
      <c r="F227" s="151">
        <f>+IF(YEAR(F$140)=YEAR(Assumptions!$F$30),-F214,0)</f>
        <v>0</v>
      </c>
      <c r="G227" s="151">
        <f>+IF(YEAR(G$140)=YEAR(Assumptions!$F$30),-G214,0)</f>
        <v>0</v>
      </c>
      <c r="H227" s="151">
        <f>+IF(YEAR(H$140)=YEAR(Assumptions!$F$30),-H214,0)</f>
        <v>0</v>
      </c>
      <c r="I227" s="151">
        <f>+IF(YEAR(I$140)=YEAR(Assumptions!$F$30),-I214,0)</f>
        <v>0</v>
      </c>
      <c r="J227" s="151">
        <f>+IF(YEAR(J$140)=YEAR(Assumptions!$F$30),-J214,0)</f>
        <v>0</v>
      </c>
      <c r="K227" s="151">
        <f>+IF(YEAR(K$140)=YEAR(Assumptions!$F$30),-K214,0)</f>
        <v>0</v>
      </c>
      <c r="L227" s="151">
        <f>+IF(YEAR(L$140)=YEAR(Assumptions!$F$30),-L214,0)</f>
        <v>0</v>
      </c>
      <c r="M227" s="151">
        <f>+IF(YEAR(M$140)=YEAR(Assumptions!$F$30),-M214,0)</f>
        <v>0</v>
      </c>
      <c r="N227" s="151">
        <f>+IF(YEAR(N$140)=YEAR(Assumptions!$F$30),-N214,0)</f>
        <v>0</v>
      </c>
      <c r="O227" s="151">
        <f>+IF(YEAR(O$140)=YEAR(Assumptions!$F$30),-O214,0)</f>
        <v>0</v>
      </c>
      <c r="P227" s="151">
        <f>+IF(YEAR(P$140)=YEAR(Assumptions!$F$30),-P214,0)</f>
        <v>0</v>
      </c>
      <c r="Q227" s="151">
        <f>+IF(YEAR(Q$140)=YEAR(Assumptions!$F$30),-Q214,0)</f>
        <v>0</v>
      </c>
      <c r="R227" s="151">
        <f>+IF(YEAR(R$140)=YEAR(Assumptions!$F$30),-R214,0)</f>
        <v>0</v>
      </c>
      <c r="S227" s="151">
        <f>+IF(YEAR(S$140)=YEAR(Assumptions!$F$30),-S214,0)</f>
        <v>0</v>
      </c>
      <c r="T227" s="151">
        <f>+IF(YEAR(T$140)=YEAR(Assumptions!$F$30),-T214,0)</f>
        <v>0</v>
      </c>
      <c r="U227" s="151">
        <f>+IF(YEAR(U$140)=YEAR(Assumptions!$F$30),-U214,0)</f>
        <v>0</v>
      </c>
      <c r="V227" s="151">
        <f>+IF(YEAR(V$140)=YEAR(Assumptions!$F$30),-V214,0)</f>
        <v>0</v>
      </c>
      <c r="W227" s="151">
        <f>+IF(YEAR(W$140)=YEAR(Assumptions!$F$30),-W214,0)</f>
        <v>0</v>
      </c>
      <c r="X227" s="151">
        <f>+IF(YEAR(X$140)=YEAR(Assumptions!$F$30),-X214,0)</f>
        <v>0</v>
      </c>
      <c r="Y227" s="151">
        <f>+IF(YEAR(Y$140)=YEAR(Assumptions!$F$30),-Y214,0)</f>
        <v>0</v>
      </c>
      <c r="Z227" s="151">
        <f>+IF(YEAR(Z$140)=YEAR(Assumptions!$F$30),-Z214,0)</f>
        <v>0</v>
      </c>
    </row>
    <row r="228" spans="2:26">
      <c r="B228" s="137" t="s">
        <v>321</v>
      </c>
      <c r="C228" s="137"/>
      <c r="D228" s="137"/>
      <c r="E228" s="137"/>
      <c r="F228" s="129">
        <f t="shared" ref="F228:Z228" si="401">+SUM(F225:F227)</f>
        <v>0</v>
      </c>
      <c r="G228" s="129">
        <f t="shared" si="401"/>
        <v>0</v>
      </c>
      <c r="H228" s="129">
        <f t="shared" si="401"/>
        <v>0</v>
      </c>
      <c r="I228" s="129">
        <f t="shared" si="401"/>
        <v>0</v>
      </c>
      <c r="J228" s="129">
        <f t="shared" si="401"/>
        <v>0</v>
      </c>
      <c r="K228" s="129">
        <f t="shared" si="401"/>
        <v>0</v>
      </c>
      <c r="L228" s="129">
        <f t="shared" si="401"/>
        <v>0</v>
      </c>
      <c r="M228" s="129">
        <f t="shared" si="401"/>
        <v>0</v>
      </c>
      <c r="N228" s="129">
        <f t="shared" si="401"/>
        <v>0</v>
      </c>
      <c r="O228" s="129">
        <f t="shared" si="401"/>
        <v>0</v>
      </c>
      <c r="P228" s="129">
        <f t="shared" ca="1" si="401"/>
        <v>1.9438781200700019</v>
      </c>
      <c r="Q228" s="129">
        <f t="shared" si="401"/>
        <v>0</v>
      </c>
      <c r="R228" s="129">
        <f t="shared" si="401"/>
        <v>0</v>
      </c>
      <c r="S228" s="129">
        <f t="shared" si="401"/>
        <v>0</v>
      </c>
      <c r="T228" s="129">
        <f t="shared" si="401"/>
        <v>0</v>
      </c>
      <c r="U228" s="129">
        <f t="shared" si="401"/>
        <v>0</v>
      </c>
      <c r="V228" s="129">
        <f t="shared" si="401"/>
        <v>0</v>
      </c>
      <c r="W228" s="129">
        <f t="shared" si="401"/>
        <v>0</v>
      </c>
      <c r="X228" s="129">
        <f t="shared" si="401"/>
        <v>0</v>
      </c>
      <c r="Y228" s="129">
        <f t="shared" si="401"/>
        <v>0</v>
      </c>
      <c r="Z228" s="129">
        <f t="shared" si="401"/>
        <v>0</v>
      </c>
    </row>
    <row r="230" spans="2:26" ht="15.5">
      <c r="B230" s="138" t="s">
        <v>322</v>
      </c>
      <c r="C230" s="138"/>
      <c r="D230" s="138"/>
      <c r="E230" s="138"/>
      <c r="F230" s="139">
        <f ca="1">+IF(YEAR(F$140)&lt;=YEAR(Assumptions!$F$30),'Phase I Pro Forma'!F228+'Phase I Pro Forma'!F222,0)</f>
        <v>0</v>
      </c>
      <c r="G230" s="139">
        <f ca="1">+IF(YEAR(G$140)&lt;=YEAR(Assumptions!$F$30),'Phase I Pro Forma'!G228+'Phase I Pro Forma'!G222,0)</f>
        <v>0</v>
      </c>
      <c r="H230" s="139">
        <f ca="1">+IF(YEAR(H$140)&lt;=YEAR(Assumptions!$F$30),'Phase I Pro Forma'!H228+'Phase I Pro Forma'!H222,0)</f>
        <v>0</v>
      </c>
      <c r="I230" s="139">
        <f ca="1">+IF(YEAR(I$140)&lt;=YEAR(Assumptions!$F$30),'Phase I Pro Forma'!I228+'Phase I Pro Forma'!I222,0)</f>
        <v>6.0299160151393381E-2</v>
      </c>
      <c r="J230" s="139">
        <f ca="1">+IF(YEAR(J$140)&lt;=YEAR(Assumptions!$F$30),'Phase I Pro Forma'!J228+'Phase I Pro Forma'!J222,0)</f>
        <v>0.13842171695884248</v>
      </c>
      <c r="K230" s="139">
        <f ca="1">+IF(YEAR(K$140)&lt;=YEAR(Assumptions!$F$30),'Phase I Pro Forma'!K228+'Phase I Pro Forma'!K222,0)</f>
        <v>0.14391872945884254</v>
      </c>
      <c r="L230" s="139">
        <f ca="1">+IF(YEAR(L$140)&lt;=YEAR(Assumptions!$F$30),'Phase I Pro Forma'!L228+'Phase I Pro Forma'!L222,0)</f>
        <v>0.14391872945884254</v>
      </c>
      <c r="M230" s="139">
        <f ca="1">+IF(YEAR(M$140)&lt;=YEAR(Assumptions!$F$30),'Phase I Pro Forma'!M228+'Phase I Pro Forma'!M222,0)</f>
        <v>0.14287475604801936</v>
      </c>
      <c r="N230" s="139">
        <f ca="1">+IF(YEAR(N$140)&lt;=YEAR(Assumptions!$F$30),'Phase I Pro Forma'!N228+'Phase I Pro Forma'!N222,0)</f>
        <v>0.14287475604801936</v>
      </c>
      <c r="O230" s="139">
        <f ca="1">+IF(YEAR(O$140)&lt;=YEAR(Assumptions!$F$30),'Phase I Pro Forma'!O228+'Phase I Pro Forma'!O222,0)</f>
        <v>0.14287475604801936</v>
      </c>
      <c r="P230" s="139">
        <f ca="1">+IF(YEAR(P$140)&lt;=YEAR(Assumptions!$F$30),'Phase I Pro Forma'!P228+'Phase I Pro Forma'!P222,0)</f>
        <v>2.0856880232389816</v>
      </c>
      <c r="Q230" s="139">
        <f>+IF(YEAR(Q$140)&lt;=YEAR(Assumptions!$F$30),'Phase I Pro Forma'!Q228+'Phase I Pro Forma'!Q222,0)</f>
        <v>0</v>
      </c>
      <c r="R230" s="139">
        <f>+IF(YEAR(R$140)&lt;=YEAR(Assumptions!$F$30),'Phase I Pro Forma'!R228+'Phase I Pro Forma'!R222,0)</f>
        <v>0</v>
      </c>
      <c r="S230" s="139">
        <f>+IF(YEAR(S$140)&lt;=YEAR(Assumptions!$F$30),'Phase I Pro Forma'!S228+'Phase I Pro Forma'!S222,0)</f>
        <v>0</v>
      </c>
      <c r="T230" s="139">
        <f>+IF(YEAR(T$140)&lt;=YEAR(Assumptions!$F$30),'Phase I Pro Forma'!T228+'Phase I Pro Forma'!T222,0)</f>
        <v>0</v>
      </c>
      <c r="U230" s="139">
        <f>+IF(YEAR(U$140)&lt;=YEAR(Assumptions!$F$30),'Phase I Pro Forma'!U228+'Phase I Pro Forma'!U222,0)</f>
        <v>0</v>
      </c>
      <c r="V230" s="139">
        <f>+IF(YEAR(V$140)&lt;=YEAR(Assumptions!$F$30),'Phase I Pro Forma'!V228+'Phase I Pro Forma'!V222,0)</f>
        <v>0</v>
      </c>
      <c r="W230" s="139">
        <f>+IF(YEAR(W$140)&lt;=YEAR(Assumptions!$F$30),'Phase I Pro Forma'!W228+'Phase I Pro Forma'!W222,0)</f>
        <v>0</v>
      </c>
      <c r="X230" s="139">
        <f>+IF(YEAR(X$140)&lt;=YEAR(Assumptions!$F$30),'Phase I Pro Forma'!X228+'Phase I Pro Forma'!X222,0)</f>
        <v>0</v>
      </c>
      <c r="Y230" s="139">
        <f>+IF(YEAR(Y$140)&lt;=YEAR(Assumptions!$F$30),'Phase I Pro Forma'!Y228+'Phase I Pro Forma'!Y222,0)</f>
        <v>0</v>
      </c>
      <c r="Z230" s="139">
        <f>+IF(YEAR(Z$140)&lt;=YEAR(Assumptions!$F$30),'Phase I Pro Forma'!Z228+'Phase I Pro Forma'!Z222,0)</f>
        <v>0</v>
      </c>
    </row>
    <row r="232" spans="2:26" ht="15.5">
      <c r="B232" s="37" t="s">
        <v>826</v>
      </c>
      <c r="C232" s="38"/>
      <c r="D232" s="38"/>
      <c r="E232" s="38"/>
      <c r="F232" s="136"/>
      <c r="G232" s="136"/>
      <c r="H232" s="136"/>
      <c r="I232" s="136"/>
      <c r="J232" s="136"/>
      <c r="K232" s="136"/>
      <c r="L232" s="136"/>
      <c r="M232" s="136"/>
      <c r="N232" s="136"/>
      <c r="O232" s="136"/>
      <c r="P232" s="136"/>
      <c r="Q232" s="136"/>
      <c r="R232" s="136"/>
      <c r="S232" s="136"/>
      <c r="T232" s="136"/>
      <c r="U232" s="136"/>
      <c r="V232" s="136"/>
      <c r="W232" s="136"/>
      <c r="X232" s="136"/>
      <c r="Y232" s="136"/>
      <c r="Z232" s="136"/>
    </row>
    <row r="234" spans="2:26" ht="15.5">
      <c r="B234" s="148" t="s">
        <v>710</v>
      </c>
      <c r="C234" s="149"/>
      <c r="D234" s="149"/>
      <c r="E234" s="149"/>
      <c r="F234" s="150">
        <f>+Assumptions!$F$22</f>
        <v>44561</v>
      </c>
      <c r="G234" s="150">
        <f>+EOMONTH(F234,12)</f>
        <v>44926</v>
      </c>
      <c r="H234" s="150">
        <f t="shared" ref="H234:Z234" si="402">+EOMONTH(G234,12)</f>
        <v>45291</v>
      </c>
      <c r="I234" s="150">
        <f t="shared" si="402"/>
        <v>45657</v>
      </c>
      <c r="J234" s="150">
        <f t="shared" si="402"/>
        <v>46022</v>
      </c>
      <c r="K234" s="150">
        <f t="shared" si="402"/>
        <v>46387</v>
      </c>
      <c r="L234" s="150">
        <f t="shared" si="402"/>
        <v>46752</v>
      </c>
      <c r="M234" s="150">
        <f t="shared" si="402"/>
        <v>47118</v>
      </c>
      <c r="N234" s="150">
        <f t="shared" si="402"/>
        <v>47483</v>
      </c>
      <c r="O234" s="150">
        <f t="shared" si="402"/>
        <v>47848</v>
      </c>
      <c r="P234" s="150">
        <f t="shared" si="402"/>
        <v>48213</v>
      </c>
      <c r="Q234" s="150">
        <f t="shared" si="402"/>
        <v>48579</v>
      </c>
      <c r="R234" s="150">
        <f t="shared" si="402"/>
        <v>48944</v>
      </c>
      <c r="S234" s="150">
        <f t="shared" si="402"/>
        <v>49309</v>
      </c>
      <c r="T234" s="150">
        <f t="shared" si="402"/>
        <v>49674</v>
      </c>
      <c r="U234" s="150">
        <f t="shared" si="402"/>
        <v>50040</v>
      </c>
      <c r="V234" s="150">
        <f t="shared" si="402"/>
        <v>50405</v>
      </c>
      <c r="W234" s="150">
        <f t="shared" si="402"/>
        <v>50770</v>
      </c>
      <c r="X234" s="150">
        <f t="shared" si="402"/>
        <v>51135</v>
      </c>
      <c r="Y234" s="150">
        <f t="shared" si="402"/>
        <v>51501</v>
      </c>
      <c r="Z234" s="150">
        <f t="shared" si="402"/>
        <v>51866</v>
      </c>
    </row>
    <row r="235" spans="2:26">
      <c r="B235" s="33" t="s">
        <v>690</v>
      </c>
      <c r="C235" s="33"/>
      <c r="D235" s="40"/>
      <c r="E235" s="40"/>
      <c r="F235" s="42">
        <f>+IF(AND(F234&gt;=Assumptions!$F$26,F234&lt;Assumptions!$F$28),Assumptions!$F$218/ROUNDUP((Assumptions!$F$27/12),0),0)</f>
        <v>0</v>
      </c>
      <c r="G235" s="42">
        <f>+IF(AND(G234&gt;=Assumptions!$F$26,G234&lt;Assumptions!$F$28),Assumptions!$F$218/ROUNDUP((Assumptions!$F$27/12),0),0)</f>
        <v>0</v>
      </c>
      <c r="H235" s="42">
        <f>+IF(AND(H234&gt;=Assumptions!$F$26,H234&lt;Assumptions!$F$28),Assumptions!$F$218/ROUNDUP((Assumptions!$F$27/12),0),0)</f>
        <v>0</v>
      </c>
      <c r="I235" s="42">
        <f>+IF(AND(I234&gt;=Assumptions!$F$26,I234&lt;Assumptions!$F$28),Assumptions!$F$218/ROUNDUP((Assumptions!$F$27/12),0),0)</f>
        <v>4.9999999999999998E-7</v>
      </c>
      <c r="J235" s="42">
        <f>+IF(AND(J234&gt;=Assumptions!$F$26,J234&lt;Assumptions!$F$28),Assumptions!$F$218/ROUNDUP((Assumptions!$F$27/12),0),0)</f>
        <v>4.9999999999999998E-7</v>
      </c>
      <c r="K235" s="42">
        <f>+IF(AND(K234&gt;=Assumptions!$F$26,K234&lt;Assumptions!$F$28),Assumptions!$F$218/ROUNDUP((Assumptions!$F$27/12),0),0)</f>
        <v>0</v>
      </c>
      <c r="L235" s="42">
        <f>+IF(AND(L234&gt;=Assumptions!$F$26,L234&lt;Assumptions!$F$28),Assumptions!$F$218/ROUNDUP((Assumptions!$F$27/12),0),0)</f>
        <v>0</v>
      </c>
      <c r="M235" s="42">
        <f>+IF(AND(M234&gt;=Assumptions!$F$26,M234&lt;Assumptions!$F$28),Assumptions!$F$218/ROUNDUP((Assumptions!$F$27/12),0),0)</f>
        <v>0</v>
      </c>
      <c r="N235" s="42">
        <f>+IF(AND(N234&gt;=Assumptions!$F$26,N234&lt;Assumptions!$F$28),Assumptions!$F$218/ROUNDUP((Assumptions!$F$27/12),0),0)</f>
        <v>0</v>
      </c>
      <c r="O235" s="42">
        <f>+IF(AND(O234&gt;=Assumptions!$F$26,O234&lt;Assumptions!$F$28),Assumptions!$F$218/ROUNDUP((Assumptions!$F$27/12),0),0)</f>
        <v>0</v>
      </c>
      <c r="P235" s="42">
        <f>+IF(AND(P234&gt;=Assumptions!$F$26,P234&lt;Assumptions!$F$28),Assumptions!$F$218/ROUNDUP((Assumptions!$F$27/12),0),0)</f>
        <v>0</v>
      </c>
      <c r="Q235" s="42">
        <f>+IF(AND(Q234&gt;=Assumptions!$F$26,Q234&lt;Assumptions!$F$28),Assumptions!$F$218/ROUNDUP((Assumptions!$F$27/12),0),0)</f>
        <v>0</v>
      </c>
      <c r="R235" s="42">
        <f>+IF(AND(R234&gt;=Assumptions!$F$26,R234&lt;Assumptions!$F$28),Assumptions!$F$218/ROUNDUP((Assumptions!$F$27/12),0),0)</f>
        <v>0</v>
      </c>
      <c r="S235" s="42">
        <f>+IF(AND(S234&gt;=Assumptions!$F$26,S234&lt;Assumptions!$F$28),Assumptions!$F$218/ROUNDUP((Assumptions!$F$27/12),0),0)</f>
        <v>0</v>
      </c>
      <c r="T235" s="42">
        <f>+IF(AND(T234&gt;=Assumptions!$F$26,T234&lt;Assumptions!$F$28),Assumptions!$F$218/ROUNDUP((Assumptions!$F$27/12),0),0)</f>
        <v>0</v>
      </c>
      <c r="U235" s="42">
        <f>+IF(AND(U234&gt;=Assumptions!$F$26,U234&lt;Assumptions!$F$28),Assumptions!$F$218/ROUNDUP((Assumptions!$F$27/12),0),0)</f>
        <v>0</v>
      </c>
      <c r="V235" s="42">
        <f>+IF(AND(V234&gt;=Assumptions!$F$26,V234&lt;Assumptions!$F$28),Assumptions!$F$218/ROUNDUP((Assumptions!$F$27/12),0),0)</f>
        <v>0</v>
      </c>
      <c r="W235" s="42">
        <f>+IF(AND(W234&gt;=Assumptions!$F$26,W234&lt;Assumptions!$F$28),Assumptions!$F$218/ROUNDUP((Assumptions!$F$27/12),0),0)</f>
        <v>0</v>
      </c>
      <c r="X235" s="42">
        <f>+IF(AND(X234&gt;=Assumptions!$F$26,X234&lt;Assumptions!$F$28),Assumptions!$F$218/ROUNDUP((Assumptions!$F$27/12),0),0)</f>
        <v>0</v>
      </c>
      <c r="Y235" s="42">
        <f>+IF(AND(Y234&gt;=Assumptions!$F$26,Y234&lt;Assumptions!$F$28),Assumptions!$F$218/ROUNDUP((Assumptions!$F$27/12),0),0)</f>
        <v>0</v>
      </c>
      <c r="Z235" s="42">
        <f>+IF(AND(Z234&gt;=Assumptions!$F$26,Z234&lt;Assumptions!$F$28),Assumptions!$F$218/ROUNDUP((Assumptions!$F$27/12),0),0)</f>
        <v>0</v>
      </c>
    </row>
    <row r="236" spans="2:26">
      <c r="B236" s="33" t="s">
        <v>231</v>
      </c>
      <c r="C236" s="33"/>
      <c r="D236" s="42">
        <v>0</v>
      </c>
      <c r="E236" s="42"/>
      <c r="F236" s="42">
        <f>+D236+F235</f>
        <v>0</v>
      </c>
      <c r="G236" s="42">
        <f t="shared" ref="G236" si="403">+F236+G235</f>
        <v>0</v>
      </c>
      <c r="H236" s="42">
        <f t="shared" ref="H236" si="404">+G236+H235</f>
        <v>0</v>
      </c>
      <c r="I236" s="42">
        <f t="shared" ref="I236" si="405">+H236+I235</f>
        <v>4.9999999999999998E-7</v>
      </c>
      <c r="J236" s="42">
        <f t="shared" ref="J236" si="406">+I236+J235</f>
        <v>9.9999999999999995E-7</v>
      </c>
      <c r="K236" s="42">
        <f t="shared" ref="K236" si="407">+J236+K235</f>
        <v>9.9999999999999995E-7</v>
      </c>
      <c r="L236" s="42">
        <f t="shared" ref="L236" si="408">+K236+L235</f>
        <v>9.9999999999999995E-7</v>
      </c>
      <c r="M236" s="42">
        <f t="shared" ref="M236" si="409">+L236+M235</f>
        <v>9.9999999999999995E-7</v>
      </c>
      <c r="N236" s="42">
        <f t="shared" ref="N236" si="410">+M236+N235</f>
        <v>9.9999999999999995E-7</v>
      </c>
      <c r="O236" s="42">
        <f t="shared" ref="O236" si="411">+N236+O235</f>
        <v>9.9999999999999995E-7</v>
      </c>
      <c r="P236" s="42">
        <f t="shared" ref="P236" si="412">+O236+P235</f>
        <v>9.9999999999999995E-7</v>
      </c>
      <c r="Q236" s="42">
        <f t="shared" ref="Q236" si="413">+P236+Q235</f>
        <v>9.9999999999999995E-7</v>
      </c>
      <c r="R236" s="42">
        <f t="shared" ref="R236" si="414">+Q236+R235</f>
        <v>9.9999999999999995E-7</v>
      </c>
      <c r="S236" s="42">
        <f t="shared" ref="S236" si="415">+R236+S235</f>
        <v>9.9999999999999995E-7</v>
      </c>
      <c r="T236" s="42">
        <f t="shared" ref="T236" si="416">+S236+T235</f>
        <v>9.9999999999999995E-7</v>
      </c>
      <c r="U236" s="42">
        <f t="shared" ref="U236" si="417">+T236+U235</f>
        <v>9.9999999999999995E-7</v>
      </c>
      <c r="V236" s="42">
        <f t="shared" ref="V236" si="418">+U236+V235</f>
        <v>9.9999999999999995E-7</v>
      </c>
      <c r="W236" s="42">
        <f t="shared" ref="W236" si="419">+V236+W235</f>
        <v>9.9999999999999995E-7</v>
      </c>
      <c r="X236" s="42">
        <f t="shared" ref="X236" si="420">+W236+X235</f>
        <v>9.9999999999999995E-7</v>
      </c>
      <c r="Y236" s="42">
        <f t="shared" ref="Y236" si="421">+X236+Y235</f>
        <v>9.9999999999999995E-7</v>
      </c>
      <c r="Z236" s="42">
        <f t="shared" ref="Z236" si="422">+Y236+Z235</f>
        <v>9.9999999999999995E-7</v>
      </c>
    </row>
    <row r="237" spans="2:26">
      <c r="B237" s="33" t="s">
        <v>285</v>
      </c>
      <c r="C237" s="33"/>
      <c r="D237" s="42"/>
      <c r="E237" s="42"/>
      <c r="F237" s="108">
        <f t="shared" ref="F237:Z237" si="423">+F236/SUM($F235:$Z235)</f>
        <v>0</v>
      </c>
      <c r="G237" s="108">
        <f t="shared" si="423"/>
        <v>0</v>
      </c>
      <c r="H237" s="108">
        <f t="shared" si="423"/>
        <v>0</v>
      </c>
      <c r="I237" s="108">
        <f t="shared" si="423"/>
        <v>0.5</v>
      </c>
      <c r="J237" s="108">
        <f t="shared" si="423"/>
        <v>1</v>
      </c>
      <c r="K237" s="108">
        <f t="shared" si="423"/>
        <v>1</v>
      </c>
      <c r="L237" s="108">
        <f t="shared" si="423"/>
        <v>1</v>
      </c>
      <c r="M237" s="108">
        <f t="shared" si="423"/>
        <v>1</v>
      </c>
      <c r="N237" s="108">
        <f t="shared" si="423"/>
        <v>1</v>
      </c>
      <c r="O237" s="108">
        <f t="shared" si="423"/>
        <v>1</v>
      </c>
      <c r="P237" s="108">
        <f t="shared" si="423"/>
        <v>1</v>
      </c>
      <c r="Q237" s="108">
        <f t="shared" si="423"/>
        <v>1</v>
      </c>
      <c r="R237" s="108">
        <f t="shared" si="423"/>
        <v>1</v>
      </c>
      <c r="S237" s="108">
        <f t="shared" si="423"/>
        <v>1</v>
      </c>
      <c r="T237" s="108">
        <f t="shared" si="423"/>
        <v>1</v>
      </c>
      <c r="U237" s="108">
        <f t="shared" si="423"/>
        <v>1</v>
      </c>
      <c r="V237" s="108">
        <f t="shared" si="423"/>
        <v>1</v>
      </c>
      <c r="W237" s="108">
        <f t="shared" si="423"/>
        <v>1</v>
      </c>
      <c r="X237" s="108">
        <f t="shared" si="423"/>
        <v>1</v>
      </c>
      <c r="Y237" s="108">
        <f t="shared" si="423"/>
        <v>1</v>
      </c>
      <c r="Z237" s="108">
        <f t="shared" si="423"/>
        <v>1</v>
      </c>
    </row>
    <row r="238" spans="2:26">
      <c r="B238" s="33"/>
      <c r="C238" s="33"/>
      <c r="D238" s="40"/>
      <c r="E238" s="40"/>
      <c r="F238" s="34"/>
      <c r="G238" s="34"/>
      <c r="H238" s="34"/>
      <c r="I238" s="34"/>
      <c r="J238" s="34"/>
      <c r="K238" s="34"/>
      <c r="L238" s="34"/>
      <c r="M238" s="34"/>
      <c r="N238" s="34"/>
      <c r="O238" s="34"/>
      <c r="P238" s="34"/>
      <c r="Q238" s="34"/>
      <c r="R238" s="34"/>
      <c r="S238" s="34"/>
      <c r="T238" s="34"/>
      <c r="U238" s="34"/>
      <c r="V238" s="34"/>
      <c r="W238" s="34"/>
      <c r="X238" s="34"/>
      <c r="Y238" s="34"/>
      <c r="Z238" s="34"/>
    </row>
    <row r="239" spans="2:26">
      <c r="B239" s="33" t="s">
        <v>236</v>
      </c>
      <c r="C239" s="33"/>
      <c r="D239" s="42"/>
      <c r="E239" s="42"/>
      <c r="F239" s="108">
        <v>1</v>
      </c>
      <c r="G239" s="108">
        <f>+IF(MOD(G$2,Assumptions!$N$73)=(Assumptions!$N$73-1),F239*(1+Assumptions!$N$72),'Phase I Pro Forma'!F239)</f>
        <v>1</v>
      </c>
      <c r="H239" s="108">
        <f>+IF(MOD(H$2,Assumptions!$N$73)=(Assumptions!$N$73-1),G239*(1+Assumptions!$N$72),'Phase I Pro Forma'!G239)</f>
        <v>1</v>
      </c>
      <c r="I239" s="108">
        <f>+IF(MOD(I$2,Assumptions!$N$73)=(Assumptions!$N$73-1),H239*(1+Assumptions!$N$72),'Phase I Pro Forma'!H239)</f>
        <v>1</v>
      </c>
      <c r="J239" s="108">
        <f>+IF(MOD(J$2,Assumptions!$N$73)=(Assumptions!$N$73-1),I239*(1+Assumptions!$N$72),'Phase I Pro Forma'!I239)</f>
        <v>1</v>
      </c>
      <c r="K239" s="108">
        <f>+IF(MOD(K$2,Assumptions!$N$73)=(Assumptions!$N$73-1),J239*(1+Assumptions!$N$72),'Phase I Pro Forma'!J239)</f>
        <v>1</v>
      </c>
      <c r="L239" s="108">
        <f>+IF(MOD(L$2,Assumptions!$N$73)=(Assumptions!$N$73-1),K239*(1+Assumptions!$N$72),'Phase I Pro Forma'!K239)</f>
        <v>1.1000000000000001</v>
      </c>
      <c r="M239" s="108">
        <f>+IF(MOD(M$2,Assumptions!$N$73)=(Assumptions!$N$73-1),L239*(1+Assumptions!$N$72),'Phase I Pro Forma'!L239)</f>
        <v>1.1000000000000001</v>
      </c>
      <c r="N239" s="108">
        <f>+IF(MOD(N$2,Assumptions!$N$73)=(Assumptions!$N$73-1),M239*(1+Assumptions!$N$72),'Phase I Pro Forma'!M239)</f>
        <v>1.1000000000000001</v>
      </c>
      <c r="O239" s="108">
        <f>+IF(MOD(O$2,Assumptions!$N$73)=(Assumptions!$N$73-1),N239*(1+Assumptions!$N$72),'Phase I Pro Forma'!N239)</f>
        <v>1.1000000000000001</v>
      </c>
      <c r="P239" s="108">
        <f>+IF(MOD(P$2,Assumptions!$N$73)=(Assumptions!$N$73-1),O239*(1+Assumptions!$N$72),'Phase I Pro Forma'!O239)</f>
        <v>1.1000000000000001</v>
      </c>
      <c r="Q239" s="108">
        <f>+IF(MOD(Q$2,Assumptions!$N$73)=(Assumptions!$N$73-1),P239*(1+Assumptions!$N$72),'Phase I Pro Forma'!P239)</f>
        <v>1.2100000000000002</v>
      </c>
      <c r="R239" s="108">
        <f>+IF(MOD(R$2,Assumptions!$N$73)=(Assumptions!$N$73-1),Q239*(1+Assumptions!$N$72),'Phase I Pro Forma'!Q239)</f>
        <v>1.2100000000000002</v>
      </c>
      <c r="S239" s="108">
        <f>+IF(MOD(S$2,Assumptions!$N$73)=(Assumptions!$N$73-1),R239*(1+Assumptions!$N$72),'Phase I Pro Forma'!R239)</f>
        <v>1.2100000000000002</v>
      </c>
      <c r="T239" s="108">
        <f>+IF(MOD(T$2,Assumptions!$N$73)=(Assumptions!$N$73-1),S239*(1+Assumptions!$N$72),'Phase I Pro Forma'!S239)</f>
        <v>1.2100000000000002</v>
      </c>
      <c r="U239" s="108">
        <f>+IF(MOD(U$2,Assumptions!$N$73)=(Assumptions!$N$73-1),T239*(1+Assumptions!$N$72),'Phase I Pro Forma'!T239)</f>
        <v>1.2100000000000002</v>
      </c>
      <c r="V239" s="108">
        <f>+IF(MOD(V$2,Assumptions!$N$73)=(Assumptions!$N$73-1),U239*(1+Assumptions!$N$72),'Phase I Pro Forma'!U239)</f>
        <v>1.3310000000000004</v>
      </c>
      <c r="W239" s="108">
        <f>+IF(MOD(W$2,Assumptions!$N$73)=(Assumptions!$N$73-1),V239*(1+Assumptions!$N$72),'Phase I Pro Forma'!V239)</f>
        <v>1.3310000000000004</v>
      </c>
      <c r="X239" s="108">
        <f>+IF(MOD(X$2,Assumptions!$N$73)=(Assumptions!$N$73-1),W239*(1+Assumptions!$N$72),'Phase I Pro Forma'!W239)</f>
        <v>1.3310000000000004</v>
      </c>
      <c r="Y239" s="108">
        <f>+IF(MOD(Y$2,Assumptions!$N$73)=(Assumptions!$N$73-1),X239*(1+Assumptions!$N$72),'Phase I Pro Forma'!X239)</f>
        <v>1.3310000000000004</v>
      </c>
      <c r="Z239" s="108">
        <f>+IF(MOD(Z$2,Assumptions!$N$73)=(Assumptions!$N$73-1),Y239*(1+Assumptions!$N$72),'Phase I Pro Forma'!Y239)</f>
        <v>1.3310000000000004</v>
      </c>
    </row>
    <row r="240" spans="2:26">
      <c r="B240" s="33" t="s">
        <v>237</v>
      </c>
      <c r="C240" s="33"/>
      <c r="D240" s="42"/>
      <c r="E240" s="42"/>
      <c r="F240" s="108">
        <v>1</v>
      </c>
      <c r="G240" s="108">
        <f>+F240*(1+Assumptions!$N$81)</f>
        <v>1.03</v>
      </c>
      <c r="H240" s="108">
        <f>+G240*(1+Assumptions!$N$81)</f>
        <v>1.0609</v>
      </c>
      <c r="I240" s="108">
        <f>+H240*(1+Assumptions!$N$81)</f>
        <v>1.092727</v>
      </c>
      <c r="J240" s="108">
        <f>+I240*(1+Assumptions!$N$81)</f>
        <v>1.1255088100000001</v>
      </c>
      <c r="K240" s="108">
        <f>+J240*(1+Assumptions!$N$81)</f>
        <v>1.1592740743000001</v>
      </c>
      <c r="L240" s="108">
        <f>+K240*(1+Assumptions!$N$81)</f>
        <v>1.1940522965290001</v>
      </c>
      <c r="M240" s="108">
        <f>+L240*(1+Assumptions!$N$81)</f>
        <v>1.2298738654248702</v>
      </c>
      <c r="N240" s="108">
        <f>+M240*(1+Assumptions!$N$81)</f>
        <v>1.2667700813876164</v>
      </c>
      <c r="O240" s="108">
        <f>+N240*(1+Assumptions!$N$81)</f>
        <v>1.3047731838292449</v>
      </c>
      <c r="P240" s="108">
        <f>+O240*(1+Assumptions!$N$81)</f>
        <v>1.3439163793441222</v>
      </c>
      <c r="Q240" s="108">
        <f>+P240*(1+Assumptions!$N$81)</f>
        <v>1.3842338707244459</v>
      </c>
      <c r="R240" s="108">
        <f>+Q240*(1+Assumptions!$N$81)</f>
        <v>1.4257608868461793</v>
      </c>
      <c r="S240" s="108">
        <f>+R240*(1+Assumptions!$N$81)</f>
        <v>1.4685337134515648</v>
      </c>
      <c r="T240" s="108">
        <f>+S240*(1+Assumptions!$N$81)</f>
        <v>1.5125897248551119</v>
      </c>
      <c r="U240" s="108">
        <f>+T240*(1+Assumptions!$N$81)</f>
        <v>1.5579674166007653</v>
      </c>
      <c r="V240" s="108">
        <f>+U240*(1+Assumptions!$N$81)</f>
        <v>1.6047064390987884</v>
      </c>
      <c r="W240" s="108">
        <f>+V240*(1+Assumptions!$N$81)</f>
        <v>1.652847632271752</v>
      </c>
      <c r="X240" s="108">
        <f>+W240*(1+Assumptions!$N$81)</f>
        <v>1.7024330612399046</v>
      </c>
      <c r="Y240" s="108">
        <f>+X240*(1+Assumptions!$N$81)</f>
        <v>1.7535060530771018</v>
      </c>
      <c r="Z240" s="108">
        <f>+Y240*(1+Assumptions!$N$81)</f>
        <v>1.806111234669415</v>
      </c>
    </row>
    <row r="241" spans="2:26">
      <c r="B241" s="33"/>
      <c r="C241" s="33"/>
      <c r="D241" s="40"/>
      <c r="E241" s="40"/>
      <c r="F241" s="34"/>
      <c r="G241" s="34"/>
      <c r="H241" s="34"/>
      <c r="I241" s="34"/>
      <c r="J241" s="34"/>
      <c r="K241" s="34"/>
      <c r="L241" s="34"/>
      <c r="M241" s="34"/>
      <c r="N241" s="34"/>
      <c r="O241" s="34"/>
      <c r="P241" s="34"/>
      <c r="Q241" s="34"/>
      <c r="R241" s="34"/>
      <c r="S241" s="34"/>
      <c r="T241" s="34"/>
      <c r="U241" s="34"/>
      <c r="V241" s="34"/>
      <c r="W241" s="34"/>
      <c r="X241" s="34"/>
      <c r="Y241" s="34"/>
      <c r="Z241" s="34"/>
    </row>
    <row r="242" spans="2:26">
      <c r="B242" s="33" t="s">
        <v>228</v>
      </c>
      <c r="C242" s="33"/>
      <c r="D242" s="40"/>
      <c r="E242" s="40"/>
      <c r="F242" s="34">
        <f>+F237*Assumptions!$F$217*F239</f>
        <v>0</v>
      </c>
      <c r="G242" s="34">
        <f>+G237*Assumptions!$F$217*G239</f>
        <v>0</v>
      </c>
      <c r="H242" s="34">
        <f>+H237*Assumptions!$F$217*H239</f>
        <v>0</v>
      </c>
      <c r="I242" s="34">
        <f>+I237*Assumptions!$F$217*I239</f>
        <v>0</v>
      </c>
      <c r="J242" s="34">
        <f>+J237*Assumptions!$F$217*J239</f>
        <v>0</v>
      </c>
      <c r="K242" s="34">
        <f>+K237*Assumptions!$F$217*K239</f>
        <v>0</v>
      </c>
      <c r="L242" s="34">
        <f>+L237*Assumptions!$F$217*L239</f>
        <v>0</v>
      </c>
      <c r="M242" s="34">
        <f>+M237*Assumptions!$F$217*M239</f>
        <v>0</v>
      </c>
      <c r="N242" s="34">
        <f>+N237*Assumptions!$F$217*N239</f>
        <v>0</v>
      </c>
      <c r="O242" s="34">
        <f>+O237*Assumptions!$F$217*O239</f>
        <v>0</v>
      </c>
      <c r="P242" s="34">
        <f>+P237*Assumptions!$F$217*P239</f>
        <v>0</v>
      </c>
      <c r="Q242" s="34">
        <f>+Q237*Assumptions!$F$217*Q239</f>
        <v>0</v>
      </c>
      <c r="R242" s="34">
        <f>+R237*Assumptions!$F$217*R239</f>
        <v>0</v>
      </c>
      <c r="S242" s="34">
        <f>+S237*Assumptions!$F$217*S239</f>
        <v>0</v>
      </c>
      <c r="T242" s="34">
        <f>+T237*Assumptions!$F$217*T239</f>
        <v>0</v>
      </c>
      <c r="U242" s="34">
        <f>+U237*Assumptions!$F$217*U239</f>
        <v>0</v>
      </c>
      <c r="V242" s="34">
        <f>+V237*Assumptions!$F$217*V239</f>
        <v>0</v>
      </c>
      <c r="W242" s="34">
        <f>+W237*Assumptions!$F$217*W239</f>
        <v>0</v>
      </c>
      <c r="X242" s="34">
        <f>+X237*Assumptions!$F$217*X239</f>
        <v>0</v>
      </c>
      <c r="Y242" s="34">
        <f>+Y237*Assumptions!$F$217*Y239</f>
        <v>0</v>
      </c>
      <c r="Z242" s="34">
        <f>+Z237*Assumptions!$F$217*Z239</f>
        <v>0</v>
      </c>
    </row>
    <row r="243" spans="2:26">
      <c r="B243" s="33" t="s">
        <v>229</v>
      </c>
      <c r="C243" s="33"/>
      <c r="D243" s="40"/>
      <c r="E243" s="40"/>
      <c r="F243" s="42">
        <f>-F242*Assumptions!$N$59</f>
        <v>0</v>
      </c>
      <c r="G243" s="42">
        <f>-G242*Assumptions!$N$59</f>
        <v>0</v>
      </c>
      <c r="H243" s="42">
        <f>-H242*Assumptions!$N$59</f>
        <v>0</v>
      </c>
      <c r="I243" s="42">
        <f>-I242*Assumptions!$N$59</f>
        <v>0</v>
      </c>
      <c r="J243" s="42">
        <f>-J242*Assumptions!$N$59</f>
        <v>0</v>
      </c>
      <c r="K243" s="42">
        <f>-K242*Assumptions!$N$59</f>
        <v>0</v>
      </c>
      <c r="L243" s="42">
        <f>-L242*Assumptions!$N$59</f>
        <v>0</v>
      </c>
      <c r="M243" s="42">
        <f>-M242*Assumptions!$N$59</f>
        <v>0</v>
      </c>
      <c r="N243" s="42">
        <f>-N242*Assumptions!$N$59</f>
        <v>0</v>
      </c>
      <c r="O243" s="42">
        <f>-O242*Assumptions!$N$59</f>
        <v>0</v>
      </c>
      <c r="P243" s="42">
        <f>-P242*Assumptions!$N$59</f>
        <v>0</v>
      </c>
      <c r="Q243" s="42">
        <f>-Q242*Assumptions!$N$59</f>
        <v>0</v>
      </c>
      <c r="R243" s="42">
        <f>-R242*Assumptions!$N$59</f>
        <v>0</v>
      </c>
      <c r="S243" s="42">
        <f>-S242*Assumptions!$N$59</f>
        <v>0</v>
      </c>
      <c r="T243" s="42">
        <f>-T242*Assumptions!$N$59</f>
        <v>0</v>
      </c>
      <c r="U243" s="42">
        <f>-U242*Assumptions!$N$59</f>
        <v>0</v>
      </c>
      <c r="V243" s="42">
        <f>-V242*Assumptions!$N$59</f>
        <v>0</v>
      </c>
      <c r="W243" s="42">
        <f>-W242*Assumptions!$N$59</f>
        <v>0</v>
      </c>
      <c r="X243" s="42">
        <f>-X242*Assumptions!$N$59</f>
        <v>0</v>
      </c>
      <c r="Y243" s="42">
        <f>-Y242*Assumptions!$N$59</f>
        <v>0</v>
      </c>
      <c r="Z243" s="42">
        <f>-Z242*Assumptions!$N$59</f>
        <v>0</v>
      </c>
    </row>
    <row r="244" spans="2:26">
      <c r="B244" s="33" t="s">
        <v>244</v>
      </c>
      <c r="C244" s="33"/>
      <c r="D244" s="40"/>
      <c r="E244" s="40"/>
      <c r="F244" s="151">
        <f>+F249*Assumptions!$N$92</f>
        <v>0</v>
      </c>
      <c r="G244" s="151">
        <f>+G249*Assumptions!$N$92</f>
        <v>0</v>
      </c>
      <c r="H244" s="151">
        <f>+H249*Assumptions!$N$92</f>
        <v>0</v>
      </c>
      <c r="I244" s="151">
        <f ca="1">+I249*Assumptions!$N$92</f>
        <v>1.092727E-6</v>
      </c>
      <c r="J244" s="151">
        <f ca="1">+J249*Assumptions!$N$92</f>
        <v>2.2510176200000001E-6</v>
      </c>
      <c r="K244" s="151">
        <f ca="1">+K249*Assumptions!$N$92</f>
        <v>2.3185481486000001E-6</v>
      </c>
      <c r="L244" s="151">
        <f ca="1">+L249*Assumptions!$N$92</f>
        <v>2.3881045930580003E-6</v>
      </c>
      <c r="M244" s="151">
        <f ca="1">+M249*Assumptions!$N$92</f>
        <v>2.4597477308497401E-6</v>
      </c>
      <c r="N244" s="151">
        <f ca="1">+N249*Assumptions!$N$92</f>
        <v>2.5335401627752327E-6</v>
      </c>
      <c r="O244" s="151">
        <f ca="1">+O249*Assumptions!$N$92</f>
        <v>2.6095463676584897E-6</v>
      </c>
      <c r="P244" s="151">
        <f ca="1">+P249*Assumptions!$N$92</f>
        <v>2.6878327586882443E-6</v>
      </c>
      <c r="Q244" s="151">
        <f ca="1">+Q249*Assumptions!$N$92</f>
        <v>2.7684677414488919E-6</v>
      </c>
      <c r="R244" s="151">
        <f ca="1">+R249*Assumptions!$N$92</f>
        <v>2.8515217736923586E-6</v>
      </c>
      <c r="S244" s="151">
        <f ca="1">+S249*Assumptions!$N$92</f>
        <v>2.9370674269031294E-6</v>
      </c>
      <c r="T244" s="151">
        <f ca="1">+T249*Assumptions!$N$92</f>
        <v>3.0251794497102237E-6</v>
      </c>
      <c r="U244" s="151">
        <f ca="1">+U249*Assumptions!$N$92</f>
        <v>3.1159348332015305E-6</v>
      </c>
      <c r="V244" s="151">
        <f ca="1">+V249*Assumptions!$N$92</f>
        <v>3.2094128781975768E-6</v>
      </c>
      <c r="W244" s="151">
        <f ca="1">+W249*Assumptions!$N$92</f>
        <v>3.3056952645435039E-6</v>
      </c>
      <c r="X244" s="151">
        <f ca="1">+X249*Assumptions!$N$92</f>
        <v>3.4048661224798089E-6</v>
      </c>
      <c r="Y244" s="151">
        <f ca="1">+Y249*Assumptions!$N$92</f>
        <v>3.5070121061542033E-6</v>
      </c>
      <c r="Z244" s="151">
        <f ca="1">+Z249*Assumptions!$N$92</f>
        <v>3.6122224693388301E-6</v>
      </c>
    </row>
    <row r="245" spans="2:26">
      <c r="B245" s="137" t="s">
        <v>238</v>
      </c>
      <c r="C245" s="137"/>
      <c r="D245" s="137"/>
      <c r="E245" s="137"/>
      <c r="F245" s="129">
        <f t="shared" ref="F245:Z245" si="424">+SUM(F242:F244)</f>
        <v>0</v>
      </c>
      <c r="G245" s="129">
        <f t="shared" si="424"/>
        <v>0</v>
      </c>
      <c r="H245" s="129">
        <f t="shared" si="424"/>
        <v>0</v>
      </c>
      <c r="I245" s="129">
        <f t="shared" ca="1" si="424"/>
        <v>1.092727E-6</v>
      </c>
      <c r="J245" s="129">
        <f t="shared" ca="1" si="424"/>
        <v>2.2510176200000001E-6</v>
      </c>
      <c r="K245" s="129">
        <f t="shared" ca="1" si="424"/>
        <v>2.3185481486000001E-6</v>
      </c>
      <c r="L245" s="129">
        <f t="shared" ca="1" si="424"/>
        <v>2.3881045930580003E-6</v>
      </c>
      <c r="M245" s="129">
        <f t="shared" ca="1" si="424"/>
        <v>2.4597477308497401E-6</v>
      </c>
      <c r="N245" s="129">
        <f t="shared" ca="1" si="424"/>
        <v>2.5335401627752327E-6</v>
      </c>
      <c r="O245" s="129">
        <f t="shared" ca="1" si="424"/>
        <v>2.6095463676584897E-6</v>
      </c>
      <c r="P245" s="129">
        <f t="shared" ca="1" si="424"/>
        <v>2.6878327586882443E-6</v>
      </c>
      <c r="Q245" s="129">
        <f t="shared" ca="1" si="424"/>
        <v>2.7684677414488919E-6</v>
      </c>
      <c r="R245" s="129">
        <f t="shared" ca="1" si="424"/>
        <v>2.8515217736923586E-6</v>
      </c>
      <c r="S245" s="129">
        <f t="shared" ca="1" si="424"/>
        <v>2.9370674269031294E-6</v>
      </c>
      <c r="T245" s="129">
        <f t="shared" ca="1" si="424"/>
        <v>3.0251794497102237E-6</v>
      </c>
      <c r="U245" s="129">
        <f t="shared" ca="1" si="424"/>
        <v>3.1159348332015305E-6</v>
      </c>
      <c r="V245" s="129">
        <f t="shared" ca="1" si="424"/>
        <v>3.2094128781975768E-6</v>
      </c>
      <c r="W245" s="129">
        <f t="shared" ca="1" si="424"/>
        <v>3.3056952645435039E-6</v>
      </c>
      <c r="X245" s="129">
        <f t="shared" ca="1" si="424"/>
        <v>3.4048661224798089E-6</v>
      </c>
      <c r="Y245" s="129">
        <f t="shared" ca="1" si="424"/>
        <v>3.5070121061542033E-6</v>
      </c>
      <c r="Z245" s="129">
        <f t="shared" ca="1" si="424"/>
        <v>3.6122224693388301E-6</v>
      </c>
    </row>
    <row r="247" spans="2:26">
      <c r="B247" s="33" t="s">
        <v>371</v>
      </c>
      <c r="F247" s="34">
        <f>+F236*Assumptions!$N$124*'Phase I Pro Forma'!F240</f>
        <v>0</v>
      </c>
      <c r="G247" s="34">
        <f>+G236*Assumptions!$N$124*'Phase I Pro Forma'!G240</f>
        <v>0</v>
      </c>
      <c r="H247" s="34">
        <f>+H236*Assumptions!$N$124*'Phase I Pro Forma'!H240</f>
        <v>0</v>
      </c>
      <c r="I247" s="34">
        <f>+I236*Assumptions!$N$124*'Phase I Pro Forma'!I240</f>
        <v>1.092727E-6</v>
      </c>
      <c r="J247" s="34">
        <f>+J236*Assumptions!$N$124*'Phase I Pro Forma'!J240</f>
        <v>2.2510176200000001E-6</v>
      </c>
      <c r="K247" s="34">
        <f>+K236*Assumptions!$N$124*'Phase I Pro Forma'!K240</f>
        <v>2.3185481486000001E-6</v>
      </c>
      <c r="L247" s="34">
        <f>+L236*Assumptions!$N$124*'Phase I Pro Forma'!L240</f>
        <v>2.3881045930580003E-6</v>
      </c>
      <c r="M247" s="34">
        <f>+M236*Assumptions!$N$124*'Phase I Pro Forma'!M240</f>
        <v>2.4597477308497401E-6</v>
      </c>
      <c r="N247" s="34">
        <f>+N236*Assumptions!$N$124*'Phase I Pro Forma'!N240</f>
        <v>2.5335401627752327E-6</v>
      </c>
      <c r="O247" s="34">
        <f>+O236*Assumptions!$N$124*'Phase I Pro Forma'!O240</f>
        <v>2.6095463676584897E-6</v>
      </c>
      <c r="P247" s="34">
        <f>+P236*Assumptions!$N$124*'Phase I Pro Forma'!P240</f>
        <v>2.6878327586882443E-6</v>
      </c>
      <c r="Q247" s="34">
        <f>+Q236*Assumptions!$N$124*'Phase I Pro Forma'!Q240</f>
        <v>2.7684677414488919E-6</v>
      </c>
      <c r="R247" s="34">
        <f>+R236*Assumptions!$N$124*'Phase I Pro Forma'!R240</f>
        <v>2.8515217736923586E-6</v>
      </c>
      <c r="S247" s="34">
        <f>+S236*Assumptions!$N$124*'Phase I Pro Forma'!S240</f>
        <v>2.9370674269031294E-6</v>
      </c>
      <c r="T247" s="34">
        <f>+T236*Assumptions!$N$124*'Phase I Pro Forma'!T240</f>
        <v>3.0251794497102237E-6</v>
      </c>
      <c r="U247" s="34">
        <f>+U236*Assumptions!$N$124*'Phase I Pro Forma'!U240</f>
        <v>3.1159348332015305E-6</v>
      </c>
      <c r="V247" s="34">
        <f>+V236*Assumptions!$N$124*'Phase I Pro Forma'!V240</f>
        <v>3.2094128781975768E-6</v>
      </c>
      <c r="W247" s="34">
        <f>+W236*Assumptions!$N$124*'Phase I Pro Forma'!W240</f>
        <v>3.3056952645435039E-6</v>
      </c>
      <c r="X247" s="34">
        <f>+X236*Assumptions!$N$124*'Phase I Pro Forma'!X240</f>
        <v>3.4048661224798089E-6</v>
      </c>
      <c r="Y247" s="34">
        <f>+Y236*Assumptions!$N$124*'Phase I Pro Forma'!Y240</f>
        <v>3.5070121061542033E-6</v>
      </c>
      <c r="Z247" s="34">
        <f>+Z236*Assumptions!$N$124*'Phase I Pro Forma'!Z240</f>
        <v>3.6122224693388301E-6</v>
      </c>
    </row>
    <row r="248" spans="2:26">
      <c r="B248" s="33" t="s">
        <v>308</v>
      </c>
      <c r="F248" s="151">
        <f>+IFERROR(IFERROR(INDEX('Taxes and TIF'!$M$11:$M$45,MATCH('Phase I Pro Forma'!F$7,'Taxes and TIF'!$B$11:$B$45,0)),0)*'Loan Sizing'!$I$52*F237,0)</f>
        <v>0</v>
      </c>
      <c r="G248" s="151">
        <f>+IFERROR(IFERROR(INDEX('Taxes and TIF'!$M$11:$M$45,MATCH('Phase I Pro Forma'!G$7,'Taxes and TIF'!$B$11:$B$45,0)),0)*'Loan Sizing'!$I$52*G237,0)</f>
        <v>0</v>
      </c>
      <c r="H248" s="151">
        <f>+IFERROR(IFERROR(INDEX('Taxes and TIF'!$M$11:$M$45,MATCH('Phase I Pro Forma'!H$7,'Taxes and TIF'!$B$11:$B$45,0)),0)*'Loan Sizing'!$I$52*H237,0)</f>
        <v>0</v>
      </c>
      <c r="I248" s="151">
        <f ca="1">+IFERROR(IFERROR(INDEX('Taxes and TIF'!$M$11:$M$45,MATCH('Phase I Pro Forma'!I$7,'Taxes and TIF'!$B$11:$B$45,0)),0)*'Loan Sizing'!$I$52*I237,0)</f>
        <v>0</v>
      </c>
      <c r="J248" s="151">
        <f ca="1">+IFERROR(IFERROR(INDEX('Taxes and TIF'!$M$11:$M$45,MATCH('Phase I Pro Forma'!J$7,'Taxes and TIF'!$B$11:$B$45,0)),0)*'Loan Sizing'!$I$52*J237,0)</f>
        <v>0</v>
      </c>
      <c r="K248" s="151">
        <f ca="1">+IFERROR(IFERROR(INDEX('Taxes and TIF'!$M$11:$M$45,MATCH('Phase I Pro Forma'!K$7,'Taxes and TIF'!$B$11:$B$45,0)),0)*'Loan Sizing'!$I$52*K237,0)</f>
        <v>0</v>
      </c>
      <c r="L248" s="151">
        <f ca="1">+IFERROR(IFERROR(INDEX('Taxes and TIF'!$M$11:$M$45,MATCH('Phase I Pro Forma'!L$7,'Taxes and TIF'!$B$11:$B$45,0)),0)*'Loan Sizing'!$I$52*L237,0)</f>
        <v>0</v>
      </c>
      <c r="M248" s="151">
        <f ca="1">+IFERROR(IFERROR(INDEX('Taxes and TIF'!$M$11:$M$45,MATCH('Phase I Pro Forma'!M$7,'Taxes and TIF'!$B$11:$B$45,0)),0)*'Loan Sizing'!$I$52*M237,0)</f>
        <v>0</v>
      </c>
      <c r="N248" s="151">
        <f ca="1">+IFERROR(IFERROR(INDEX('Taxes and TIF'!$M$11:$M$45,MATCH('Phase I Pro Forma'!N$7,'Taxes and TIF'!$B$11:$B$45,0)),0)*'Loan Sizing'!$I$52*N237,0)</f>
        <v>0</v>
      </c>
      <c r="O248" s="151">
        <f ca="1">+IFERROR(IFERROR(INDEX('Taxes and TIF'!$M$11:$M$45,MATCH('Phase I Pro Forma'!O$7,'Taxes and TIF'!$B$11:$B$45,0)),0)*'Loan Sizing'!$I$52*O237,0)</f>
        <v>0</v>
      </c>
      <c r="P248" s="151">
        <f ca="1">+IFERROR(IFERROR(INDEX('Taxes and TIF'!$M$11:$M$45,MATCH('Phase I Pro Forma'!P$7,'Taxes and TIF'!$B$11:$B$45,0)),0)*'Loan Sizing'!$I$52*P237,0)</f>
        <v>0</v>
      </c>
      <c r="Q248" s="151">
        <f ca="1">+IFERROR(IFERROR(INDEX('Taxes and TIF'!$M$11:$M$45,MATCH('Phase I Pro Forma'!Q$7,'Taxes and TIF'!$B$11:$B$45,0)),0)*'Loan Sizing'!$I$52*Q237,0)</f>
        <v>0</v>
      </c>
      <c r="R248" s="151">
        <f ca="1">+IFERROR(IFERROR(INDEX('Taxes and TIF'!$M$11:$M$45,MATCH('Phase I Pro Forma'!R$7,'Taxes and TIF'!$B$11:$B$45,0)),0)*'Loan Sizing'!$I$52*R237,0)</f>
        <v>0</v>
      </c>
      <c r="S248" s="151">
        <f ca="1">+IFERROR(IFERROR(INDEX('Taxes and TIF'!$M$11:$M$45,MATCH('Phase I Pro Forma'!S$7,'Taxes and TIF'!$B$11:$B$45,0)),0)*'Loan Sizing'!$I$52*S237,0)</f>
        <v>0</v>
      </c>
      <c r="T248" s="151">
        <f ca="1">+IFERROR(IFERROR(INDEX('Taxes and TIF'!$M$11:$M$45,MATCH('Phase I Pro Forma'!T$7,'Taxes and TIF'!$B$11:$B$45,0)),0)*'Loan Sizing'!$I$52*T237,0)</f>
        <v>0</v>
      </c>
      <c r="U248" s="151">
        <f ca="1">+IFERROR(IFERROR(INDEX('Taxes and TIF'!$M$11:$M$45,MATCH('Phase I Pro Forma'!U$7,'Taxes and TIF'!$B$11:$B$45,0)),0)*'Loan Sizing'!$I$52*U237,0)</f>
        <v>0</v>
      </c>
      <c r="V248" s="151">
        <f ca="1">+IFERROR(IFERROR(INDEX('Taxes and TIF'!$M$11:$M$45,MATCH('Phase I Pro Forma'!V$7,'Taxes and TIF'!$B$11:$B$45,0)),0)*'Loan Sizing'!$I$52*V237,0)</f>
        <v>0</v>
      </c>
      <c r="W248" s="151">
        <f ca="1">+IFERROR(IFERROR(INDEX('Taxes and TIF'!$M$11:$M$45,MATCH('Phase I Pro Forma'!W$7,'Taxes and TIF'!$B$11:$B$45,0)),0)*'Loan Sizing'!$I$52*W237,0)</f>
        <v>0</v>
      </c>
      <c r="X248" s="151">
        <f ca="1">+IFERROR(IFERROR(INDEX('Taxes and TIF'!$M$11:$M$45,MATCH('Phase I Pro Forma'!X$7,'Taxes and TIF'!$B$11:$B$45,0)),0)*'Loan Sizing'!$I$52*X237,0)</f>
        <v>0</v>
      </c>
      <c r="Y248" s="151">
        <f ca="1">+IFERROR(IFERROR(INDEX('Taxes and TIF'!$M$11:$M$45,MATCH('Phase I Pro Forma'!Y$7,'Taxes and TIF'!$B$11:$B$45,0)),0)*'Loan Sizing'!$I$52*Y237,0)</f>
        <v>0</v>
      </c>
      <c r="Z248" s="151">
        <f ca="1">+IFERROR(IFERROR(INDEX('Taxes and TIF'!$M$11:$M$45,MATCH('Phase I Pro Forma'!Z$7,'Taxes and TIF'!$B$11:$B$45,0)),0)*'Loan Sizing'!$I$52*Z237,0)</f>
        <v>0</v>
      </c>
    </row>
    <row r="249" spans="2:26">
      <c r="B249" s="137" t="s">
        <v>234</v>
      </c>
      <c r="C249" s="137"/>
      <c r="D249" s="137"/>
      <c r="E249" s="137"/>
      <c r="F249" s="129">
        <f>+SUM(F247:F248)</f>
        <v>0</v>
      </c>
      <c r="G249" s="129">
        <f t="shared" ref="G249" si="425">+SUM(G247:G248)</f>
        <v>0</v>
      </c>
      <c r="H249" s="129">
        <f t="shared" ref="H249" si="426">+SUM(H247:H248)</f>
        <v>0</v>
      </c>
      <c r="I249" s="129">
        <f t="shared" ref="I249" ca="1" si="427">+SUM(I247:I248)</f>
        <v>1.092727E-6</v>
      </c>
      <c r="J249" s="129">
        <f t="shared" ref="J249" ca="1" si="428">+SUM(J247:J248)</f>
        <v>2.2510176200000001E-6</v>
      </c>
      <c r="K249" s="129">
        <f t="shared" ref="K249" ca="1" si="429">+SUM(K247:K248)</f>
        <v>2.3185481486000001E-6</v>
      </c>
      <c r="L249" s="129">
        <f t="shared" ref="L249" ca="1" si="430">+SUM(L247:L248)</f>
        <v>2.3881045930580003E-6</v>
      </c>
      <c r="M249" s="129">
        <f t="shared" ref="M249" ca="1" si="431">+SUM(M247:M248)</f>
        <v>2.4597477308497401E-6</v>
      </c>
      <c r="N249" s="129">
        <f t="shared" ref="N249" ca="1" si="432">+SUM(N247:N248)</f>
        <v>2.5335401627752327E-6</v>
      </c>
      <c r="O249" s="129">
        <f t="shared" ref="O249" ca="1" si="433">+SUM(O247:O248)</f>
        <v>2.6095463676584897E-6</v>
      </c>
      <c r="P249" s="129">
        <f t="shared" ref="P249" ca="1" si="434">+SUM(P247:P248)</f>
        <v>2.6878327586882443E-6</v>
      </c>
      <c r="Q249" s="129">
        <f t="shared" ref="Q249" ca="1" si="435">+SUM(Q247:Q248)</f>
        <v>2.7684677414488919E-6</v>
      </c>
      <c r="R249" s="129">
        <f t="shared" ref="R249" ca="1" si="436">+SUM(R247:R248)</f>
        <v>2.8515217736923586E-6</v>
      </c>
      <c r="S249" s="129">
        <f t="shared" ref="S249" ca="1" si="437">+SUM(S247:S248)</f>
        <v>2.9370674269031294E-6</v>
      </c>
      <c r="T249" s="129">
        <f t="shared" ref="T249" ca="1" si="438">+SUM(T247:T248)</f>
        <v>3.0251794497102237E-6</v>
      </c>
      <c r="U249" s="129">
        <f t="shared" ref="U249" ca="1" si="439">+SUM(U247:U248)</f>
        <v>3.1159348332015305E-6</v>
      </c>
      <c r="V249" s="129">
        <f t="shared" ref="V249" ca="1" si="440">+SUM(V247:V248)</f>
        <v>3.2094128781975768E-6</v>
      </c>
      <c r="W249" s="129">
        <f t="shared" ref="W249" ca="1" si="441">+SUM(W247:W248)</f>
        <v>3.3056952645435039E-6</v>
      </c>
      <c r="X249" s="129">
        <f t="shared" ref="X249" ca="1" si="442">+SUM(X247:X248)</f>
        <v>3.4048661224798089E-6</v>
      </c>
      <c r="Y249" s="129">
        <f t="shared" ref="Y249" ca="1" si="443">+SUM(Y247:Y248)</f>
        <v>3.5070121061542033E-6</v>
      </c>
      <c r="Z249" s="129">
        <f t="shared" ref="Z249" ca="1" si="444">+SUM(Z247:Z248)</f>
        <v>3.6122224693388301E-6</v>
      </c>
    </row>
    <row r="250" spans="2:26">
      <c r="B250" s="33"/>
    </row>
    <row r="251" spans="2:26" ht="15.5">
      <c r="B251" s="138" t="s">
        <v>233</v>
      </c>
      <c r="C251" s="138"/>
      <c r="D251" s="138"/>
      <c r="E251" s="138"/>
      <c r="F251" s="139">
        <f>+F245-F249</f>
        <v>0</v>
      </c>
      <c r="G251" s="139">
        <f t="shared" ref="G251:Z251" si="445">+G245-G249</f>
        <v>0</v>
      </c>
      <c r="H251" s="139">
        <f t="shared" si="445"/>
        <v>0</v>
      </c>
      <c r="I251" s="139">
        <f t="shared" ca="1" si="445"/>
        <v>0</v>
      </c>
      <c r="J251" s="139">
        <f t="shared" ca="1" si="445"/>
        <v>0</v>
      </c>
      <c r="K251" s="139">
        <f t="shared" ca="1" si="445"/>
        <v>0</v>
      </c>
      <c r="L251" s="139">
        <f t="shared" ca="1" si="445"/>
        <v>0</v>
      </c>
      <c r="M251" s="139">
        <f t="shared" ca="1" si="445"/>
        <v>0</v>
      </c>
      <c r="N251" s="139">
        <f t="shared" ca="1" si="445"/>
        <v>0</v>
      </c>
      <c r="O251" s="139">
        <f t="shared" ca="1" si="445"/>
        <v>0</v>
      </c>
      <c r="P251" s="139">
        <f t="shared" ca="1" si="445"/>
        <v>0</v>
      </c>
      <c r="Q251" s="139">
        <f t="shared" ca="1" si="445"/>
        <v>0</v>
      </c>
      <c r="R251" s="139">
        <f t="shared" ca="1" si="445"/>
        <v>0</v>
      </c>
      <c r="S251" s="139">
        <f t="shared" ca="1" si="445"/>
        <v>0</v>
      </c>
      <c r="T251" s="139">
        <f t="shared" ca="1" si="445"/>
        <v>0</v>
      </c>
      <c r="U251" s="139">
        <f t="shared" ca="1" si="445"/>
        <v>0</v>
      </c>
      <c r="V251" s="139">
        <f t="shared" ca="1" si="445"/>
        <v>0</v>
      </c>
      <c r="W251" s="139">
        <f t="shared" ca="1" si="445"/>
        <v>0</v>
      </c>
      <c r="X251" s="139">
        <f t="shared" ca="1" si="445"/>
        <v>0</v>
      </c>
      <c r="Y251" s="139">
        <f t="shared" ca="1" si="445"/>
        <v>0</v>
      </c>
      <c r="Z251" s="139">
        <f t="shared" ca="1" si="445"/>
        <v>0</v>
      </c>
    </row>
    <row r="252" spans="2:26" ht="15.5">
      <c r="B252" s="143" t="s">
        <v>239</v>
      </c>
      <c r="C252" s="141"/>
      <c r="D252" s="141"/>
      <c r="E252" s="141"/>
      <c r="F252" s="144" t="str">
        <f>+IFERROR(F251/F245,"")</f>
        <v/>
      </c>
      <c r="G252" s="144" t="str">
        <f t="shared" ref="G252" si="446">+IFERROR(G251/G245,"")</f>
        <v/>
      </c>
      <c r="H252" s="144" t="str">
        <f t="shared" ref="H252" si="447">+IFERROR(H251/H245,"")</f>
        <v/>
      </c>
      <c r="I252" s="145">
        <f t="shared" ref="I252" ca="1" si="448">+IFERROR(I251/I245,"")</f>
        <v>0</v>
      </c>
      <c r="J252" s="145">
        <f t="shared" ref="J252" ca="1" si="449">+IFERROR(J251/J245,"")</f>
        <v>0</v>
      </c>
      <c r="K252" s="145">
        <f t="shared" ref="K252" ca="1" si="450">+IFERROR(K251/K245,"")</f>
        <v>0</v>
      </c>
      <c r="L252" s="145">
        <f t="shared" ref="L252" ca="1" si="451">+IFERROR(L251/L245,"")</f>
        <v>0</v>
      </c>
      <c r="M252" s="145">
        <f t="shared" ref="M252" ca="1" si="452">+IFERROR(M251/M245,"")</f>
        <v>0</v>
      </c>
      <c r="N252" s="145">
        <f t="shared" ref="N252" ca="1" si="453">+IFERROR(N251/N245,"")</f>
        <v>0</v>
      </c>
      <c r="O252" s="145">
        <f t="shared" ref="O252" ca="1" si="454">+IFERROR(O251/O245,"")</f>
        <v>0</v>
      </c>
      <c r="P252" s="145">
        <f t="shared" ref="P252" ca="1" si="455">+IFERROR(P251/P245,"")</f>
        <v>0</v>
      </c>
      <c r="Q252" s="145">
        <f t="shared" ref="Q252" ca="1" si="456">+IFERROR(Q251/Q245,"")</f>
        <v>0</v>
      </c>
      <c r="R252" s="145">
        <f t="shared" ref="R252" ca="1" si="457">+IFERROR(R251/R245,"")</f>
        <v>0</v>
      </c>
      <c r="S252" s="145">
        <f t="shared" ref="S252" ca="1" si="458">+IFERROR(S251/S245,"")</f>
        <v>0</v>
      </c>
      <c r="T252" s="145">
        <f t="shared" ref="T252" ca="1" si="459">+IFERROR(T251/T245,"")</f>
        <v>0</v>
      </c>
      <c r="U252" s="145">
        <f t="shared" ref="U252" ca="1" si="460">+IFERROR(U251/U245,"")</f>
        <v>0</v>
      </c>
      <c r="V252" s="145">
        <f t="shared" ref="V252" ca="1" si="461">+IFERROR(V251/V245,"")</f>
        <v>0</v>
      </c>
      <c r="W252" s="145">
        <f t="shared" ref="W252" ca="1" si="462">+IFERROR(W251/W245,"")</f>
        <v>0</v>
      </c>
      <c r="X252" s="145">
        <f t="shared" ref="X252" ca="1" si="463">+IFERROR(X251/X245,"")</f>
        <v>0</v>
      </c>
      <c r="Y252" s="145">
        <f t="shared" ref="Y252" ca="1" si="464">+IFERROR(Y251/Y245,"")</f>
        <v>0</v>
      </c>
      <c r="Z252" s="145">
        <f t="shared" ref="Z252" ca="1" si="465">+IFERROR(Z251/Z245,"")</f>
        <v>0</v>
      </c>
    </row>
    <row r="253" spans="2:26" ht="15.5">
      <c r="B253" s="143" t="s">
        <v>179</v>
      </c>
      <c r="C253" s="141"/>
      <c r="D253" s="141"/>
      <c r="E253" s="141"/>
      <c r="F253" s="142">
        <f>+F251/Assumptions!$N$134</f>
        <v>0</v>
      </c>
      <c r="G253" s="142">
        <f>+G251/Assumptions!$N$134</f>
        <v>0</v>
      </c>
      <c r="H253" s="142">
        <f>+H251/Assumptions!$N$134</f>
        <v>0</v>
      </c>
      <c r="I253" s="142">
        <f ca="1">+I251/Assumptions!$N$134</f>
        <v>0</v>
      </c>
      <c r="J253" s="142">
        <f ca="1">+J251/Assumptions!$N$134</f>
        <v>0</v>
      </c>
      <c r="K253" s="142">
        <f ca="1">+K251/Assumptions!$N$134</f>
        <v>0</v>
      </c>
      <c r="L253" s="142">
        <f ca="1">+L251/Assumptions!$N$134</f>
        <v>0</v>
      </c>
      <c r="M253" s="142">
        <f ca="1">+M251/Assumptions!$N$134</f>
        <v>0</v>
      </c>
      <c r="N253" s="142">
        <f ca="1">+N251/Assumptions!$N$134</f>
        <v>0</v>
      </c>
      <c r="O253" s="142">
        <f ca="1">+O251/Assumptions!$N$134</f>
        <v>0</v>
      </c>
      <c r="P253" s="142">
        <f ca="1">+P251/Assumptions!$N$134</f>
        <v>0</v>
      </c>
      <c r="Q253" s="142">
        <f ca="1">+Q251/Assumptions!$N$134</f>
        <v>0</v>
      </c>
      <c r="R253" s="142">
        <f ca="1">+R251/Assumptions!$N$134</f>
        <v>0</v>
      </c>
      <c r="S253" s="142">
        <f ca="1">+S251/Assumptions!$N$134</f>
        <v>0</v>
      </c>
      <c r="T253" s="142">
        <f ca="1">+T251/Assumptions!$N$134</f>
        <v>0</v>
      </c>
      <c r="U253" s="142">
        <f ca="1">+U251/Assumptions!$N$134</f>
        <v>0</v>
      </c>
      <c r="V253" s="142">
        <f ca="1">+V251/Assumptions!$N$134</f>
        <v>0</v>
      </c>
      <c r="W253" s="142">
        <f ca="1">+W251/Assumptions!$N$134</f>
        <v>0</v>
      </c>
      <c r="X253" s="142">
        <f ca="1">+X251/Assumptions!$N$134</f>
        <v>0</v>
      </c>
      <c r="Y253" s="142">
        <f ca="1">+Y251/Assumptions!$N$134</f>
        <v>0</v>
      </c>
      <c r="Z253" s="142">
        <f ca="1">+Z251/Assumptions!$N$134</f>
        <v>0</v>
      </c>
    </row>
    <row r="255" spans="2:26" ht="15.5">
      <c r="B255" s="148" t="s">
        <v>31</v>
      </c>
      <c r="F255" s="150">
        <f>+Assumptions!$F$22</f>
        <v>44561</v>
      </c>
      <c r="G255" s="150">
        <f>+EOMONTH(F255,12)</f>
        <v>44926</v>
      </c>
      <c r="H255" s="150">
        <f t="shared" ref="H255:Z255" si="466">+EOMONTH(G255,12)</f>
        <v>45291</v>
      </c>
      <c r="I255" s="150">
        <f t="shared" si="466"/>
        <v>45657</v>
      </c>
      <c r="J255" s="150">
        <f t="shared" si="466"/>
        <v>46022</v>
      </c>
      <c r="K255" s="150">
        <f t="shared" si="466"/>
        <v>46387</v>
      </c>
      <c r="L255" s="150">
        <f t="shared" si="466"/>
        <v>46752</v>
      </c>
      <c r="M255" s="150">
        <f t="shared" si="466"/>
        <v>47118</v>
      </c>
      <c r="N255" s="150">
        <f t="shared" si="466"/>
        <v>47483</v>
      </c>
      <c r="O255" s="150">
        <f t="shared" si="466"/>
        <v>47848</v>
      </c>
      <c r="P255" s="150">
        <f t="shared" si="466"/>
        <v>48213</v>
      </c>
      <c r="Q255" s="150">
        <f t="shared" si="466"/>
        <v>48579</v>
      </c>
      <c r="R255" s="150">
        <f t="shared" si="466"/>
        <v>48944</v>
      </c>
      <c r="S255" s="150">
        <f t="shared" si="466"/>
        <v>49309</v>
      </c>
      <c r="T255" s="150">
        <f t="shared" si="466"/>
        <v>49674</v>
      </c>
      <c r="U255" s="150">
        <f t="shared" si="466"/>
        <v>50040</v>
      </c>
      <c r="V255" s="150">
        <f t="shared" si="466"/>
        <v>50405</v>
      </c>
      <c r="W255" s="150">
        <f t="shared" si="466"/>
        <v>50770</v>
      </c>
      <c r="X255" s="150">
        <f t="shared" si="466"/>
        <v>51135</v>
      </c>
      <c r="Y255" s="150">
        <f t="shared" si="466"/>
        <v>51501</v>
      </c>
      <c r="Z255" s="150">
        <f t="shared" si="466"/>
        <v>51866</v>
      </c>
    </row>
    <row r="256" spans="2:26">
      <c r="B256" s="33" t="s">
        <v>313</v>
      </c>
      <c r="F256" s="34">
        <v>0</v>
      </c>
      <c r="G256" s="34">
        <f t="shared" ref="G256:N256" si="467">+F259</f>
        <v>0</v>
      </c>
      <c r="H256" s="34">
        <f t="shared" si="467"/>
        <v>0</v>
      </c>
      <c r="I256" s="34">
        <f t="shared" si="467"/>
        <v>0</v>
      </c>
      <c r="J256" s="34">
        <f t="shared" ca="1" si="467"/>
        <v>0</v>
      </c>
      <c r="K256" s="34">
        <f t="shared" ca="1" si="467"/>
        <v>0</v>
      </c>
      <c r="L256" s="34">
        <f t="shared" ca="1" si="467"/>
        <v>0</v>
      </c>
      <c r="M256" s="34">
        <f t="shared" ca="1" si="467"/>
        <v>0</v>
      </c>
      <c r="N256" s="34">
        <f t="shared" ca="1" si="467"/>
        <v>0</v>
      </c>
      <c r="O256" s="34">
        <f t="shared" ref="O256:Z256" ca="1" si="468">+N259</f>
        <v>0</v>
      </c>
      <c r="P256" s="34">
        <f t="shared" ca="1" si="468"/>
        <v>0</v>
      </c>
      <c r="Q256" s="34">
        <f t="shared" ca="1" si="468"/>
        <v>0</v>
      </c>
      <c r="R256" s="34">
        <f t="shared" ca="1" si="468"/>
        <v>0</v>
      </c>
      <c r="S256" s="34">
        <f t="shared" ca="1" si="468"/>
        <v>0</v>
      </c>
      <c r="T256" s="34">
        <f t="shared" ca="1" si="468"/>
        <v>0</v>
      </c>
      <c r="U256" s="34">
        <f t="shared" ca="1" si="468"/>
        <v>0</v>
      </c>
      <c r="V256" s="34">
        <f t="shared" ca="1" si="468"/>
        <v>0</v>
      </c>
      <c r="W256" s="34">
        <f t="shared" ca="1" si="468"/>
        <v>0</v>
      </c>
      <c r="X256" s="34">
        <f t="shared" ca="1" si="468"/>
        <v>0</v>
      </c>
      <c r="Y256" s="34">
        <f t="shared" ca="1" si="468"/>
        <v>0</v>
      </c>
      <c r="Z256" s="34">
        <f t="shared" ca="1" si="468"/>
        <v>0</v>
      </c>
    </row>
    <row r="257" spans="2:26">
      <c r="B257" s="33" t="s">
        <v>324</v>
      </c>
      <c r="F257" s="151">
        <f>+IF(YEAR(F$140)=YEAR(Assumptions!$F$26),'S&amp;U'!$R$19,0)</f>
        <v>0</v>
      </c>
      <c r="G257" s="151">
        <f>+IF(YEAR(G$140)=YEAR(Assumptions!$F$26),'S&amp;U'!$R$19,0)</f>
        <v>0</v>
      </c>
      <c r="H257" s="151">
        <f>+IF(YEAR(H$140)=YEAR(Assumptions!$F$26),'S&amp;U'!$R$19,0)</f>
        <v>0</v>
      </c>
      <c r="I257" s="151">
        <f ca="1">+IF(YEAR(I$140)=YEAR(Assumptions!$F$26),'S&amp;U'!$R$19,0)</f>
        <v>0</v>
      </c>
      <c r="J257" s="151">
        <f>+IF(YEAR(J$140)=YEAR(Assumptions!$F$26),'S&amp;U'!$R$19,0)</f>
        <v>0</v>
      </c>
      <c r="K257" s="151">
        <f>+IF(YEAR(K$140)=YEAR(Assumptions!$F$26),'S&amp;U'!$R$19,0)</f>
        <v>0</v>
      </c>
      <c r="L257" s="151">
        <f>+IF(YEAR(L$140)=YEAR(Assumptions!$F$26),'S&amp;U'!$R$19,0)</f>
        <v>0</v>
      </c>
      <c r="M257" s="151">
        <f>+IF(YEAR(M$140)=YEAR(Assumptions!$F$26),'S&amp;U'!$R$19,0)</f>
        <v>0</v>
      </c>
      <c r="N257" s="151">
        <f>+IF(YEAR(N$140)=YEAR(Assumptions!$F$26),'S&amp;U'!$R$19,0)</f>
        <v>0</v>
      </c>
      <c r="O257" s="151">
        <f>+IF(YEAR(O$140)=YEAR(Assumptions!$F$26),'S&amp;U'!$R$19,0)</f>
        <v>0</v>
      </c>
      <c r="P257" s="151">
        <f>+IF(YEAR(P$140)=YEAR(Assumptions!$F$26),'S&amp;U'!$R$19,0)</f>
        <v>0</v>
      </c>
      <c r="Q257" s="151">
        <f>+IF(YEAR(Q$140)=YEAR(Assumptions!$F$26),'S&amp;U'!$R$19,0)</f>
        <v>0</v>
      </c>
      <c r="R257" s="151">
        <f>+IF(YEAR(R$140)=YEAR(Assumptions!$F$26),'S&amp;U'!$R$19,0)</f>
        <v>0</v>
      </c>
      <c r="S257" s="151">
        <f>+IF(YEAR(S$140)=YEAR(Assumptions!$F$26),'S&amp;U'!$R$19,0)</f>
        <v>0</v>
      </c>
      <c r="T257" s="151">
        <f>+IF(YEAR(T$140)=YEAR(Assumptions!$F$26),'S&amp;U'!$R$19,0)</f>
        <v>0</v>
      </c>
      <c r="U257" s="151">
        <f>+IF(YEAR(U$140)=YEAR(Assumptions!$F$26),'S&amp;U'!$R$19,0)</f>
        <v>0</v>
      </c>
      <c r="V257" s="151">
        <f>+IF(YEAR(V$140)=YEAR(Assumptions!$F$26),'S&amp;U'!$R$19,0)</f>
        <v>0</v>
      </c>
      <c r="W257" s="151">
        <f>+IF(YEAR(W$140)=YEAR(Assumptions!$F$26),'S&amp;U'!$R$19,0)</f>
        <v>0</v>
      </c>
      <c r="X257" s="151">
        <f>+IF(YEAR(X$140)=YEAR(Assumptions!$F$26),'S&amp;U'!$R$19,0)</f>
        <v>0</v>
      </c>
      <c r="Y257" s="151">
        <f>+IF(YEAR(Y$140)=YEAR(Assumptions!$F$26),'S&amp;U'!$R$19,0)</f>
        <v>0</v>
      </c>
      <c r="Z257" s="151">
        <f>+IF(YEAR(Z$140)=YEAR(Assumptions!$F$26),'S&amp;U'!$R$19,0)</f>
        <v>0</v>
      </c>
    </row>
    <row r="258" spans="2:26">
      <c r="B258" s="33" t="s">
        <v>156</v>
      </c>
      <c r="F258" s="151">
        <v>0</v>
      </c>
      <c r="G258" s="151">
        <v>0</v>
      </c>
      <c r="H258" s="151">
        <v>0</v>
      </c>
      <c r="I258" s="151">
        <v>0</v>
      </c>
      <c r="J258" s="151">
        <v>0</v>
      </c>
      <c r="K258" s="151">
        <v>0</v>
      </c>
      <c r="L258" s="151">
        <v>0</v>
      </c>
      <c r="M258" s="151">
        <v>0</v>
      </c>
      <c r="N258" s="151">
        <v>0</v>
      </c>
      <c r="O258" s="151">
        <v>0</v>
      </c>
      <c r="P258" s="151">
        <v>0</v>
      </c>
      <c r="Q258" s="151">
        <v>0</v>
      </c>
      <c r="R258" s="151">
        <v>0</v>
      </c>
      <c r="S258" s="151">
        <v>0</v>
      </c>
      <c r="T258" s="151">
        <v>0</v>
      </c>
      <c r="U258" s="151">
        <v>0</v>
      </c>
      <c r="V258" s="151">
        <v>0</v>
      </c>
      <c r="W258" s="151">
        <v>0</v>
      </c>
      <c r="X258" s="151">
        <v>0</v>
      </c>
      <c r="Y258" s="151">
        <v>0</v>
      </c>
      <c r="Z258" s="151">
        <v>0</v>
      </c>
    </row>
    <row r="259" spans="2:26">
      <c r="B259" s="33" t="s">
        <v>315</v>
      </c>
      <c r="F259" s="151">
        <f t="shared" ref="F259:N259" si="469">+SUM(F256:F258)</f>
        <v>0</v>
      </c>
      <c r="G259" s="151">
        <f t="shared" si="469"/>
        <v>0</v>
      </c>
      <c r="H259" s="151">
        <f t="shared" si="469"/>
        <v>0</v>
      </c>
      <c r="I259" s="151">
        <f t="shared" ca="1" si="469"/>
        <v>0</v>
      </c>
      <c r="J259" s="151">
        <f t="shared" ca="1" si="469"/>
        <v>0</v>
      </c>
      <c r="K259" s="151">
        <f t="shared" ca="1" si="469"/>
        <v>0</v>
      </c>
      <c r="L259" s="151">
        <f t="shared" ca="1" si="469"/>
        <v>0</v>
      </c>
      <c r="M259" s="151">
        <f t="shared" ca="1" si="469"/>
        <v>0</v>
      </c>
      <c r="N259" s="151">
        <f t="shared" ca="1" si="469"/>
        <v>0</v>
      </c>
      <c r="O259" s="151">
        <f t="shared" ref="O259" ca="1" si="470">+SUM(O256:O258)</f>
        <v>0</v>
      </c>
      <c r="P259" s="151">
        <f t="shared" ref="P259" ca="1" si="471">+SUM(P256:P258)</f>
        <v>0</v>
      </c>
      <c r="Q259" s="151">
        <f t="shared" ref="Q259" ca="1" si="472">+SUM(Q256:Q258)</f>
        <v>0</v>
      </c>
      <c r="R259" s="151">
        <f t="shared" ref="R259" ca="1" si="473">+SUM(R256:R258)</f>
        <v>0</v>
      </c>
      <c r="S259" s="151">
        <f t="shared" ref="S259" ca="1" si="474">+SUM(S256:S258)</f>
        <v>0</v>
      </c>
      <c r="T259" s="151">
        <f t="shared" ref="T259" ca="1" si="475">+SUM(T256:T258)</f>
        <v>0</v>
      </c>
      <c r="U259" s="151">
        <f t="shared" ref="U259" ca="1" si="476">+SUM(U256:U258)</f>
        <v>0</v>
      </c>
      <c r="V259" s="151">
        <f t="shared" ref="V259" ca="1" si="477">+SUM(V256:V258)</f>
        <v>0</v>
      </c>
      <c r="W259" s="151">
        <f t="shared" ref="W259" ca="1" si="478">+SUM(W256:W258)</f>
        <v>0</v>
      </c>
      <c r="X259" s="151">
        <f t="shared" ref="X259" ca="1" si="479">+SUM(X256:X258)</f>
        <v>0</v>
      </c>
      <c r="Y259" s="151">
        <f t="shared" ref="Y259" ca="1" si="480">+SUM(Y256:Y258)</f>
        <v>0</v>
      </c>
      <c r="Z259" s="151">
        <f t="shared" ref="Z259" ca="1" si="481">+SUM(Z256:Z258)</f>
        <v>0</v>
      </c>
    </row>
    <row r="261" spans="2:26">
      <c r="B261" s="41" t="s">
        <v>314</v>
      </c>
      <c r="F261" s="34">
        <f>+F259*Assumptions!$N$163</f>
        <v>0</v>
      </c>
      <c r="G261" s="34">
        <f>+G259*Assumptions!$N$163</f>
        <v>0</v>
      </c>
      <c r="H261" s="34">
        <f>+H259*Assumptions!$N$163</f>
        <v>0</v>
      </c>
      <c r="I261" s="34">
        <f ca="1">+I259*Assumptions!$N$163</f>
        <v>0</v>
      </c>
      <c r="J261" s="34">
        <f ca="1">+J259*Assumptions!$N$163</f>
        <v>0</v>
      </c>
      <c r="K261" s="34">
        <f ca="1">+K259*Assumptions!$N$163</f>
        <v>0</v>
      </c>
      <c r="L261" s="34">
        <f ca="1">+L259*Assumptions!$N$163</f>
        <v>0</v>
      </c>
      <c r="M261" s="34">
        <f ca="1">+M259*Assumptions!$N$163</f>
        <v>0</v>
      </c>
      <c r="N261" s="34">
        <f ca="1">+N259*Assumptions!$N$163</f>
        <v>0</v>
      </c>
      <c r="O261" s="34">
        <f ca="1">+O259*Assumptions!$N$163</f>
        <v>0</v>
      </c>
      <c r="P261" s="34">
        <f ca="1">+P259*Assumptions!$N$163</f>
        <v>0</v>
      </c>
      <c r="Q261" s="34">
        <f ca="1">+Q259*Assumptions!$N$163</f>
        <v>0</v>
      </c>
      <c r="R261" s="34">
        <f ca="1">+R259*Assumptions!$N$163</f>
        <v>0</v>
      </c>
      <c r="S261" s="34">
        <f ca="1">+S259*Assumptions!$N$163</f>
        <v>0</v>
      </c>
      <c r="T261" s="34">
        <f ca="1">+T259*Assumptions!$N$163</f>
        <v>0</v>
      </c>
      <c r="U261" s="34">
        <f ca="1">+U259*Assumptions!$N$163</f>
        <v>0</v>
      </c>
      <c r="V261" s="34">
        <f ca="1">+V259*Assumptions!$N$163</f>
        <v>0</v>
      </c>
      <c r="W261" s="34">
        <f ca="1">+W259*Assumptions!$N$163</f>
        <v>0</v>
      </c>
      <c r="X261" s="34">
        <f ca="1">+X259*Assumptions!$N$163</f>
        <v>0</v>
      </c>
      <c r="Y261" s="34">
        <f ca="1">+Y259*Assumptions!$N$163</f>
        <v>0</v>
      </c>
      <c r="Z261" s="34">
        <f ca="1">+Z259*Assumptions!$N$163</f>
        <v>0</v>
      </c>
    </row>
    <row r="262" spans="2:26">
      <c r="B262" s="137" t="s">
        <v>323</v>
      </c>
      <c r="C262" s="137"/>
      <c r="D262" s="137"/>
      <c r="E262" s="137"/>
      <c r="F262" s="129">
        <f t="shared" ref="F262" si="482">+F261-F258</f>
        <v>0</v>
      </c>
      <c r="G262" s="129">
        <f t="shared" ref="G262" si="483">+G261-G258</f>
        <v>0</v>
      </c>
      <c r="H262" s="129">
        <f t="shared" ref="H262" si="484">+H261-H258</f>
        <v>0</v>
      </c>
      <c r="I262" s="129">
        <f t="shared" ref="I262" ca="1" si="485">+I261-I258</f>
        <v>0</v>
      </c>
      <c r="J262" s="129">
        <f t="shared" ref="J262" ca="1" si="486">+J261-J258</f>
        <v>0</v>
      </c>
      <c r="K262" s="129">
        <f t="shared" ref="K262" ca="1" si="487">+K261-K258</f>
        <v>0</v>
      </c>
      <c r="L262" s="129">
        <f ca="1">+L261-L258</f>
        <v>0</v>
      </c>
      <c r="M262" s="129">
        <f t="shared" ref="M262" ca="1" si="488">+M261-M258</f>
        <v>0</v>
      </c>
      <c r="N262" s="129">
        <f t="shared" ref="N262" ca="1" si="489">+N261-N258</f>
        <v>0</v>
      </c>
      <c r="O262" s="129">
        <f t="shared" ref="O262" ca="1" si="490">+O261-O258</f>
        <v>0</v>
      </c>
      <c r="P262" s="129">
        <f t="shared" ref="P262" ca="1" si="491">+P261-P258</f>
        <v>0</v>
      </c>
      <c r="Q262" s="129">
        <f t="shared" ref="Q262" ca="1" si="492">+Q261-Q258</f>
        <v>0</v>
      </c>
      <c r="R262" s="129">
        <f t="shared" ref="R262" ca="1" si="493">+R261-R258</f>
        <v>0</v>
      </c>
      <c r="S262" s="129">
        <f t="shared" ref="S262" ca="1" si="494">+S261-S258</f>
        <v>0</v>
      </c>
      <c r="T262" s="129">
        <f t="shared" ref="T262" ca="1" si="495">+T261-T258</f>
        <v>0</v>
      </c>
      <c r="U262" s="129">
        <f t="shared" ref="U262" ca="1" si="496">+U261-U258</f>
        <v>0</v>
      </c>
      <c r="V262" s="129">
        <f t="shared" ref="V262" ca="1" si="497">+V261-V258</f>
        <v>0</v>
      </c>
      <c r="W262" s="129">
        <f t="shared" ref="W262" ca="1" si="498">+W261-W258</f>
        <v>0</v>
      </c>
      <c r="X262" s="129">
        <f t="shared" ref="X262" ca="1" si="499">+X261-X258</f>
        <v>0</v>
      </c>
      <c r="Y262" s="129">
        <f t="shared" ref="Y262" ca="1" si="500">+Y261-Y258</f>
        <v>0</v>
      </c>
      <c r="Z262" s="129">
        <f t="shared" ref="Z262" ca="1" si="501">+Z261-Z258</f>
        <v>0</v>
      </c>
    </row>
    <row r="263" spans="2:26" ht="15.5">
      <c r="B263" s="146" t="s">
        <v>172</v>
      </c>
      <c r="F263" s="180" t="str">
        <f t="shared" ref="F263" si="502">+IFERROR(F251/F262,"")</f>
        <v/>
      </c>
      <c r="G263" s="180" t="str">
        <f t="shared" ref="G263" si="503">+IFERROR(G251/G262,"")</f>
        <v/>
      </c>
      <c r="H263" s="180" t="str">
        <f t="shared" ref="H263" si="504">+IFERROR(H251/H262,"")</f>
        <v/>
      </c>
      <c r="I263" s="180" t="str">
        <f t="shared" ref="I263" ca="1" si="505">+IFERROR(I251/I262,"")</f>
        <v/>
      </c>
      <c r="J263" s="180" t="str">
        <f t="shared" ref="J263" ca="1" si="506">+IFERROR(J251/J262,"")</f>
        <v/>
      </c>
      <c r="K263" s="180" t="str">
        <f ca="1">+IFERROR(K251/K262,"")</f>
        <v/>
      </c>
      <c r="L263" s="180" t="str">
        <f t="shared" ref="L263" ca="1" si="507">+IFERROR(L251/L262,"")</f>
        <v/>
      </c>
      <c r="M263" s="180" t="str">
        <f t="shared" ref="M263" ca="1" si="508">+IFERROR(M251/M262,"")</f>
        <v/>
      </c>
      <c r="N263" s="180" t="str">
        <f t="shared" ref="N263" ca="1" si="509">+IFERROR(N251/N262,"")</f>
        <v/>
      </c>
      <c r="O263" s="180" t="str">
        <f t="shared" ref="O263" ca="1" si="510">+IFERROR(O251/O262,"")</f>
        <v/>
      </c>
      <c r="P263" s="180" t="str">
        <f t="shared" ref="P263" ca="1" si="511">+IFERROR(P251/P262,"")</f>
        <v/>
      </c>
      <c r="Q263" s="180" t="str">
        <f t="shared" ref="Q263" ca="1" si="512">+IFERROR(Q251/Q262,"")</f>
        <v/>
      </c>
      <c r="R263" s="180" t="str">
        <f t="shared" ref="R263" ca="1" si="513">+IFERROR(R251/R262,"")</f>
        <v/>
      </c>
      <c r="S263" s="180" t="str">
        <f t="shared" ref="S263" ca="1" si="514">+IFERROR(S251/S262,"")</f>
        <v/>
      </c>
      <c r="T263" s="180" t="str">
        <f t="shared" ref="T263" ca="1" si="515">+IFERROR(T251/T262,"")</f>
        <v/>
      </c>
      <c r="U263" s="180" t="str">
        <f t="shared" ref="U263" ca="1" si="516">+IFERROR(U251/U262,"")</f>
        <v/>
      </c>
      <c r="V263" s="180" t="str">
        <f t="shared" ref="V263" ca="1" si="517">+IFERROR(V251/V262,"")</f>
        <v/>
      </c>
      <c r="W263" s="180" t="str">
        <f t="shared" ref="W263" ca="1" si="518">+IFERROR(W251/W262,"")</f>
        <v/>
      </c>
      <c r="X263" s="180" t="str">
        <f t="shared" ref="X263" ca="1" si="519">+IFERROR(X251/X262,"")</f>
        <v/>
      </c>
      <c r="Y263" s="180" t="str">
        <f t="shared" ref="Y263" ca="1" si="520">+IFERROR(Y251/Y262,"")</f>
        <v/>
      </c>
      <c r="Z263" s="180" t="str">
        <f t="shared" ref="Z263" ca="1" si="521">+IFERROR(Z251/Z262,"")</f>
        <v/>
      </c>
    </row>
    <row r="265" spans="2:26">
      <c r="B265" s="41" t="s">
        <v>150</v>
      </c>
      <c r="F265" s="34">
        <f>+F257*Assumptions!$N$164</f>
        <v>0</v>
      </c>
      <c r="G265" s="34">
        <f>+G257*Assumptions!$N$164</f>
        <v>0</v>
      </c>
      <c r="H265" s="34">
        <f>+H257*Assumptions!$N$164</f>
        <v>0</v>
      </c>
      <c r="I265" s="34">
        <f ca="1">+I257*Assumptions!$N$164</f>
        <v>0</v>
      </c>
      <c r="J265" s="34">
        <f>+J257*Assumptions!$N$164</f>
        <v>0</v>
      </c>
      <c r="K265" s="34">
        <f>+K257*Assumptions!$N$164</f>
        <v>0</v>
      </c>
      <c r="L265" s="34">
        <f>+L257*Assumptions!$N$164</f>
        <v>0</v>
      </c>
      <c r="M265" s="34">
        <f>+M257*Assumptions!$N$164</f>
        <v>0</v>
      </c>
      <c r="N265" s="34">
        <f>+N257*Assumptions!$N$164</f>
        <v>0</v>
      </c>
      <c r="O265" s="34">
        <f>+O257*Assumptions!$N$164</f>
        <v>0</v>
      </c>
      <c r="P265" s="34">
        <f>+P257*Assumptions!$N$164</f>
        <v>0</v>
      </c>
      <c r="Q265" s="34">
        <f>+Q257*Assumptions!$N$164</f>
        <v>0</v>
      </c>
      <c r="R265" s="34">
        <f>+R257*Assumptions!$N$164</f>
        <v>0</v>
      </c>
      <c r="S265" s="34">
        <f>+S257*Assumptions!$N$164</f>
        <v>0</v>
      </c>
      <c r="T265" s="34">
        <f>+T257*Assumptions!$N$164</f>
        <v>0</v>
      </c>
      <c r="U265" s="34">
        <f>+U257*Assumptions!$N$164</f>
        <v>0</v>
      </c>
      <c r="V265" s="34">
        <f>+V257*Assumptions!$N$164</f>
        <v>0</v>
      </c>
      <c r="W265" s="34">
        <f>+W257*Assumptions!$N$164</f>
        <v>0</v>
      </c>
      <c r="X265" s="34">
        <f>+X257*Assumptions!$N$164</f>
        <v>0</v>
      </c>
      <c r="Y265" s="34">
        <f>+Y257*Assumptions!$N$164</f>
        <v>0</v>
      </c>
      <c r="Z265" s="34">
        <f>+Z257*Assumptions!$N$164</f>
        <v>0</v>
      </c>
    </row>
    <row r="267" spans="2:26">
      <c r="B267" s="137" t="s">
        <v>316</v>
      </c>
      <c r="C267" s="137"/>
      <c r="D267" s="137"/>
      <c r="E267" s="137"/>
      <c r="F267" s="129">
        <f>+F251-F262-F265</f>
        <v>0</v>
      </c>
      <c r="G267" s="129">
        <f t="shared" ref="G267:Z267" si="522">+G251-G262-G265</f>
        <v>0</v>
      </c>
      <c r="H267" s="129">
        <f t="shared" si="522"/>
        <v>0</v>
      </c>
      <c r="I267" s="129">
        <f t="shared" ca="1" si="522"/>
        <v>0</v>
      </c>
      <c r="J267" s="129">
        <f t="shared" ca="1" si="522"/>
        <v>0</v>
      </c>
      <c r="K267" s="129">
        <f t="shared" ca="1" si="522"/>
        <v>0</v>
      </c>
      <c r="L267" s="129">
        <f t="shared" ca="1" si="522"/>
        <v>0</v>
      </c>
      <c r="M267" s="129">
        <f t="shared" ca="1" si="522"/>
        <v>0</v>
      </c>
      <c r="N267" s="129">
        <f t="shared" ca="1" si="522"/>
        <v>0</v>
      </c>
      <c r="O267" s="129">
        <f t="shared" ca="1" si="522"/>
        <v>0</v>
      </c>
      <c r="P267" s="129">
        <f t="shared" ca="1" si="522"/>
        <v>0</v>
      </c>
      <c r="Q267" s="129">
        <f t="shared" ca="1" si="522"/>
        <v>0</v>
      </c>
      <c r="R267" s="129">
        <f t="shared" ca="1" si="522"/>
        <v>0</v>
      </c>
      <c r="S267" s="129">
        <f t="shared" ca="1" si="522"/>
        <v>0</v>
      </c>
      <c r="T267" s="129">
        <f t="shared" ca="1" si="522"/>
        <v>0</v>
      </c>
      <c r="U267" s="129">
        <f t="shared" ca="1" si="522"/>
        <v>0</v>
      </c>
      <c r="V267" s="129">
        <f t="shared" ca="1" si="522"/>
        <v>0</v>
      </c>
      <c r="W267" s="129">
        <f t="shared" ca="1" si="522"/>
        <v>0</v>
      </c>
      <c r="X267" s="129">
        <f t="shared" ca="1" si="522"/>
        <v>0</v>
      </c>
      <c r="Y267" s="129">
        <f t="shared" ca="1" si="522"/>
        <v>0</v>
      </c>
      <c r="Z267" s="129">
        <f t="shared" ca="1" si="522"/>
        <v>0</v>
      </c>
    </row>
    <row r="269" spans="2:26" ht="15.5">
      <c r="B269" s="148" t="s">
        <v>325</v>
      </c>
    </row>
    <row r="270" spans="2:26">
      <c r="B270" s="33" t="s">
        <v>318</v>
      </c>
      <c r="F270" s="34">
        <f>+IF(YEAR(F$140)=YEAR(Assumptions!$F$30),F253,0)</f>
        <v>0</v>
      </c>
      <c r="G270" s="34">
        <f>+IF(YEAR(G$140)=YEAR(Assumptions!$F$30),G253,0)</f>
        <v>0</v>
      </c>
      <c r="H270" s="34">
        <f>+IF(YEAR(H$140)=YEAR(Assumptions!$F$30),H253,0)</f>
        <v>0</v>
      </c>
      <c r="I270" s="34">
        <f>+IF(YEAR(I$140)=YEAR(Assumptions!$F$30),I253,0)</f>
        <v>0</v>
      </c>
      <c r="J270" s="34">
        <f>+IF(YEAR(J$140)=YEAR(Assumptions!$F$30),J253,0)</f>
        <v>0</v>
      </c>
      <c r="K270" s="34">
        <f>+IF(YEAR(K$140)=YEAR(Assumptions!$F$30),K253,0)</f>
        <v>0</v>
      </c>
      <c r="L270" s="34">
        <f>+IF(YEAR(L$140)=YEAR(Assumptions!$F$30),L253,0)</f>
        <v>0</v>
      </c>
      <c r="M270" s="34">
        <f>+IF(YEAR(M$140)=YEAR(Assumptions!$F$30),M253,0)</f>
        <v>0</v>
      </c>
      <c r="N270" s="34">
        <f>+IF(YEAR(N$140)=YEAR(Assumptions!$F$30),N253,0)</f>
        <v>0</v>
      </c>
      <c r="O270" s="34">
        <f>+IF(YEAR(O$140)=YEAR(Assumptions!$F$30),O253,0)</f>
        <v>0</v>
      </c>
      <c r="P270" s="34">
        <f ca="1">+IF(YEAR(P$140)=YEAR(Assumptions!$F$30),P253,0)</f>
        <v>0</v>
      </c>
      <c r="Q270" s="34">
        <f>+IF(YEAR(Q$140)=YEAR(Assumptions!$F$30),Q253,0)</f>
        <v>0</v>
      </c>
      <c r="R270" s="34">
        <f>+IF(YEAR(R$140)=YEAR(Assumptions!$F$30),R253,0)</f>
        <v>0</v>
      </c>
      <c r="S270" s="34">
        <f>+IF(YEAR(S$140)=YEAR(Assumptions!$F$30),S253,0)</f>
        <v>0</v>
      </c>
      <c r="T270" s="34">
        <f>+IF(YEAR(T$140)=YEAR(Assumptions!$F$30),T253,0)</f>
        <v>0</v>
      </c>
      <c r="U270" s="34">
        <f>+IF(YEAR(U$140)=YEAR(Assumptions!$F$30),U253,0)</f>
        <v>0</v>
      </c>
      <c r="V270" s="34">
        <f>+IF(YEAR(V$140)=YEAR(Assumptions!$F$30),V253,0)</f>
        <v>0</v>
      </c>
      <c r="W270" s="34">
        <f>+IF(YEAR(W$140)=YEAR(Assumptions!$F$30),W253,0)</f>
        <v>0</v>
      </c>
      <c r="X270" s="34">
        <f>+IF(YEAR(X$140)=YEAR(Assumptions!$F$30),X253,0)</f>
        <v>0</v>
      </c>
      <c r="Y270" s="34">
        <f>+IF(YEAR(Y$140)=YEAR(Assumptions!$F$30),Y253,0)</f>
        <v>0</v>
      </c>
      <c r="Z270" s="34">
        <f>+IF(YEAR(Z$140)=YEAR(Assumptions!$F$30),Z253,0)</f>
        <v>0</v>
      </c>
    </row>
    <row r="271" spans="2:26">
      <c r="B271" s="33" t="s">
        <v>319</v>
      </c>
      <c r="F271" s="151">
        <f>-F270*Assumptions!$N$136</f>
        <v>0</v>
      </c>
      <c r="G271" s="151">
        <f>-G270*Assumptions!$N$136</f>
        <v>0</v>
      </c>
      <c r="H271" s="151">
        <f>-H270*Assumptions!$N$136</f>
        <v>0</v>
      </c>
      <c r="I271" s="151">
        <f>-I270*Assumptions!$N$136</f>
        <v>0</v>
      </c>
      <c r="J271" s="151">
        <f>-J270*Assumptions!$N$136</f>
        <v>0</v>
      </c>
      <c r="K271" s="151">
        <f>-K270*Assumptions!$N$136</f>
        <v>0</v>
      </c>
      <c r="L271" s="151">
        <f>-L270*Assumptions!$N$136</f>
        <v>0</v>
      </c>
      <c r="M271" s="151">
        <f>-M270*Assumptions!$N$136</f>
        <v>0</v>
      </c>
      <c r="N271" s="151">
        <f>-N270*Assumptions!$N$136</f>
        <v>0</v>
      </c>
      <c r="O271" s="151">
        <f>-O270*Assumptions!$N$136</f>
        <v>0</v>
      </c>
      <c r="P271" s="151">
        <f ca="1">-P270*Assumptions!$N$136</f>
        <v>0</v>
      </c>
      <c r="Q271" s="151">
        <f>-Q270*Assumptions!$N$136</f>
        <v>0</v>
      </c>
      <c r="R271" s="151">
        <f>-R270*Assumptions!$N$136</f>
        <v>0</v>
      </c>
      <c r="S271" s="151">
        <f>-S270*Assumptions!$N$136</f>
        <v>0</v>
      </c>
      <c r="T271" s="151">
        <f>-T270*Assumptions!$N$136</f>
        <v>0</v>
      </c>
      <c r="U271" s="151">
        <f>-U270*Assumptions!$N$136</f>
        <v>0</v>
      </c>
      <c r="V271" s="151">
        <f>-V270*Assumptions!$N$136</f>
        <v>0</v>
      </c>
      <c r="W271" s="151">
        <f>-W270*Assumptions!$N$136</f>
        <v>0</v>
      </c>
      <c r="X271" s="151">
        <f>-X270*Assumptions!$N$136</f>
        <v>0</v>
      </c>
      <c r="Y271" s="151">
        <f>-Y270*Assumptions!$N$136</f>
        <v>0</v>
      </c>
      <c r="Z271" s="151">
        <f>-Z270*Assumptions!$N$136</f>
        <v>0</v>
      </c>
    </row>
    <row r="272" spans="2:26">
      <c r="B272" s="33" t="s">
        <v>320</v>
      </c>
      <c r="F272" s="151">
        <f>+IF(YEAR(F$140)=YEAR(Assumptions!$F$30),-F259,0)</f>
        <v>0</v>
      </c>
      <c r="G272" s="151">
        <f>+IF(YEAR(G$140)=YEAR(Assumptions!$F$30),-G259,0)</f>
        <v>0</v>
      </c>
      <c r="H272" s="151">
        <f>+IF(YEAR(H$140)=YEAR(Assumptions!$F$30),-H259,0)</f>
        <v>0</v>
      </c>
      <c r="I272" s="151">
        <f>+IF(YEAR(I$140)=YEAR(Assumptions!$F$30),-I259,0)</f>
        <v>0</v>
      </c>
      <c r="J272" s="151">
        <f>+IF(YEAR(J$140)=YEAR(Assumptions!$F$30),-J259,0)</f>
        <v>0</v>
      </c>
      <c r="K272" s="151">
        <f>+IF(YEAR(K$140)=YEAR(Assumptions!$F$30),-K259,0)</f>
        <v>0</v>
      </c>
      <c r="L272" s="151">
        <f>+IF(YEAR(L$140)=YEAR(Assumptions!$F$30),-L259,0)</f>
        <v>0</v>
      </c>
      <c r="M272" s="151">
        <f>+IF(YEAR(M$140)=YEAR(Assumptions!$F$30),-M259,0)</f>
        <v>0</v>
      </c>
      <c r="N272" s="151">
        <f>+IF(YEAR(N$140)=YEAR(Assumptions!$F$30),-N259,0)</f>
        <v>0</v>
      </c>
      <c r="O272" s="151">
        <f>+IF(YEAR(O$140)=YEAR(Assumptions!$F$30),-O259,0)</f>
        <v>0</v>
      </c>
      <c r="P272" s="151">
        <f ca="1">+IF(YEAR(P$140)=YEAR(Assumptions!$F$30),-P259,0)</f>
        <v>0</v>
      </c>
      <c r="Q272" s="151">
        <f>+IF(YEAR(Q$140)=YEAR(Assumptions!$F$30),-Q259,0)</f>
        <v>0</v>
      </c>
      <c r="R272" s="151">
        <f>+IF(YEAR(R$140)=YEAR(Assumptions!$F$30),-R259,0)</f>
        <v>0</v>
      </c>
      <c r="S272" s="151">
        <f>+IF(YEAR(S$140)=YEAR(Assumptions!$F$30),-S259,0)</f>
        <v>0</v>
      </c>
      <c r="T272" s="151">
        <f>+IF(YEAR(T$140)=YEAR(Assumptions!$F$30),-T259,0)</f>
        <v>0</v>
      </c>
      <c r="U272" s="151">
        <f>+IF(YEAR(U$140)=YEAR(Assumptions!$F$30),-U259,0)</f>
        <v>0</v>
      </c>
      <c r="V272" s="151">
        <f>+IF(YEAR(V$140)=YEAR(Assumptions!$F$30),-V259,0)</f>
        <v>0</v>
      </c>
      <c r="W272" s="151">
        <f>+IF(YEAR(W$140)=YEAR(Assumptions!$F$30),-W259,0)</f>
        <v>0</v>
      </c>
      <c r="X272" s="151">
        <f>+IF(YEAR(X$140)=YEAR(Assumptions!$F$30),-X259,0)</f>
        <v>0</v>
      </c>
      <c r="Y272" s="151">
        <f>+IF(YEAR(Y$140)=YEAR(Assumptions!$F$30),-Y259,0)</f>
        <v>0</v>
      </c>
      <c r="Z272" s="151">
        <f>+IF(YEAR(Z$140)=YEAR(Assumptions!$F$30),-Z259,0)</f>
        <v>0</v>
      </c>
    </row>
    <row r="273" spans="2:26">
      <c r="B273" s="137" t="s">
        <v>321</v>
      </c>
      <c r="C273" s="137"/>
      <c r="D273" s="137"/>
      <c r="E273" s="137"/>
      <c r="F273" s="129">
        <f t="shared" ref="F273:Z273" si="523">+SUM(F270:F272)</f>
        <v>0</v>
      </c>
      <c r="G273" s="129">
        <f t="shared" si="523"/>
        <v>0</v>
      </c>
      <c r="H273" s="129">
        <f t="shared" si="523"/>
        <v>0</v>
      </c>
      <c r="I273" s="129">
        <f t="shared" si="523"/>
        <v>0</v>
      </c>
      <c r="J273" s="129">
        <f t="shared" si="523"/>
        <v>0</v>
      </c>
      <c r="K273" s="129">
        <f t="shared" si="523"/>
        <v>0</v>
      </c>
      <c r="L273" s="129">
        <f t="shared" si="523"/>
        <v>0</v>
      </c>
      <c r="M273" s="129">
        <f t="shared" si="523"/>
        <v>0</v>
      </c>
      <c r="N273" s="129">
        <f t="shared" si="523"/>
        <v>0</v>
      </c>
      <c r="O273" s="129">
        <f t="shared" si="523"/>
        <v>0</v>
      </c>
      <c r="P273" s="129">
        <f t="shared" ca="1" si="523"/>
        <v>0</v>
      </c>
      <c r="Q273" s="129">
        <f t="shared" si="523"/>
        <v>0</v>
      </c>
      <c r="R273" s="129">
        <f t="shared" si="523"/>
        <v>0</v>
      </c>
      <c r="S273" s="129">
        <f t="shared" si="523"/>
        <v>0</v>
      </c>
      <c r="T273" s="129">
        <f t="shared" si="523"/>
        <v>0</v>
      </c>
      <c r="U273" s="129">
        <f t="shared" si="523"/>
        <v>0</v>
      </c>
      <c r="V273" s="129">
        <f t="shared" si="523"/>
        <v>0</v>
      </c>
      <c r="W273" s="129">
        <f t="shared" si="523"/>
        <v>0</v>
      </c>
      <c r="X273" s="129">
        <f t="shared" si="523"/>
        <v>0</v>
      </c>
      <c r="Y273" s="129">
        <f t="shared" si="523"/>
        <v>0</v>
      </c>
      <c r="Z273" s="129">
        <f t="shared" si="523"/>
        <v>0</v>
      </c>
    </row>
    <row r="275" spans="2:26" ht="15.5">
      <c r="B275" s="138" t="s">
        <v>322</v>
      </c>
      <c r="C275" s="138"/>
      <c r="D275" s="138"/>
      <c r="E275" s="138"/>
      <c r="F275" s="139">
        <f>+IF(YEAR(F$140)&lt;=YEAR(Assumptions!$F$30),'Phase I Pro Forma'!F273+'Phase I Pro Forma'!F267,0)</f>
        <v>0</v>
      </c>
      <c r="G275" s="139">
        <f>+IF(YEAR(G$140)&lt;=YEAR(Assumptions!$F$30),'Phase I Pro Forma'!G273+'Phase I Pro Forma'!G267,0)</f>
        <v>0</v>
      </c>
      <c r="H275" s="139">
        <f>+IF(YEAR(H$140)&lt;=YEAR(Assumptions!$F$30),'Phase I Pro Forma'!H273+'Phase I Pro Forma'!H267,0)</f>
        <v>0</v>
      </c>
      <c r="I275" s="139">
        <f ca="1">+IF(YEAR(I$140)&lt;=YEAR(Assumptions!$F$30),'Phase I Pro Forma'!I273+'Phase I Pro Forma'!I267,0)</f>
        <v>0</v>
      </c>
      <c r="J275" s="139">
        <f ca="1">+IF(YEAR(J$140)&lt;=YEAR(Assumptions!$F$30),'Phase I Pro Forma'!J273+'Phase I Pro Forma'!J267,0)</f>
        <v>0</v>
      </c>
      <c r="K275" s="139">
        <f ca="1">+IF(YEAR(K$140)&lt;=YEAR(Assumptions!$F$30),'Phase I Pro Forma'!K273+'Phase I Pro Forma'!K267,0)</f>
        <v>0</v>
      </c>
      <c r="L275" s="139">
        <f ca="1">+IF(YEAR(L$140)&lt;=YEAR(Assumptions!$F$30),'Phase I Pro Forma'!L273+'Phase I Pro Forma'!L267,0)</f>
        <v>0</v>
      </c>
      <c r="M275" s="139">
        <f ca="1">+IF(YEAR(M$140)&lt;=YEAR(Assumptions!$F$30),'Phase I Pro Forma'!M273+'Phase I Pro Forma'!M267,0)</f>
        <v>0</v>
      </c>
      <c r="N275" s="139">
        <f ca="1">+IF(YEAR(N$140)&lt;=YEAR(Assumptions!$F$30),'Phase I Pro Forma'!N273+'Phase I Pro Forma'!N267,0)</f>
        <v>0</v>
      </c>
      <c r="O275" s="139">
        <f ca="1">+IF(YEAR(O$140)&lt;=YEAR(Assumptions!$F$30),'Phase I Pro Forma'!O273+'Phase I Pro Forma'!O267,0)</f>
        <v>0</v>
      </c>
      <c r="P275" s="139">
        <f ca="1">+IF(YEAR(P$140)&lt;=YEAR(Assumptions!$F$30),'Phase I Pro Forma'!P273+'Phase I Pro Forma'!P267,0)</f>
        <v>0</v>
      </c>
      <c r="Q275" s="139">
        <f>+IF(YEAR(Q$140)&lt;=YEAR(Assumptions!$F$30),'Phase I Pro Forma'!Q273+'Phase I Pro Forma'!Q267,0)</f>
        <v>0</v>
      </c>
      <c r="R275" s="139">
        <f>+IF(YEAR(R$140)&lt;=YEAR(Assumptions!$F$30),'Phase I Pro Forma'!R273+'Phase I Pro Forma'!R267,0)</f>
        <v>0</v>
      </c>
      <c r="S275" s="139">
        <f>+IF(YEAR(S$140)&lt;=YEAR(Assumptions!$F$30),'Phase I Pro Forma'!S273+'Phase I Pro Forma'!S267,0)</f>
        <v>0</v>
      </c>
      <c r="T275" s="139">
        <f>+IF(YEAR(T$140)&lt;=YEAR(Assumptions!$F$30),'Phase I Pro Forma'!T273+'Phase I Pro Forma'!T267,0)</f>
        <v>0</v>
      </c>
      <c r="U275" s="139">
        <f>+IF(YEAR(U$140)&lt;=YEAR(Assumptions!$F$30),'Phase I Pro Forma'!U273+'Phase I Pro Forma'!U267,0)</f>
        <v>0</v>
      </c>
      <c r="V275" s="139">
        <f>+IF(YEAR(V$140)&lt;=YEAR(Assumptions!$F$30),'Phase I Pro Forma'!V273+'Phase I Pro Forma'!V267,0)</f>
        <v>0</v>
      </c>
      <c r="W275" s="139">
        <f>+IF(YEAR(W$140)&lt;=YEAR(Assumptions!$F$30),'Phase I Pro Forma'!W273+'Phase I Pro Forma'!W267,0)</f>
        <v>0</v>
      </c>
      <c r="X275" s="139">
        <f>+IF(YEAR(X$140)&lt;=YEAR(Assumptions!$F$30),'Phase I Pro Forma'!X273+'Phase I Pro Forma'!X267,0)</f>
        <v>0</v>
      </c>
      <c r="Y275" s="139">
        <f>+IF(YEAR(Y$140)&lt;=YEAR(Assumptions!$F$30),'Phase I Pro Forma'!Y273+'Phase I Pro Forma'!Y267,0)</f>
        <v>0</v>
      </c>
      <c r="Z275" s="139">
        <f>+IF(YEAR(Z$140)&lt;=YEAR(Assumptions!$F$30),'Phase I Pro Forma'!Z273+'Phase I Pro Forma'!Z267,0)</f>
        <v>0</v>
      </c>
    </row>
    <row r="277" spans="2:26" ht="15.5">
      <c r="B277" s="138" t="s">
        <v>338</v>
      </c>
      <c r="C277" s="138"/>
      <c r="D277" s="138"/>
      <c r="E277" s="138"/>
      <c r="F277" s="139">
        <f ca="1">+F275+F230+F162</f>
        <v>0</v>
      </c>
      <c r="G277" s="139">
        <f t="shared" ref="G277:Z277" ca="1" si="524">+G275+G230+G162</f>
        <v>0</v>
      </c>
      <c r="H277" s="139">
        <f t="shared" ca="1" si="524"/>
        <v>0</v>
      </c>
      <c r="I277" s="139">
        <f t="shared" ca="1" si="524"/>
        <v>71667757.512128755</v>
      </c>
      <c r="J277" s="139">
        <f t="shared" ca="1" si="524"/>
        <v>9576755.7472895402</v>
      </c>
      <c r="K277" s="139">
        <f t="shared" ca="1" si="524"/>
        <v>9808367.275763236</v>
      </c>
      <c r="L277" s="139">
        <f t="shared" ca="1" si="524"/>
        <v>12499241.588265486</v>
      </c>
      <c r="M277" s="139">
        <f t="shared" ca="1" si="524"/>
        <v>12683745.250944594</v>
      </c>
      <c r="N277" s="139">
        <f t="shared" ca="1" si="524"/>
        <v>12928807.02357916</v>
      </c>
      <c r="O277" s="139">
        <f t="shared" ca="1" si="524"/>
        <v>13178518.25672905</v>
      </c>
      <c r="P277" s="139">
        <f t="shared" ca="1" si="524"/>
        <v>306622753.70241165</v>
      </c>
      <c r="Q277" s="139">
        <f t="shared" si="524"/>
        <v>0</v>
      </c>
      <c r="R277" s="139">
        <f t="shared" si="524"/>
        <v>0</v>
      </c>
      <c r="S277" s="139">
        <f t="shared" si="524"/>
        <v>0</v>
      </c>
      <c r="T277" s="139">
        <f t="shared" si="524"/>
        <v>0</v>
      </c>
      <c r="U277" s="139">
        <f t="shared" si="524"/>
        <v>0</v>
      </c>
      <c r="V277" s="139">
        <f t="shared" si="524"/>
        <v>0</v>
      </c>
      <c r="W277" s="139">
        <f t="shared" si="524"/>
        <v>0</v>
      </c>
      <c r="X277" s="139">
        <f t="shared" si="524"/>
        <v>0</v>
      </c>
      <c r="Y277" s="139">
        <f t="shared" si="524"/>
        <v>0</v>
      </c>
      <c r="Z277" s="139">
        <f t="shared" si="524"/>
        <v>0</v>
      </c>
    </row>
    <row r="279" spans="2:26">
      <c r="B279" s="41" t="s">
        <v>423</v>
      </c>
      <c r="F279" s="34">
        <f ca="1">+F156+F300</f>
        <v>0</v>
      </c>
      <c r="G279" s="34">
        <f t="shared" ref="G279:Z279" ca="1" si="525">+G156+G300</f>
        <v>108036780.78563279</v>
      </c>
      <c r="H279" s="34">
        <f t="shared" ca="1" si="525"/>
        <v>127672610.49430463</v>
      </c>
      <c r="I279" s="34">
        <f t="shared" ca="1" si="525"/>
        <v>82322952.138226867</v>
      </c>
      <c r="J279" s="34">
        <f t="shared" ca="1" si="525"/>
        <v>0</v>
      </c>
      <c r="K279" s="34">
        <f t="shared" ca="1" si="525"/>
        <v>0</v>
      </c>
      <c r="L279" s="34">
        <f t="shared" ca="1" si="525"/>
        <v>0</v>
      </c>
      <c r="M279" s="34">
        <f t="shared" ca="1" si="525"/>
        <v>0</v>
      </c>
      <c r="N279" s="34">
        <f t="shared" ca="1" si="525"/>
        <v>0</v>
      </c>
      <c r="O279" s="34">
        <f t="shared" ca="1" si="525"/>
        <v>0</v>
      </c>
      <c r="P279" s="34">
        <f t="shared" ca="1" si="525"/>
        <v>0</v>
      </c>
      <c r="Q279" s="34">
        <f t="shared" ca="1" si="525"/>
        <v>0</v>
      </c>
      <c r="R279" s="34">
        <f t="shared" ca="1" si="525"/>
        <v>0</v>
      </c>
      <c r="S279" s="34">
        <f t="shared" ca="1" si="525"/>
        <v>0</v>
      </c>
      <c r="T279" s="34">
        <f t="shared" ca="1" si="525"/>
        <v>0</v>
      </c>
      <c r="U279" s="34">
        <f t="shared" ca="1" si="525"/>
        <v>0</v>
      </c>
      <c r="V279" s="34">
        <f t="shared" ca="1" si="525"/>
        <v>0</v>
      </c>
      <c r="W279" s="34">
        <f t="shared" ca="1" si="525"/>
        <v>0</v>
      </c>
      <c r="X279" s="34">
        <f t="shared" ca="1" si="525"/>
        <v>0</v>
      </c>
      <c r="Y279" s="34">
        <f t="shared" ca="1" si="525"/>
        <v>0</v>
      </c>
      <c r="Z279" s="34">
        <f t="shared" ca="1" si="525"/>
        <v>0</v>
      </c>
    </row>
    <row r="280" spans="2:26">
      <c r="B280" s="41" t="s">
        <v>476</v>
      </c>
      <c r="F280" s="34">
        <f ca="1">-F272+F262-F227+F217-F158+F147+F220+F150+F265</f>
        <v>0</v>
      </c>
      <c r="G280" s="34">
        <f t="shared" ref="G280:Z280" ca="1" si="526">-G272+G262-G227+G217-G158+G147+G220+G150+G265</f>
        <v>0</v>
      </c>
      <c r="H280" s="34">
        <f t="shared" ca="1" si="526"/>
        <v>0</v>
      </c>
      <c r="I280" s="34">
        <f t="shared" ca="1" si="526"/>
        <v>27534426.844617717</v>
      </c>
      <c r="J280" s="34">
        <f t="shared" ca="1" si="526"/>
        <v>24354103.410436079</v>
      </c>
      <c r="K280" s="34">
        <f t="shared" ca="1" si="526"/>
        <v>24354103.410436079</v>
      </c>
      <c r="L280" s="34">
        <f t="shared" ca="1" si="526"/>
        <v>24354103.410436079</v>
      </c>
      <c r="M280" s="34">
        <f t="shared" ca="1" si="526"/>
        <v>24354103.410436079</v>
      </c>
      <c r="N280" s="34">
        <f t="shared" ca="1" si="526"/>
        <v>24354103.410436079</v>
      </c>
      <c r="O280" s="34">
        <f t="shared" ca="1" si="526"/>
        <v>24354103.410436075</v>
      </c>
      <c r="P280" s="34">
        <f t="shared" ca="1" si="526"/>
        <v>305283450.29792583</v>
      </c>
      <c r="Q280" s="34">
        <f t="shared" ca="1" si="526"/>
        <v>24354103.410436079</v>
      </c>
      <c r="R280" s="34">
        <f t="shared" ca="1" si="526"/>
        <v>24354103.410436075</v>
      </c>
      <c r="S280" s="34">
        <f t="shared" ca="1" si="526"/>
        <v>24354103.410436079</v>
      </c>
      <c r="T280" s="34">
        <f t="shared" ca="1" si="526"/>
        <v>24354103.410436075</v>
      </c>
      <c r="U280" s="34">
        <f t="shared" ca="1" si="526"/>
        <v>24354103.410436079</v>
      </c>
      <c r="V280" s="34">
        <f t="shared" ca="1" si="526"/>
        <v>24354103.410436079</v>
      </c>
      <c r="W280" s="34">
        <f t="shared" ca="1" si="526"/>
        <v>24354103.410436079</v>
      </c>
      <c r="X280" s="34">
        <f t="shared" ca="1" si="526"/>
        <v>24354103.410436075</v>
      </c>
      <c r="Y280" s="34">
        <f t="shared" ca="1" si="526"/>
        <v>24354103.410436071</v>
      </c>
      <c r="Z280" s="34">
        <f t="shared" ca="1" si="526"/>
        <v>24354103.410436079</v>
      </c>
    </row>
    <row r="282" spans="2:26" ht="15.5">
      <c r="B282" s="37" t="s">
        <v>328</v>
      </c>
      <c r="C282" s="38"/>
      <c r="D282" s="38"/>
      <c r="E282" s="38"/>
      <c r="F282" s="136"/>
      <c r="G282" s="136"/>
      <c r="H282" s="136"/>
      <c r="I282" s="136"/>
      <c r="J282" s="136"/>
      <c r="K282" s="136"/>
      <c r="L282" s="136"/>
      <c r="M282" s="136"/>
      <c r="N282" s="136"/>
      <c r="O282" s="136"/>
      <c r="P282" s="136"/>
      <c r="Q282" s="136"/>
      <c r="R282" s="136"/>
      <c r="S282" s="136"/>
      <c r="T282" s="136"/>
      <c r="U282" s="136"/>
      <c r="V282" s="136"/>
      <c r="W282" s="136"/>
      <c r="X282" s="136"/>
      <c r="Y282" s="136"/>
      <c r="Z282" s="136"/>
    </row>
    <row r="284" spans="2:26" ht="15.5">
      <c r="B284" s="148" t="s">
        <v>327</v>
      </c>
      <c r="F284" s="150">
        <f>+Assumptions!$F$22</f>
        <v>44561</v>
      </c>
      <c r="G284" s="150">
        <f>+EOMONTH(F284,12)</f>
        <v>44926</v>
      </c>
      <c r="H284" s="150">
        <f t="shared" ref="H284" si="527">+EOMONTH(G284,12)</f>
        <v>45291</v>
      </c>
      <c r="I284" s="150">
        <f t="shared" ref="I284" si="528">+EOMONTH(H284,12)</f>
        <v>45657</v>
      </c>
      <c r="J284" s="150">
        <f t="shared" ref="J284" si="529">+EOMONTH(I284,12)</f>
        <v>46022</v>
      </c>
      <c r="K284" s="150">
        <f t="shared" ref="K284" si="530">+EOMONTH(J284,12)</f>
        <v>46387</v>
      </c>
      <c r="L284" s="150">
        <f t="shared" ref="L284" si="531">+EOMONTH(K284,12)</f>
        <v>46752</v>
      </c>
      <c r="M284" s="150">
        <f t="shared" ref="M284" si="532">+EOMONTH(L284,12)</f>
        <v>47118</v>
      </c>
      <c r="N284" s="150">
        <f t="shared" ref="N284" si="533">+EOMONTH(M284,12)</f>
        <v>47483</v>
      </c>
      <c r="O284" s="150">
        <f t="shared" ref="O284" si="534">+EOMONTH(N284,12)</f>
        <v>47848</v>
      </c>
      <c r="P284" s="150">
        <f t="shared" ref="P284" si="535">+EOMONTH(O284,12)</f>
        <v>48213</v>
      </c>
      <c r="Q284" s="150">
        <f t="shared" ref="Q284" si="536">+EOMONTH(P284,12)</f>
        <v>48579</v>
      </c>
      <c r="R284" s="150">
        <f t="shared" ref="R284" si="537">+EOMONTH(Q284,12)</f>
        <v>48944</v>
      </c>
      <c r="S284" s="150">
        <f t="shared" ref="S284" si="538">+EOMONTH(R284,12)</f>
        <v>49309</v>
      </c>
      <c r="T284" s="150">
        <f t="shared" ref="T284" si="539">+EOMONTH(S284,12)</f>
        <v>49674</v>
      </c>
      <c r="U284" s="150">
        <f t="shared" ref="U284" si="540">+EOMONTH(T284,12)</f>
        <v>50040</v>
      </c>
      <c r="V284" s="150">
        <f t="shared" ref="V284" si="541">+EOMONTH(U284,12)</f>
        <v>50405</v>
      </c>
      <c r="W284" s="150">
        <f t="shared" ref="W284" si="542">+EOMONTH(V284,12)</f>
        <v>50770</v>
      </c>
      <c r="X284" s="150">
        <f t="shared" ref="X284" si="543">+EOMONTH(W284,12)</f>
        <v>51135</v>
      </c>
      <c r="Y284" s="150">
        <f t="shared" ref="Y284" si="544">+EOMONTH(X284,12)</f>
        <v>51501</v>
      </c>
      <c r="Z284" s="150">
        <f t="shared" ref="Z284" si="545">+EOMONTH(Y284,12)</f>
        <v>51866</v>
      </c>
    </row>
    <row r="285" spans="2:26" ht="15.5">
      <c r="B285" s="33" t="s">
        <v>60</v>
      </c>
      <c r="D285" s="48">
        <f>+SUM(F285:Z285)</f>
        <v>23250525.361561798</v>
      </c>
      <c r="E285" s="48"/>
      <c r="F285" s="34">
        <f>+IF(AND(F$284&gt;=Assumptions!$F$22,F$284&lt;Assumptions!$F$24),'S&amp;U'!$H7/ROUNDUP(Assumptions!$F$23/12,0),IF(AND(F$284&gt;=Assumptions!$F$24,F$284&lt;Assumptions!$F$26),'S&amp;U'!$H39/ROUNDUP(Assumptions!$F$25/12,0),0))</f>
        <v>23250525.361561798</v>
      </c>
      <c r="G285" s="34">
        <f>+IF(AND(G$284&gt;=Assumptions!$F$22,G$284&lt;Assumptions!$F$24),'S&amp;U'!$H7/ROUNDUP(Assumptions!$F$23/12,0),IF(AND(G$284&gt;=Assumptions!$F$24,G$284&lt;Assumptions!$F$26),'S&amp;U'!$H39/ROUNDUP(Assumptions!$F$25/12,0),0))</f>
        <v>0</v>
      </c>
      <c r="H285" s="34">
        <f>+IF(AND(H$284&gt;=Assumptions!$F$22,H$284&lt;Assumptions!$F$24),'S&amp;U'!$H7/ROUNDUP(Assumptions!$F$23/12,0),IF(AND(H$284&gt;=Assumptions!$F$24,H$284&lt;Assumptions!$F$26),'S&amp;U'!$H39/ROUNDUP(Assumptions!$F$25/12,0),0))</f>
        <v>0</v>
      </c>
      <c r="I285" s="34">
        <f>+IF(AND(I$284&gt;=Assumptions!$F$22,I$284&lt;Assumptions!$F$24),'S&amp;U'!$H7/ROUNDUP(Assumptions!$F$23/12,0),IF(AND(I$284&gt;=Assumptions!$F$24,I$284&lt;Assumptions!$F$26),'S&amp;U'!$H39/ROUNDUP(Assumptions!$F$25/12,0),0))</f>
        <v>0</v>
      </c>
      <c r="J285" s="34">
        <f>+IF(AND(J$284&gt;=Assumptions!$F$22,J$284&lt;Assumptions!$F$24),'S&amp;U'!$H7/ROUNDUP(Assumptions!$F$23/12,0),IF(AND(J$284&gt;=Assumptions!$F$24,J$284&lt;Assumptions!$F$26),'S&amp;U'!$H39/ROUNDUP(Assumptions!$F$25/12,0),0))</f>
        <v>0</v>
      </c>
      <c r="K285" s="34">
        <f>+IF(AND(K$284&gt;=Assumptions!$F$22,K$284&lt;Assumptions!$F$24),'S&amp;U'!$H7/ROUNDUP(Assumptions!$F$23/12,0),IF(AND(K$284&gt;=Assumptions!$F$24,K$284&lt;Assumptions!$F$26),'S&amp;U'!$H39/ROUNDUP(Assumptions!$F$25/12,0),0))</f>
        <v>0</v>
      </c>
      <c r="L285" s="34">
        <f>+IF(AND(L$284&gt;=Assumptions!$F$22,L$284&lt;Assumptions!$F$24),'S&amp;U'!$H7/ROUNDUP(Assumptions!$F$23/12,0),IF(AND(L$284&gt;=Assumptions!$F$24,L$284&lt;Assumptions!$F$26),'S&amp;U'!$H39/ROUNDUP(Assumptions!$F$25/12,0),0))</f>
        <v>0</v>
      </c>
      <c r="M285" s="34">
        <f>+IF(AND(M$284&gt;=Assumptions!$F$22,M$284&lt;Assumptions!$F$24),'S&amp;U'!$H7/ROUNDUP(Assumptions!$F$23/12,0),IF(AND(M$284&gt;=Assumptions!$F$24,M$284&lt;Assumptions!$F$26),'S&amp;U'!$H39/ROUNDUP(Assumptions!$F$25/12,0),0))</f>
        <v>0</v>
      </c>
      <c r="N285" s="34">
        <f>+IF(AND(N$284&gt;=Assumptions!$F$22,N$284&lt;Assumptions!$F$24),'S&amp;U'!$H7/ROUNDUP(Assumptions!$F$23/12,0),IF(AND(N$284&gt;=Assumptions!$F$24,N$284&lt;Assumptions!$F$26),'S&amp;U'!$H39/ROUNDUP(Assumptions!$F$25/12,0),0))</f>
        <v>0</v>
      </c>
      <c r="O285" s="34">
        <f>+IF(AND(O$284&gt;=Assumptions!$F$22,O$284&lt;Assumptions!$F$24),'S&amp;U'!$H7/ROUNDUP(Assumptions!$F$23/12,0),IF(AND(O$284&gt;=Assumptions!$F$24,O$284&lt;Assumptions!$F$26),'S&amp;U'!$H39/ROUNDUP(Assumptions!$F$25/12,0),0))</f>
        <v>0</v>
      </c>
      <c r="P285" s="34">
        <f>+IF(AND(P$284&gt;=Assumptions!$F$22,P$284&lt;Assumptions!$F$24),'S&amp;U'!$H7/ROUNDUP(Assumptions!$F$23/12,0),IF(AND(P$284&gt;=Assumptions!$F$24,P$284&lt;Assumptions!$F$26),'S&amp;U'!$H39/ROUNDUP(Assumptions!$F$25/12,0),0))</f>
        <v>0</v>
      </c>
      <c r="Q285" s="34">
        <f>+IF(AND(Q$284&gt;=Assumptions!$F$22,Q$284&lt;Assumptions!$F$24),'S&amp;U'!$H7/ROUNDUP(Assumptions!$F$23/12,0),IF(AND(Q$284&gt;=Assumptions!$F$24,Q$284&lt;Assumptions!$F$26),'S&amp;U'!$H39/ROUNDUP(Assumptions!$F$25/12,0),0))</f>
        <v>0</v>
      </c>
      <c r="R285" s="34">
        <f>+IF(AND(R$284&gt;=Assumptions!$F$22,R$284&lt;Assumptions!$F$24),'S&amp;U'!$H7/ROUNDUP(Assumptions!$F$23/12,0),IF(AND(R$284&gt;=Assumptions!$F$24,R$284&lt;Assumptions!$F$26),'S&amp;U'!$H39/ROUNDUP(Assumptions!$F$25/12,0),0))</f>
        <v>0</v>
      </c>
      <c r="S285" s="34">
        <f>+IF(AND(S$284&gt;=Assumptions!$F$22,S$284&lt;Assumptions!$F$24),'S&amp;U'!$H7/ROUNDUP(Assumptions!$F$23/12,0),IF(AND(S$284&gt;=Assumptions!$F$24,S$284&lt;Assumptions!$F$26),'S&amp;U'!$H39/ROUNDUP(Assumptions!$F$25/12,0),0))</f>
        <v>0</v>
      </c>
      <c r="T285" s="34">
        <f>+IF(AND(T$284&gt;=Assumptions!$F$22,T$284&lt;Assumptions!$F$24),'S&amp;U'!$H7/ROUNDUP(Assumptions!$F$23/12,0),IF(AND(T$284&gt;=Assumptions!$F$24,T$284&lt;Assumptions!$F$26),'S&amp;U'!$H39/ROUNDUP(Assumptions!$F$25/12,0),0))</f>
        <v>0</v>
      </c>
      <c r="U285" s="34">
        <f>+IF(AND(U$284&gt;=Assumptions!$F$22,U$284&lt;Assumptions!$F$24),'S&amp;U'!$H7/ROUNDUP(Assumptions!$F$23/12,0),IF(AND(U$284&gt;=Assumptions!$F$24,U$284&lt;Assumptions!$F$26),'S&amp;U'!$H39/ROUNDUP(Assumptions!$F$25/12,0),0))</f>
        <v>0</v>
      </c>
      <c r="V285" s="34">
        <f>+IF(AND(V$284&gt;=Assumptions!$F$22,V$284&lt;Assumptions!$F$24),'S&amp;U'!$H7/ROUNDUP(Assumptions!$F$23/12,0),IF(AND(V$284&gt;=Assumptions!$F$24,V$284&lt;Assumptions!$F$26),'S&amp;U'!$H39/ROUNDUP(Assumptions!$F$25/12,0),0))</f>
        <v>0</v>
      </c>
      <c r="W285" s="34">
        <f>+IF(AND(W$284&gt;=Assumptions!$F$22,W$284&lt;Assumptions!$F$24),'S&amp;U'!$H7/ROUNDUP(Assumptions!$F$23/12,0),IF(AND(W$284&gt;=Assumptions!$F$24,W$284&lt;Assumptions!$F$26),'S&amp;U'!$H39/ROUNDUP(Assumptions!$F$25/12,0),0))</f>
        <v>0</v>
      </c>
      <c r="X285" s="34">
        <f>+IF(AND(X$284&gt;=Assumptions!$F$22,X$284&lt;Assumptions!$F$24),'S&amp;U'!$H7/ROUNDUP(Assumptions!$F$23/12,0),IF(AND(X$284&gt;=Assumptions!$F$24,X$284&lt;Assumptions!$F$26),'S&amp;U'!$H39/ROUNDUP(Assumptions!$F$25/12,0),0))</f>
        <v>0</v>
      </c>
      <c r="Y285" s="34">
        <f>+IF(AND(Y$284&gt;=Assumptions!$F$22,Y$284&lt;Assumptions!$F$24),'S&amp;U'!$H7/ROUNDUP(Assumptions!$F$23/12,0),IF(AND(Y$284&gt;=Assumptions!$F$24,Y$284&lt;Assumptions!$F$26),'S&amp;U'!$H39/ROUNDUP(Assumptions!$F$25/12,0),0))</f>
        <v>0</v>
      </c>
      <c r="Z285" s="34">
        <f>+IF(AND(Z$284&gt;=Assumptions!$F$22,Z$284&lt;Assumptions!$F$24),'S&amp;U'!$H7/ROUNDUP(Assumptions!$F$23/12,0),IF(AND(Z$284&gt;=Assumptions!$F$24,Z$284&lt;Assumptions!$F$26),'S&amp;U'!$H39/ROUNDUP(Assumptions!$F$25/12,0),0))</f>
        <v>0</v>
      </c>
    </row>
    <row r="286" spans="2:26" ht="15.5">
      <c r="B286" s="33" t="s">
        <v>8</v>
      </c>
      <c r="D286" s="48">
        <f t="shared" ref="D286:D291" si="546">+SUM(F286:Z286)</f>
        <v>25343149.042553194</v>
      </c>
      <c r="E286" s="48"/>
      <c r="F286" s="151">
        <f>+IF(AND(F$284&gt;=Assumptions!$F$22,F$284&lt;Assumptions!$F$24),'S&amp;U'!$H8/ROUNDUP(Assumptions!$F$23/12,0),IF(AND(F$284&gt;=Assumptions!$F$24,F$284&lt;Assumptions!$F$26),'S&amp;U'!$H40/ROUNDUP(Assumptions!$F$25/12,0),0))</f>
        <v>25343149.042553194</v>
      </c>
      <c r="G286" s="151">
        <f>+IF(AND(G$284&gt;=Assumptions!$F$22,G$284&lt;Assumptions!$F$24),'S&amp;U'!$H8/ROUNDUP(Assumptions!$F$23/12,0),IF(AND(G$284&gt;=Assumptions!$F$24,G$284&lt;Assumptions!$F$26),'S&amp;U'!$H40/ROUNDUP(Assumptions!$F$25/12,0),0))</f>
        <v>0</v>
      </c>
      <c r="H286" s="151">
        <f>+IF(AND(H$284&gt;=Assumptions!$F$22,H$284&lt;Assumptions!$F$24),'S&amp;U'!$H8/ROUNDUP(Assumptions!$F$23/12,0),IF(AND(H$284&gt;=Assumptions!$F$24,H$284&lt;Assumptions!$F$26),'S&amp;U'!$H40/ROUNDUP(Assumptions!$F$25/12,0),0))</f>
        <v>0</v>
      </c>
      <c r="I286" s="151">
        <f>+IF(AND(I$284&gt;=Assumptions!$F$22,I$284&lt;Assumptions!$F$24),'S&amp;U'!$H8/ROUNDUP(Assumptions!$F$23/12,0),IF(AND(I$284&gt;=Assumptions!$F$24,I$284&lt;Assumptions!$F$26),'S&amp;U'!$H40/ROUNDUP(Assumptions!$F$25/12,0),0))</f>
        <v>0</v>
      </c>
      <c r="J286" s="151">
        <f>+IF(AND(J$284&gt;=Assumptions!$F$22,J$284&lt;Assumptions!$F$24),'S&amp;U'!$H8/ROUNDUP(Assumptions!$F$23/12,0),IF(AND(J$284&gt;=Assumptions!$F$24,J$284&lt;Assumptions!$F$26),'S&amp;U'!$H40/ROUNDUP(Assumptions!$F$25/12,0),0))</f>
        <v>0</v>
      </c>
      <c r="K286" s="151">
        <f>+IF(AND(K$284&gt;=Assumptions!$F$22,K$284&lt;Assumptions!$F$24),'S&amp;U'!$H8/ROUNDUP(Assumptions!$F$23/12,0),IF(AND(K$284&gt;=Assumptions!$F$24,K$284&lt;Assumptions!$F$26),'S&amp;U'!$H40/ROUNDUP(Assumptions!$F$25/12,0),0))</f>
        <v>0</v>
      </c>
      <c r="L286" s="151">
        <f>+IF(AND(L$284&gt;=Assumptions!$F$22,L$284&lt;Assumptions!$F$24),'S&amp;U'!$H8/ROUNDUP(Assumptions!$F$23/12,0),IF(AND(L$284&gt;=Assumptions!$F$24,L$284&lt;Assumptions!$F$26),'S&amp;U'!$H40/ROUNDUP(Assumptions!$F$25/12,0),0))</f>
        <v>0</v>
      </c>
      <c r="M286" s="151">
        <f>+IF(AND(M$284&gt;=Assumptions!$F$22,M$284&lt;Assumptions!$F$24),'S&amp;U'!$H8/ROUNDUP(Assumptions!$F$23/12,0),IF(AND(M$284&gt;=Assumptions!$F$24,M$284&lt;Assumptions!$F$26),'S&amp;U'!$H40/ROUNDUP(Assumptions!$F$25/12,0),0))</f>
        <v>0</v>
      </c>
      <c r="N286" s="151">
        <f>+IF(AND(N$284&gt;=Assumptions!$F$22,N$284&lt;Assumptions!$F$24),'S&amp;U'!$H8/ROUNDUP(Assumptions!$F$23/12,0),IF(AND(N$284&gt;=Assumptions!$F$24,N$284&lt;Assumptions!$F$26),'S&amp;U'!$H40/ROUNDUP(Assumptions!$F$25/12,0),0))</f>
        <v>0</v>
      </c>
      <c r="O286" s="151">
        <f>+IF(AND(O$284&gt;=Assumptions!$F$22,O$284&lt;Assumptions!$F$24),'S&amp;U'!$H8/ROUNDUP(Assumptions!$F$23/12,0),IF(AND(O$284&gt;=Assumptions!$F$24,O$284&lt;Assumptions!$F$26),'S&amp;U'!$H40/ROUNDUP(Assumptions!$F$25/12,0),0))</f>
        <v>0</v>
      </c>
      <c r="P286" s="151">
        <f>+IF(AND(P$284&gt;=Assumptions!$F$22,P$284&lt;Assumptions!$F$24),'S&amp;U'!$H8/ROUNDUP(Assumptions!$F$23/12,0),IF(AND(P$284&gt;=Assumptions!$F$24,P$284&lt;Assumptions!$F$26),'S&amp;U'!$H40/ROUNDUP(Assumptions!$F$25/12,0),0))</f>
        <v>0</v>
      </c>
      <c r="Q286" s="151">
        <f>+IF(AND(Q$284&gt;=Assumptions!$F$22,Q$284&lt;Assumptions!$F$24),'S&amp;U'!$H8/ROUNDUP(Assumptions!$F$23/12,0),IF(AND(Q$284&gt;=Assumptions!$F$24,Q$284&lt;Assumptions!$F$26),'S&amp;U'!$H40/ROUNDUP(Assumptions!$F$25/12,0),0))</f>
        <v>0</v>
      </c>
      <c r="R286" s="151">
        <f>+IF(AND(R$284&gt;=Assumptions!$F$22,R$284&lt;Assumptions!$F$24),'S&amp;U'!$H8/ROUNDUP(Assumptions!$F$23/12,0),IF(AND(R$284&gt;=Assumptions!$F$24,R$284&lt;Assumptions!$F$26),'S&amp;U'!$H40/ROUNDUP(Assumptions!$F$25/12,0),0))</f>
        <v>0</v>
      </c>
      <c r="S286" s="151">
        <f>+IF(AND(S$284&gt;=Assumptions!$F$22,S$284&lt;Assumptions!$F$24),'S&amp;U'!$H8/ROUNDUP(Assumptions!$F$23/12,0),IF(AND(S$284&gt;=Assumptions!$F$24,S$284&lt;Assumptions!$F$26),'S&amp;U'!$H40/ROUNDUP(Assumptions!$F$25/12,0),0))</f>
        <v>0</v>
      </c>
      <c r="T286" s="151">
        <f>+IF(AND(T$284&gt;=Assumptions!$F$22,T$284&lt;Assumptions!$F$24),'S&amp;U'!$H8/ROUNDUP(Assumptions!$F$23/12,0),IF(AND(T$284&gt;=Assumptions!$F$24,T$284&lt;Assumptions!$F$26),'S&amp;U'!$H40/ROUNDUP(Assumptions!$F$25/12,0),0))</f>
        <v>0</v>
      </c>
      <c r="U286" s="151">
        <f>+IF(AND(U$284&gt;=Assumptions!$F$22,U$284&lt;Assumptions!$F$24),'S&amp;U'!$H8/ROUNDUP(Assumptions!$F$23/12,0),IF(AND(U$284&gt;=Assumptions!$F$24,U$284&lt;Assumptions!$F$26),'S&amp;U'!$H40/ROUNDUP(Assumptions!$F$25/12,0),0))</f>
        <v>0</v>
      </c>
      <c r="V286" s="151">
        <f>+IF(AND(V$284&gt;=Assumptions!$F$22,V$284&lt;Assumptions!$F$24),'S&amp;U'!$H8/ROUNDUP(Assumptions!$F$23/12,0),IF(AND(V$284&gt;=Assumptions!$F$24,V$284&lt;Assumptions!$F$26),'S&amp;U'!$H40/ROUNDUP(Assumptions!$F$25/12,0),0))</f>
        <v>0</v>
      </c>
      <c r="W286" s="151">
        <f>+IF(AND(W$284&gt;=Assumptions!$F$22,W$284&lt;Assumptions!$F$24),'S&amp;U'!$H8/ROUNDUP(Assumptions!$F$23/12,0),IF(AND(W$284&gt;=Assumptions!$F$24,W$284&lt;Assumptions!$F$26),'S&amp;U'!$H40/ROUNDUP(Assumptions!$F$25/12,0),0))</f>
        <v>0</v>
      </c>
      <c r="X286" s="151">
        <f>+IF(AND(X$284&gt;=Assumptions!$F$22,X$284&lt;Assumptions!$F$24),'S&amp;U'!$H8/ROUNDUP(Assumptions!$F$23/12,0),IF(AND(X$284&gt;=Assumptions!$F$24,X$284&lt;Assumptions!$F$26),'S&amp;U'!$H40/ROUNDUP(Assumptions!$F$25/12,0),0))</f>
        <v>0</v>
      </c>
      <c r="Y286" s="151">
        <f>+IF(AND(Y$284&gt;=Assumptions!$F$22,Y$284&lt;Assumptions!$F$24),'S&amp;U'!$H8/ROUNDUP(Assumptions!$F$23/12,0),IF(AND(Y$284&gt;=Assumptions!$F$24,Y$284&lt;Assumptions!$F$26),'S&amp;U'!$H40/ROUNDUP(Assumptions!$F$25/12,0),0))</f>
        <v>0</v>
      </c>
      <c r="Z286" s="151">
        <f>+IF(AND(Z$284&gt;=Assumptions!$F$22,Z$284&lt;Assumptions!$F$24),'S&amp;U'!$H8/ROUNDUP(Assumptions!$F$23/12,0),IF(AND(Z$284&gt;=Assumptions!$F$24,Z$284&lt;Assumptions!$F$26),'S&amp;U'!$H40/ROUNDUP(Assumptions!$F$25/12,0),0))</f>
        <v>0</v>
      </c>
    </row>
    <row r="287" spans="2:26" ht="15.5">
      <c r="B287" s="33" t="s">
        <v>56</v>
      </c>
      <c r="D287" s="48">
        <f t="shared" si="546"/>
        <v>306778604.85938877</v>
      </c>
      <c r="E287" s="48"/>
      <c r="F287" s="151">
        <f>+IF(AND(F$284&gt;=Assumptions!$F$22,F$284&lt;Assumptions!$F$24),'S&amp;U'!$H9/ROUNDUP(Assumptions!$F$23/12,0),IF(AND(F$284&gt;=Assumptions!$F$24,F$284&lt;Assumptions!$F$26),'S&amp;U'!$H41/ROUNDUP(Assumptions!$F$25/12,0),0))</f>
        <v>80000</v>
      </c>
      <c r="G287" s="151">
        <f>+IF(AND(G$284&gt;=Assumptions!$F$22,G$284&lt;Assumptions!$F$24),'S&amp;U'!$H9/ROUNDUP(Assumptions!$F$23/12,0),IF(AND(G$284&gt;=Assumptions!$F$24,G$284&lt;Assumptions!$F$26),'S&amp;U'!$H41/ROUNDUP(Assumptions!$F$25/12,0),0))</f>
        <v>153349302.42969438</v>
      </c>
      <c r="H287" s="151">
        <f>+IF(AND(H$284&gt;=Assumptions!$F$22,H$284&lt;Assumptions!$F$24),'S&amp;U'!$H9/ROUNDUP(Assumptions!$F$23/12,0),IF(AND(H$284&gt;=Assumptions!$F$24,H$284&lt;Assumptions!$F$26),'S&amp;U'!$H41/ROUNDUP(Assumptions!$F$25/12,0),0))</f>
        <v>153349302.42969438</v>
      </c>
      <c r="I287" s="151">
        <f>+IF(AND(I$284&gt;=Assumptions!$F$22,I$284&lt;Assumptions!$F$24),'S&amp;U'!$H9/ROUNDUP(Assumptions!$F$23/12,0),IF(AND(I$284&gt;=Assumptions!$F$24,I$284&lt;Assumptions!$F$26),'S&amp;U'!$H41/ROUNDUP(Assumptions!$F$25/12,0),0))</f>
        <v>0</v>
      </c>
      <c r="J287" s="151">
        <f>+IF(AND(J$284&gt;=Assumptions!$F$22,J$284&lt;Assumptions!$F$24),'S&amp;U'!$H9/ROUNDUP(Assumptions!$F$23/12,0),IF(AND(J$284&gt;=Assumptions!$F$24,J$284&lt;Assumptions!$F$26),'S&amp;U'!$H41/ROUNDUP(Assumptions!$F$25/12,0),0))</f>
        <v>0</v>
      </c>
      <c r="K287" s="151">
        <f>+IF(AND(K$284&gt;=Assumptions!$F$22,K$284&lt;Assumptions!$F$24),'S&amp;U'!$H9/ROUNDUP(Assumptions!$F$23/12,0),IF(AND(K$284&gt;=Assumptions!$F$24,K$284&lt;Assumptions!$F$26),'S&amp;U'!$H41/ROUNDUP(Assumptions!$F$25/12,0),0))</f>
        <v>0</v>
      </c>
      <c r="L287" s="151">
        <f>+IF(AND(L$284&gt;=Assumptions!$F$22,L$284&lt;Assumptions!$F$24),'S&amp;U'!$H9/ROUNDUP(Assumptions!$F$23/12,0),IF(AND(L$284&gt;=Assumptions!$F$24,L$284&lt;Assumptions!$F$26),'S&amp;U'!$H41/ROUNDUP(Assumptions!$F$25/12,0),0))</f>
        <v>0</v>
      </c>
      <c r="M287" s="151">
        <f>+IF(AND(M$284&gt;=Assumptions!$F$22,M$284&lt;Assumptions!$F$24),'S&amp;U'!$H9/ROUNDUP(Assumptions!$F$23/12,0),IF(AND(M$284&gt;=Assumptions!$F$24,M$284&lt;Assumptions!$F$26),'S&amp;U'!$H41/ROUNDUP(Assumptions!$F$25/12,0),0))</f>
        <v>0</v>
      </c>
      <c r="N287" s="151">
        <f>+IF(AND(N$284&gt;=Assumptions!$F$22,N$284&lt;Assumptions!$F$24),'S&amp;U'!$H9/ROUNDUP(Assumptions!$F$23/12,0),IF(AND(N$284&gt;=Assumptions!$F$24,N$284&lt;Assumptions!$F$26),'S&amp;U'!$H41/ROUNDUP(Assumptions!$F$25/12,0),0))</f>
        <v>0</v>
      </c>
      <c r="O287" s="151">
        <f>+IF(AND(O$284&gt;=Assumptions!$F$22,O$284&lt;Assumptions!$F$24),'S&amp;U'!$H9/ROUNDUP(Assumptions!$F$23/12,0),IF(AND(O$284&gt;=Assumptions!$F$24,O$284&lt;Assumptions!$F$26),'S&amp;U'!$H41/ROUNDUP(Assumptions!$F$25/12,0),0))</f>
        <v>0</v>
      </c>
      <c r="P287" s="151">
        <f>+IF(AND(P$284&gt;=Assumptions!$F$22,P$284&lt;Assumptions!$F$24),'S&amp;U'!$H9/ROUNDUP(Assumptions!$F$23/12,0),IF(AND(P$284&gt;=Assumptions!$F$24,P$284&lt;Assumptions!$F$26),'S&amp;U'!$H41/ROUNDUP(Assumptions!$F$25/12,0),0))</f>
        <v>0</v>
      </c>
      <c r="Q287" s="151">
        <f>+IF(AND(Q$284&gt;=Assumptions!$F$22,Q$284&lt;Assumptions!$F$24),'S&amp;U'!$H9/ROUNDUP(Assumptions!$F$23/12,0),IF(AND(Q$284&gt;=Assumptions!$F$24,Q$284&lt;Assumptions!$F$26),'S&amp;U'!$H41/ROUNDUP(Assumptions!$F$25/12,0),0))</f>
        <v>0</v>
      </c>
      <c r="R287" s="151">
        <f>+IF(AND(R$284&gt;=Assumptions!$F$22,R$284&lt;Assumptions!$F$24),'S&amp;U'!$H9/ROUNDUP(Assumptions!$F$23/12,0),IF(AND(R$284&gt;=Assumptions!$F$24,R$284&lt;Assumptions!$F$26),'S&amp;U'!$H41/ROUNDUP(Assumptions!$F$25/12,0),0))</f>
        <v>0</v>
      </c>
      <c r="S287" s="151">
        <f>+IF(AND(S$284&gt;=Assumptions!$F$22,S$284&lt;Assumptions!$F$24),'S&amp;U'!$H9/ROUNDUP(Assumptions!$F$23/12,0),IF(AND(S$284&gt;=Assumptions!$F$24,S$284&lt;Assumptions!$F$26),'S&amp;U'!$H41/ROUNDUP(Assumptions!$F$25/12,0),0))</f>
        <v>0</v>
      </c>
      <c r="T287" s="151">
        <f>+IF(AND(T$284&gt;=Assumptions!$F$22,T$284&lt;Assumptions!$F$24),'S&amp;U'!$H9/ROUNDUP(Assumptions!$F$23/12,0),IF(AND(T$284&gt;=Assumptions!$F$24,T$284&lt;Assumptions!$F$26),'S&amp;U'!$H41/ROUNDUP(Assumptions!$F$25/12,0),0))</f>
        <v>0</v>
      </c>
      <c r="U287" s="151">
        <f>+IF(AND(U$284&gt;=Assumptions!$F$22,U$284&lt;Assumptions!$F$24),'S&amp;U'!$H9/ROUNDUP(Assumptions!$F$23/12,0),IF(AND(U$284&gt;=Assumptions!$F$24,U$284&lt;Assumptions!$F$26),'S&amp;U'!$H41/ROUNDUP(Assumptions!$F$25/12,0),0))</f>
        <v>0</v>
      </c>
      <c r="V287" s="151">
        <f>+IF(AND(V$284&gt;=Assumptions!$F$22,V$284&lt;Assumptions!$F$24),'S&amp;U'!$H9/ROUNDUP(Assumptions!$F$23/12,0),IF(AND(V$284&gt;=Assumptions!$F$24,V$284&lt;Assumptions!$F$26),'S&amp;U'!$H41/ROUNDUP(Assumptions!$F$25/12,0),0))</f>
        <v>0</v>
      </c>
      <c r="W287" s="151">
        <f>+IF(AND(W$284&gt;=Assumptions!$F$22,W$284&lt;Assumptions!$F$24),'S&amp;U'!$H9/ROUNDUP(Assumptions!$F$23/12,0),IF(AND(W$284&gt;=Assumptions!$F$24,W$284&lt;Assumptions!$F$26),'S&amp;U'!$H41/ROUNDUP(Assumptions!$F$25/12,0),0))</f>
        <v>0</v>
      </c>
      <c r="X287" s="151">
        <f>+IF(AND(X$284&gt;=Assumptions!$F$22,X$284&lt;Assumptions!$F$24),'S&amp;U'!$H9/ROUNDUP(Assumptions!$F$23/12,0),IF(AND(X$284&gt;=Assumptions!$F$24,X$284&lt;Assumptions!$F$26),'S&amp;U'!$H41/ROUNDUP(Assumptions!$F$25/12,0),0))</f>
        <v>0</v>
      </c>
      <c r="Y287" s="151">
        <f>+IF(AND(Y$284&gt;=Assumptions!$F$22,Y$284&lt;Assumptions!$F$24),'S&amp;U'!$H9/ROUNDUP(Assumptions!$F$23/12,0),IF(AND(Y$284&gt;=Assumptions!$F$24,Y$284&lt;Assumptions!$F$26),'S&amp;U'!$H41/ROUNDUP(Assumptions!$F$25/12,0),0))</f>
        <v>0</v>
      </c>
      <c r="Z287" s="151">
        <f>+IF(AND(Z$284&gt;=Assumptions!$F$22,Z$284&lt;Assumptions!$F$24),'S&amp;U'!$H9/ROUNDUP(Assumptions!$F$23/12,0),IF(AND(Z$284&gt;=Assumptions!$F$24,Z$284&lt;Assumptions!$F$26),'S&amp;U'!$H41/ROUNDUP(Assumptions!$F$25/12,0),0))</f>
        <v>0</v>
      </c>
    </row>
    <row r="288" spans="2:26" ht="15.5">
      <c r="B288" s="33" t="s">
        <v>57</v>
      </c>
      <c r="D288" s="48">
        <f t="shared" si="546"/>
        <v>25818999.375817623</v>
      </c>
      <c r="E288" s="48"/>
      <c r="F288" s="151">
        <f>+IF(AND(F$284&gt;=Assumptions!$F$22,F$284&lt;Assumptions!$F$24),'S&amp;U'!$H10/ROUNDUP(Assumptions!$F$23/12,0),IF(AND(F$284&gt;=Assumptions!$F$24,F$284&lt;Assumptions!$F$26),'S&amp;U'!$H42/ROUNDUP(Assumptions!$F$25/12,0),0))</f>
        <v>13861260.518399568</v>
      </c>
      <c r="G288" s="151">
        <f>+IF(AND(G$284&gt;=Assumptions!$F$22,G$284&lt;Assumptions!$F$24),'S&amp;U'!$H10/ROUNDUP(Assumptions!$F$23/12,0),IF(AND(G$284&gt;=Assumptions!$F$24,G$284&lt;Assumptions!$F$26),'S&amp;U'!$H42/ROUNDUP(Assumptions!$F$25/12,0),0))</f>
        <v>5978869.4287090274</v>
      </c>
      <c r="H288" s="151">
        <f>+IF(AND(H$284&gt;=Assumptions!$F$22,H$284&lt;Assumptions!$F$24),'S&amp;U'!$H10/ROUNDUP(Assumptions!$F$23/12,0),IF(AND(H$284&gt;=Assumptions!$F$24,H$284&lt;Assumptions!$F$26),'S&amp;U'!$H42/ROUNDUP(Assumptions!$F$25/12,0),0))</f>
        <v>5978869.4287090274</v>
      </c>
      <c r="I288" s="151">
        <f>+IF(AND(I$284&gt;=Assumptions!$F$22,I$284&lt;Assumptions!$F$24),'S&amp;U'!$H10/ROUNDUP(Assumptions!$F$23/12,0),IF(AND(I$284&gt;=Assumptions!$F$24,I$284&lt;Assumptions!$F$26),'S&amp;U'!$H42/ROUNDUP(Assumptions!$F$25/12,0),0))</f>
        <v>0</v>
      </c>
      <c r="J288" s="151">
        <f>+IF(AND(J$284&gt;=Assumptions!$F$22,J$284&lt;Assumptions!$F$24),'S&amp;U'!$H10/ROUNDUP(Assumptions!$F$23/12,0),IF(AND(J$284&gt;=Assumptions!$F$24,J$284&lt;Assumptions!$F$26),'S&amp;U'!$H42/ROUNDUP(Assumptions!$F$25/12,0),0))</f>
        <v>0</v>
      </c>
      <c r="K288" s="151">
        <f>+IF(AND(K$284&gt;=Assumptions!$F$22,K$284&lt;Assumptions!$F$24),'S&amp;U'!$H10/ROUNDUP(Assumptions!$F$23/12,0),IF(AND(K$284&gt;=Assumptions!$F$24,K$284&lt;Assumptions!$F$26),'S&amp;U'!$H42/ROUNDUP(Assumptions!$F$25/12,0),0))</f>
        <v>0</v>
      </c>
      <c r="L288" s="151">
        <f>+IF(AND(L$284&gt;=Assumptions!$F$22,L$284&lt;Assumptions!$F$24),'S&amp;U'!$H10/ROUNDUP(Assumptions!$F$23/12,0),IF(AND(L$284&gt;=Assumptions!$F$24,L$284&lt;Assumptions!$F$26),'S&amp;U'!$H42/ROUNDUP(Assumptions!$F$25/12,0),0))</f>
        <v>0</v>
      </c>
      <c r="M288" s="151">
        <f>+IF(AND(M$284&gt;=Assumptions!$F$22,M$284&lt;Assumptions!$F$24),'S&amp;U'!$H10/ROUNDUP(Assumptions!$F$23/12,0),IF(AND(M$284&gt;=Assumptions!$F$24,M$284&lt;Assumptions!$F$26),'S&amp;U'!$H42/ROUNDUP(Assumptions!$F$25/12,0),0))</f>
        <v>0</v>
      </c>
      <c r="N288" s="151">
        <f>+IF(AND(N$284&gt;=Assumptions!$F$22,N$284&lt;Assumptions!$F$24),'S&amp;U'!$H10/ROUNDUP(Assumptions!$F$23/12,0),IF(AND(N$284&gt;=Assumptions!$F$24,N$284&lt;Assumptions!$F$26),'S&amp;U'!$H42/ROUNDUP(Assumptions!$F$25/12,0),0))</f>
        <v>0</v>
      </c>
      <c r="O288" s="151">
        <f>+IF(AND(O$284&gt;=Assumptions!$F$22,O$284&lt;Assumptions!$F$24),'S&amp;U'!$H10/ROUNDUP(Assumptions!$F$23/12,0),IF(AND(O$284&gt;=Assumptions!$F$24,O$284&lt;Assumptions!$F$26),'S&amp;U'!$H42/ROUNDUP(Assumptions!$F$25/12,0),0))</f>
        <v>0</v>
      </c>
      <c r="P288" s="151">
        <f>+IF(AND(P$284&gt;=Assumptions!$F$22,P$284&lt;Assumptions!$F$24),'S&amp;U'!$H10/ROUNDUP(Assumptions!$F$23/12,0),IF(AND(P$284&gt;=Assumptions!$F$24,P$284&lt;Assumptions!$F$26),'S&amp;U'!$H42/ROUNDUP(Assumptions!$F$25/12,0),0))</f>
        <v>0</v>
      </c>
      <c r="Q288" s="151">
        <f>+IF(AND(Q$284&gt;=Assumptions!$F$22,Q$284&lt;Assumptions!$F$24),'S&amp;U'!$H10/ROUNDUP(Assumptions!$F$23/12,0),IF(AND(Q$284&gt;=Assumptions!$F$24,Q$284&lt;Assumptions!$F$26),'S&amp;U'!$H42/ROUNDUP(Assumptions!$F$25/12,0),0))</f>
        <v>0</v>
      </c>
      <c r="R288" s="151">
        <f>+IF(AND(R$284&gt;=Assumptions!$F$22,R$284&lt;Assumptions!$F$24),'S&amp;U'!$H10/ROUNDUP(Assumptions!$F$23/12,0),IF(AND(R$284&gt;=Assumptions!$F$24,R$284&lt;Assumptions!$F$26),'S&amp;U'!$H42/ROUNDUP(Assumptions!$F$25/12,0),0))</f>
        <v>0</v>
      </c>
      <c r="S288" s="151">
        <f>+IF(AND(S$284&gt;=Assumptions!$F$22,S$284&lt;Assumptions!$F$24),'S&amp;U'!$H10/ROUNDUP(Assumptions!$F$23/12,0),IF(AND(S$284&gt;=Assumptions!$F$24,S$284&lt;Assumptions!$F$26),'S&amp;U'!$H42/ROUNDUP(Assumptions!$F$25/12,0),0))</f>
        <v>0</v>
      </c>
      <c r="T288" s="151">
        <f>+IF(AND(T$284&gt;=Assumptions!$F$22,T$284&lt;Assumptions!$F$24),'S&amp;U'!$H10/ROUNDUP(Assumptions!$F$23/12,0),IF(AND(T$284&gt;=Assumptions!$F$24,T$284&lt;Assumptions!$F$26),'S&amp;U'!$H42/ROUNDUP(Assumptions!$F$25/12,0),0))</f>
        <v>0</v>
      </c>
      <c r="U288" s="151">
        <f>+IF(AND(U$284&gt;=Assumptions!$F$22,U$284&lt;Assumptions!$F$24),'S&amp;U'!$H10/ROUNDUP(Assumptions!$F$23/12,0),IF(AND(U$284&gt;=Assumptions!$F$24,U$284&lt;Assumptions!$F$26),'S&amp;U'!$H42/ROUNDUP(Assumptions!$F$25/12,0),0))</f>
        <v>0</v>
      </c>
      <c r="V288" s="151">
        <f>+IF(AND(V$284&gt;=Assumptions!$F$22,V$284&lt;Assumptions!$F$24),'S&amp;U'!$H10/ROUNDUP(Assumptions!$F$23/12,0),IF(AND(V$284&gt;=Assumptions!$F$24,V$284&lt;Assumptions!$F$26),'S&amp;U'!$H42/ROUNDUP(Assumptions!$F$25/12,0),0))</f>
        <v>0</v>
      </c>
      <c r="W288" s="151">
        <f>+IF(AND(W$284&gt;=Assumptions!$F$22,W$284&lt;Assumptions!$F$24),'S&amp;U'!$H10/ROUNDUP(Assumptions!$F$23/12,0),IF(AND(W$284&gt;=Assumptions!$F$24,W$284&lt;Assumptions!$F$26),'S&amp;U'!$H42/ROUNDUP(Assumptions!$F$25/12,0),0))</f>
        <v>0</v>
      </c>
      <c r="X288" s="151">
        <f>+IF(AND(X$284&gt;=Assumptions!$F$22,X$284&lt;Assumptions!$F$24),'S&amp;U'!$H10/ROUNDUP(Assumptions!$F$23/12,0),IF(AND(X$284&gt;=Assumptions!$F$24,X$284&lt;Assumptions!$F$26),'S&amp;U'!$H42/ROUNDUP(Assumptions!$F$25/12,0),0))</f>
        <v>0</v>
      </c>
      <c r="Y288" s="151">
        <f>+IF(AND(Y$284&gt;=Assumptions!$F$22,Y$284&lt;Assumptions!$F$24),'S&amp;U'!$H10/ROUNDUP(Assumptions!$F$23/12,0),IF(AND(Y$284&gt;=Assumptions!$F$24,Y$284&lt;Assumptions!$F$26),'S&amp;U'!$H42/ROUNDUP(Assumptions!$F$25/12,0),0))</f>
        <v>0</v>
      </c>
      <c r="Z288" s="151">
        <f>+IF(AND(Z$284&gt;=Assumptions!$F$22,Z$284&lt;Assumptions!$F$24),'S&amp;U'!$H10/ROUNDUP(Assumptions!$F$23/12,0),IF(AND(Z$284&gt;=Assumptions!$F$24,Z$284&lt;Assumptions!$F$26),'S&amp;U'!$H42/ROUNDUP(Assumptions!$F$25/12,0),0))</f>
        <v>0</v>
      </c>
    </row>
    <row r="289" spans="1:26" ht="15.5">
      <c r="B289" s="33" t="s">
        <v>79</v>
      </c>
      <c r="D289" s="48">
        <f ca="1">+SUM(F289:Z289)</f>
        <v>23682699.066332363</v>
      </c>
      <c r="E289" s="48"/>
      <c r="F289" s="151">
        <f>+IF(AND(F$284&gt;=Assumptions!$F$22,F$284&lt;Assumptions!$F$24),'S&amp;U'!$H11/ROUNDUP(Assumptions!$F$23/12,0),IF(AND(F$284&gt;=Assumptions!$F$24,F$284&lt;Assumptions!$F$26),'S&amp;U'!$H43/ROUNDUP(Assumptions!$F$25/12,0),0))</f>
        <v>0</v>
      </c>
      <c r="G289" s="151">
        <f ca="1">+IF(AND(G$284&gt;=Assumptions!$F$22,G$284&lt;Assumptions!$F$24),'S&amp;U'!$H11/ROUNDUP(Assumptions!$F$23/12,0),IF(AND(G$284&gt;=Assumptions!$F$24,G$284&lt;Assumptions!$F$26),'S&amp;U'!$H43/ROUNDUP(Assumptions!$F$25/12,0),0))</f>
        <v>11841349.533166183</v>
      </c>
      <c r="H289" s="151">
        <f ca="1">+IF(AND(H$284&gt;=Assumptions!$F$22,H$284&lt;Assumptions!$F$24),'S&amp;U'!$H11/ROUNDUP(Assumptions!$F$23/12,0),IF(AND(H$284&gt;=Assumptions!$F$24,H$284&lt;Assumptions!$F$26),'S&amp;U'!$H43/ROUNDUP(Assumptions!$F$25/12,0),0))</f>
        <v>11841349.533166183</v>
      </c>
      <c r="I289" s="151">
        <f>+IF(AND(I$284&gt;=Assumptions!$F$22,I$284&lt;Assumptions!$F$24),'S&amp;U'!$H11/ROUNDUP(Assumptions!$F$23/12,0),IF(AND(I$284&gt;=Assumptions!$F$24,I$284&lt;Assumptions!$F$26),'S&amp;U'!$H43/ROUNDUP(Assumptions!$F$25/12,0),0))</f>
        <v>0</v>
      </c>
      <c r="J289" s="151">
        <f>+IF(AND(J$284&gt;=Assumptions!$F$22,J$284&lt;Assumptions!$F$24),'S&amp;U'!$H11/ROUNDUP(Assumptions!$F$23/12,0),IF(AND(J$284&gt;=Assumptions!$F$24,J$284&lt;Assumptions!$F$26),'S&amp;U'!$H43/ROUNDUP(Assumptions!$F$25/12,0),0))</f>
        <v>0</v>
      </c>
      <c r="K289" s="151">
        <f>+IF(AND(K$284&gt;=Assumptions!$F$22,K$284&lt;Assumptions!$F$24),'S&amp;U'!$H11/ROUNDUP(Assumptions!$F$23/12,0),IF(AND(K$284&gt;=Assumptions!$F$24,K$284&lt;Assumptions!$F$26),'S&amp;U'!$H43/ROUNDUP(Assumptions!$F$25/12,0),0))</f>
        <v>0</v>
      </c>
      <c r="L289" s="151">
        <f>+IF(AND(L$284&gt;=Assumptions!$F$22,L$284&lt;Assumptions!$F$24),'S&amp;U'!$H11/ROUNDUP(Assumptions!$F$23/12,0),IF(AND(L$284&gt;=Assumptions!$F$24,L$284&lt;Assumptions!$F$26),'S&amp;U'!$H43/ROUNDUP(Assumptions!$F$25/12,0),0))</f>
        <v>0</v>
      </c>
      <c r="M289" s="151">
        <f>+IF(AND(M$284&gt;=Assumptions!$F$22,M$284&lt;Assumptions!$F$24),'S&amp;U'!$H11/ROUNDUP(Assumptions!$F$23/12,0),IF(AND(M$284&gt;=Assumptions!$F$24,M$284&lt;Assumptions!$F$26),'S&amp;U'!$H43/ROUNDUP(Assumptions!$F$25/12,0),0))</f>
        <v>0</v>
      </c>
      <c r="N289" s="151">
        <f>+IF(AND(N$284&gt;=Assumptions!$F$22,N$284&lt;Assumptions!$F$24),'S&amp;U'!$H11/ROUNDUP(Assumptions!$F$23/12,0),IF(AND(N$284&gt;=Assumptions!$F$24,N$284&lt;Assumptions!$F$26),'S&amp;U'!$H43/ROUNDUP(Assumptions!$F$25/12,0),0))</f>
        <v>0</v>
      </c>
      <c r="O289" s="151">
        <f>+IF(AND(O$284&gt;=Assumptions!$F$22,O$284&lt;Assumptions!$F$24),'S&amp;U'!$H11/ROUNDUP(Assumptions!$F$23/12,0),IF(AND(O$284&gt;=Assumptions!$F$24,O$284&lt;Assumptions!$F$26),'S&amp;U'!$H43/ROUNDUP(Assumptions!$F$25/12,0),0))</f>
        <v>0</v>
      </c>
      <c r="P289" s="151">
        <f>+IF(AND(P$284&gt;=Assumptions!$F$22,P$284&lt;Assumptions!$F$24),'S&amp;U'!$H11/ROUNDUP(Assumptions!$F$23/12,0),IF(AND(P$284&gt;=Assumptions!$F$24,P$284&lt;Assumptions!$F$26),'S&amp;U'!$H43/ROUNDUP(Assumptions!$F$25/12,0),0))</f>
        <v>0</v>
      </c>
      <c r="Q289" s="151">
        <f>+IF(AND(Q$284&gt;=Assumptions!$F$22,Q$284&lt;Assumptions!$F$24),'S&amp;U'!$H11/ROUNDUP(Assumptions!$F$23/12,0),IF(AND(Q$284&gt;=Assumptions!$F$24,Q$284&lt;Assumptions!$F$26),'S&amp;U'!$H43/ROUNDUP(Assumptions!$F$25/12,0),0))</f>
        <v>0</v>
      </c>
      <c r="R289" s="151">
        <f>+IF(AND(R$284&gt;=Assumptions!$F$22,R$284&lt;Assumptions!$F$24),'S&amp;U'!$H11/ROUNDUP(Assumptions!$F$23/12,0),IF(AND(R$284&gt;=Assumptions!$F$24,R$284&lt;Assumptions!$F$26),'S&amp;U'!$H43/ROUNDUP(Assumptions!$F$25/12,0),0))</f>
        <v>0</v>
      </c>
      <c r="S289" s="151">
        <f>+IF(AND(S$284&gt;=Assumptions!$F$22,S$284&lt;Assumptions!$F$24),'S&amp;U'!$H11/ROUNDUP(Assumptions!$F$23/12,0),IF(AND(S$284&gt;=Assumptions!$F$24,S$284&lt;Assumptions!$F$26),'S&amp;U'!$H43/ROUNDUP(Assumptions!$F$25/12,0),0))</f>
        <v>0</v>
      </c>
      <c r="T289" s="151">
        <f>+IF(AND(T$284&gt;=Assumptions!$F$22,T$284&lt;Assumptions!$F$24),'S&amp;U'!$H11/ROUNDUP(Assumptions!$F$23/12,0),IF(AND(T$284&gt;=Assumptions!$F$24,T$284&lt;Assumptions!$F$26),'S&amp;U'!$H43/ROUNDUP(Assumptions!$F$25/12,0),0))</f>
        <v>0</v>
      </c>
      <c r="U289" s="151">
        <f>+IF(AND(U$284&gt;=Assumptions!$F$22,U$284&lt;Assumptions!$F$24),'S&amp;U'!$H11/ROUNDUP(Assumptions!$F$23/12,0),IF(AND(U$284&gt;=Assumptions!$F$24,U$284&lt;Assumptions!$F$26),'S&amp;U'!$H43/ROUNDUP(Assumptions!$F$25/12,0),0))</f>
        <v>0</v>
      </c>
      <c r="V289" s="151">
        <f>+IF(AND(V$284&gt;=Assumptions!$F$22,V$284&lt;Assumptions!$F$24),'S&amp;U'!$H11/ROUNDUP(Assumptions!$F$23/12,0),IF(AND(V$284&gt;=Assumptions!$F$24,V$284&lt;Assumptions!$F$26),'S&amp;U'!$H43/ROUNDUP(Assumptions!$F$25/12,0),0))</f>
        <v>0</v>
      </c>
      <c r="W289" s="151">
        <f>+IF(AND(W$284&gt;=Assumptions!$F$22,W$284&lt;Assumptions!$F$24),'S&amp;U'!$H11/ROUNDUP(Assumptions!$F$23/12,0),IF(AND(W$284&gt;=Assumptions!$F$24,W$284&lt;Assumptions!$F$26),'S&amp;U'!$H43/ROUNDUP(Assumptions!$F$25/12,0),0))</f>
        <v>0</v>
      </c>
      <c r="X289" s="151">
        <f>+IF(AND(X$284&gt;=Assumptions!$F$22,X$284&lt;Assumptions!$F$24),'S&amp;U'!$H11/ROUNDUP(Assumptions!$F$23/12,0),IF(AND(X$284&gt;=Assumptions!$F$24,X$284&lt;Assumptions!$F$26),'S&amp;U'!$H43/ROUNDUP(Assumptions!$F$25/12,0),0))</f>
        <v>0</v>
      </c>
      <c r="Y289" s="151">
        <f>+IF(AND(Y$284&gt;=Assumptions!$F$22,Y$284&lt;Assumptions!$F$24),'S&amp;U'!$H11/ROUNDUP(Assumptions!$F$23/12,0),IF(AND(Y$284&gt;=Assumptions!$F$24,Y$284&lt;Assumptions!$F$26),'S&amp;U'!$H43/ROUNDUP(Assumptions!$F$25/12,0),0))</f>
        <v>0</v>
      </c>
      <c r="Z289" s="151">
        <f>+IF(AND(Z$284&gt;=Assumptions!$F$22,Z$284&lt;Assumptions!$F$24),'S&amp;U'!$H11/ROUNDUP(Assumptions!$F$23/12,0),IF(AND(Z$284&gt;=Assumptions!$F$24,Z$284&lt;Assumptions!$F$26),'S&amp;U'!$H43/ROUNDUP(Assumptions!$F$25/12,0),0))</f>
        <v>0</v>
      </c>
    </row>
    <row r="290" spans="1:26" ht="15.5">
      <c r="B290" s="33" t="s">
        <v>82</v>
      </c>
      <c r="D290" s="48">
        <f t="shared" si="546"/>
        <v>892703.13486241782</v>
      </c>
      <c r="E290" s="48"/>
      <c r="F290" s="151">
        <f>+IF(AND(F$284&gt;=Assumptions!$F$22,F$284&lt;Assumptions!$F$24),'S&amp;U'!$H12/ROUNDUP(Assumptions!$F$23/12,0),IF(AND(F$284&gt;=Assumptions!$F$24,F$284&lt;Assumptions!$F$26),'S&amp;U'!$H44/ROUNDUP(Assumptions!$F$25/12,0),0))</f>
        <v>0</v>
      </c>
      <c r="G290" s="151">
        <f>+IF(AND(G$284&gt;=Assumptions!$F$22,G$284&lt;Assumptions!$F$24),'S&amp;U'!$H12/ROUNDUP(Assumptions!$F$23/12,0),IF(AND(G$284&gt;=Assumptions!$F$24,G$284&lt;Assumptions!$F$26),'S&amp;U'!$H44/ROUNDUP(Assumptions!$F$25/12,0),0))</f>
        <v>446351.56743120891</v>
      </c>
      <c r="H290" s="151">
        <f>+IF(AND(H$284&gt;=Assumptions!$F$22,H$284&lt;Assumptions!$F$24),'S&amp;U'!$H12/ROUNDUP(Assumptions!$F$23/12,0),IF(AND(H$284&gt;=Assumptions!$F$24,H$284&lt;Assumptions!$F$26),'S&amp;U'!$H44/ROUNDUP(Assumptions!$F$25/12,0),0))</f>
        <v>446351.56743120891</v>
      </c>
      <c r="I290" s="151">
        <f>+IF(AND(I$284&gt;=Assumptions!$F$22,I$284&lt;Assumptions!$F$24),'S&amp;U'!$H12/ROUNDUP(Assumptions!$F$23/12,0),IF(AND(I$284&gt;=Assumptions!$F$24,I$284&lt;Assumptions!$F$26),'S&amp;U'!$H44/ROUNDUP(Assumptions!$F$25/12,0),0))</f>
        <v>0</v>
      </c>
      <c r="J290" s="151">
        <f>+IF(AND(J$284&gt;=Assumptions!$F$22,J$284&lt;Assumptions!$F$24),'S&amp;U'!$H12/ROUNDUP(Assumptions!$F$23/12,0),IF(AND(J$284&gt;=Assumptions!$F$24,J$284&lt;Assumptions!$F$26),'S&amp;U'!$H44/ROUNDUP(Assumptions!$F$25/12,0),0))</f>
        <v>0</v>
      </c>
      <c r="K290" s="151">
        <f>+IF(AND(K$284&gt;=Assumptions!$F$22,K$284&lt;Assumptions!$F$24),'S&amp;U'!$H12/ROUNDUP(Assumptions!$F$23/12,0),IF(AND(K$284&gt;=Assumptions!$F$24,K$284&lt;Assumptions!$F$26),'S&amp;U'!$H44/ROUNDUP(Assumptions!$F$25/12,0),0))</f>
        <v>0</v>
      </c>
      <c r="L290" s="151">
        <f>+IF(AND(L$284&gt;=Assumptions!$F$22,L$284&lt;Assumptions!$F$24),'S&amp;U'!$H12/ROUNDUP(Assumptions!$F$23/12,0),IF(AND(L$284&gt;=Assumptions!$F$24,L$284&lt;Assumptions!$F$26),'S&amp;U'!$H44/ROUNDUP(Assumptions!$F$25/12,0),0))</f>
        <v>0</v>
      </c>
      <c r="M290" s="151">
        <f>+IF(AND(M$284&gt;=Assumptions!$F$22,M$284&lt;Assumptions!$F$24),'S&amp;U'!$H12/ROUNDUP(Assumptions!$F$23/12,0),IF(AND(M$284&gt;=Assumptions!$F$24,M$284&lt;Assumptions!$F$26),'S&amp;U'!$H44/ROUNDUP(Assumptions!$F$25/12,0),0))</f>
        <v>0</v>
      </c>
      <c r="N290" s="151">
        <f>+IF(AND(N$284&gt;=Assumptions!$F$22,N$284&lt;Assumptions!$F$24),'S&amp;U'!$H12/ROUNDUP(Assumptions!$F$23/12,0),IF(AND(N$284&gt;=Assumptions!$F$24,N$284&lt;Assumptions!$F$26),'S&amp;U'!$H44/ROUNDUP(Assumptions!$F$25/12,0),0))</f>
        <v>0</v>
      </c>
      <c r="O290" s="151">
        <f>+IF(AND(O$284&gt;=Assumptions!$F$22,O$284&lt;Assumptions!$F$24),'S&amp;U'!$H12/ROUNDUP(Assumptions!$F$23/12,0),IF(AND(O$284&gt;=Assumptions!$F$24,O$284&lt;Assumptions!$F$26),'S&amp;U'!$H44/ROUNDUP(Assumptions!$F$25/12,0),0))</f>
        <v>0</v>
      </c>
      <c r="P290" s="151">
        <f>+IF(AND(P$284&gt;=Assumptions!$F$22,P$284&lt;Assumptions!$F$24),'S&amp;U'!$H12/ROUNDUP(Assumptions!$F$23/12,0),IF(AND(P$284&gt;=Assumptions!$F$24,P$284&lt;Assumptions!$F$26),'S&amp;U'!$H44/ROUNDUP(Assumptions!$F$25/12,0),0))</f>
        <v>0</v>
      </c>
      <c r="Q290" s="151">
        <f>+IF(AND(Q$284&gt;=Assumptions!$F$22,Q$284&lt;Assumptions!$F$24),'S&amp;U'!$H12/ROUNDUP(Assumptions!$F$23/12,0),IF(AND(Q$284&gt;=Assumptions!$F$24,Q$284&lt;Assumptions!$F$26),'S&amp;U'!$H44/ROUNDUP(Assumptions!$F$25/12,0),0))</f>
        <v>0</v>
      </c>
      <c r="R290" s="151">
        <f>+IF(AND(R$284&gt;=Assumptions!$F$22,R$284&lt;Assumptions!$F$24),'S&amp;U'!$H12/ROUNDUP(Assumptions!$F$23/12,0),IF(AND(R$284&gt;=Assumptions!$F$24,R$284&lt;Assumptions!$F$26),'S&amp;U'!$H44/ROUNDUP(Assumptions!$F$25/12,0),0))</f>
        <v>0</v>
      </c>
      <c r="S290" s="151">
        <f>+IF(AND(S$284&gt;=Assumptions!$F$22,S$284&lt;Assumptions!$F$24),'S&amp;U'!$H12/ROUNDUP(Assumptions!$F$23/12,0),IF(AND(S$284&gt;=Assumptions!$F$24,S$284&lt;Assumptions!$F$26),'S&amp;U'!$H44/ROUNDUP(Assumptions!$F$25/12,0),0))</f>
        <v>0</v>
      </c>
      <c r="T290" s="151">
        <f>+IF(AND(T$284&gt;=Assumptions!$F$22,T$284&lt;Assumptions!$F$24),'S&amp;U'!$H12/ROUNDUP(Assumptions!$F$23/12,0),IF(AND(T$284&gt;=Assumptions!$F$24,T$284&lt;Assumptions!$F$26),'S&amp;U'!$H44/ROUNDUP(Assumptions!$F$25/12,0),0))</f>
        <v>0</v>
      </c>
      <c r="U290" s="151">
        <f>+IF(AND(U$284&gt;=Assumptions!$F$22,U$284&lt;Assumptions!$F$24),'S&amp;U'!$H12/ROUNDUP(Assumptions!$F$23/12,0),IF(AND(U$284&gt;=Assumptions!$F$24,U$284&lt;Assumptions!$F$26),'S&amp;U'!$H44/ROUNDUP(Assumptions!$F$25/12,0),0))</f>
        <v>0</v>
      </c>
      <c r="V290" s="151">
        <f>+IF(AND(V$284&gt;=Assumptions!$F$22,V$284&lt;Assumptions!$F$24),'S&amp;U'!$H12/ROUNDUP(Assumptions!$F$23/12,0),IF(AND(V$284&gt;=Assumptions!$F$24,V$284&lt;Assumptions!$F$26),'S&amp;U'!$H44/ROUNDUP(Assumptions!$F$25/12,0),0))</f>
        <v>0</v>
      </c>
      <c r="W290" s="151">
        <f>+IF(AND(W$284&gt;=Assumptions!$F$22,W$284&lt;Assumptions!$F$24),'S&amp;U'!$H12/ROUNDUP(Assumptions!$F$23/12,0),IF(AND(W$284&gt;=Assumptions!$F$24,W$284&lt;Assumptions!$F$26),'S&amp;U'!$H44/ROUNDUP(Assumptions!$F$25/12,0),0))</f>
        <v>0</v>
      </c>
      <c r="X290" s="151">
        <f>+IF(AND(X$284&gt;=Assumptions!$F$22,X$284&lt;Assumptions!$F$24),'S&amp;U'!$H12/ROUNDUP(Assumptions!$F$23/12,0),IF(AND(X$284&gt;=Assumptions!$F$24,X$284&lt;Assumptions!$F$26),'S&amp;U'!$H44/ROUNDUP(Assumptions!$F$25/12,0),0))</f>
        <v>0</v>
      </c>
      <c r="Y290" s="151">
        <f>+IF(AND(Y$284&gt;=Assumptions!$F$22,Y$284&lt;Assumptions!$F$24),'S&amp;U'!$H12/ROUNDUP(Assumptions!$F$23/12,0),IF(AND(Y$284&gt;=Assumptions!$F$24,Y$284&lt;Assumptions!$F$26),'S&amp;U'!$H44/ROUNDUP(Assumptions!$F$25/12,0),0))</f>
        <v>0</v>
      </c>
      <c r="Z290" s="151">
        <f>+IF(AND(Z$284&gt;=Assumptions!$F$22,Z$284&lt;Assumptions!$F$24),'S&amp;U'!$H12/ROUNDUP(Assumptions!$F$23/12,0),IF(AND(Z$284&gt;=Assumptions!$F$24,Z$284&lt;Assumptions!$F$26),'S&amp;U'!$H44/ROUNDUP(Assumptions!$F$25/12,0),0))</f>
        <v>0</v>
      </c>
    </row>
    <row r="291" spans="1:26" ht="15.5">
      <c r="B291" s="33" t="s">
        <v>59</v>
      </c>
      <c r="D291" s="48">
        <f t="shared" si="546"/>
        <v>10765003.692378659</v>
      </c>
      <c r="E291" s="48"/>
      <c r="F291" s="151">
        <f>+IF(AND(F$284&gt;=Assumptions!$F$22,F$284&lt;Assumptions!$F$24),'S&amp;U'!$H13/ROUNDUP(Assumptions!$F$23/12,0),IF(AND(F$284&gt;=Assumptions!$F$24,F$284&lt;Assumptions!$F$28),'S&amp;U'!$H45/ROUNDUP((Assumptions!$F$25+Assumptions!$F$27)/12,0),0))</f>
        <v>322950.11077135976</v>
      </c>
      <c r="G291" s="151">
        <f>+IF(AND(G$284&gt;=Assumptions!$F$22,G$284&lt;Assumptions!$F$24),'S&amp;U'!$H13/ROUNDUP(Assumptions!$F$23/12,0),IF(AND(G$284&gt;=Assumptions!$F$24,G$284&lt;Assumptions!$F$28),'S&amp;U'!$H45/ROUNDUP((Assumptions!$F$25+Assumptions!$F$27)/12,0),0))</f>
        <v>2610513.3954018247</v>
      </c>
      <c r="H291" s="151">
        <f>+IF(AND(H$284&gt;=Assumptions!$F$22,H$284&lt;Assumptions!$F$24),'S&amp;U'!$H13/ROUNDUP(Assumptions!$F$23/12,0),IF(AND(H$284&gt;=Assumptions!$F$24,H$284&lt;Assumptions!$F$28),'S&amp;U'!$H45/ROUNDUP((Assumptions!$F$25+Assumptions!$F$27)/12,0),0))</f>
        <v>2610513.3954018247</v>
      </c>
      <c r="I291" s="151">
        <f>+IF(AND(I$284&gt;=Assumptions!$F$22,I$284&lt;Assumptions!$F$24),'S&amp;U'!$H13/ROUNDUP(Assumptions!$F$23/12,0),IF(AND(I$284&gt;=Assumptions!$F$24,I$284&lt;Assumptions!$F$28),'S&amp;U'!$H45/ROUNDUP((Assumptions!$F$25+Assumptions!$F$27)/12,0),0))</f>
        <v>2610513.3954018247</v>
      </c>
      <c r="J291" s="151">
        <f>+IF(AND(J$284&gt;=Assumptions!$F$22,J$284&lt;Assumptions!$F$24),'S&amp;U'!$H13/ROUNDUP(Assumptions!$F$23/12,0),IF(AND(J$284&gt;=Assumptions!$F$24,J$284&lt;Assumptions!$F$28),'S&amp;U'!$H45/ROUNDUP((Assumptions!$F$25+Assumptions!$F$27)/12,0),0))</f>
        <v>2610513.3954018247</v>
      </c>
      <c r="K291" s="151">
        <f>+IF(AND(K$284&gt;=Assumptions!$F$22,K$284&lt;Assumptions!$F$24),'S&amp;U'!$H13/ROUNDUP(Assumptions!$F$23/12,0),IF(AND(K$284&gt;=Assumptions!$F$24,K$284&lt;Assumptions!$F$28),'S&amp;U'!$H45/ROUNDUP((Assumptions!$F$25+Assumptions!$F$27)/12,0),0))</f>
        <v>0</v>
      </c>
      <c r="L291" s="151">
        <f>+IF(AND(L$284&gt;=Assumptions!$F$22,L$284&lt;Assumptions!$F$24),'S&amp;U'!$H13/ROUNDUP(Assumptions!$F$23/12,0),IF(AND(L$284&gt;=Assumptions!$F$24,L$284&lt;Assumptions!$F$28),'S&amp;U'!$H45/ROUNDUP((Assumptions!$F$25+Assumptions!$F$27)/12,0),0))</f>
        <v>0</v>
      </c>
      <c r="M291" s="151">
        <f>+IF(AND(M$284&gt;=Assumptions!$F$22,M$284&lt;Assumptions!$F$24),'S&amp;U'!$H13/ROUNDUP(Assumptions!$F$23/12,0),IF(AND(M$284&gt;=Assumptions!$F$24,M$284&lt;Assumptions!$F$28),'S&amp;U'!$H45/ROUNDUP((Assumptions!$F$25+Assumptions!$F$27)/12,0),0))</f>
        <v>0</v>
      </c>
      <c r="N291" s="151">
        <f>+IF(AND(N$284&gt;=Assumptions!$F$22,N$284&lt;Assumptions!$F$24),'S&amp;U'!$H13/ROUNDUP(Assumptions!$F$23/12,0),IF(AND(N$284&gt;=Assumptions!$F$24,N$284&lt;Assumptions!$F$28),'S&amp;U'!$H45/ROUNDUP((Assumptions!$F$25+Assumptions!$F$27)/12,0),0))</f>
        <v>0</v>
      </c>
      <c r="O291" s="151">
        <f>+IF(AND(O$284&gt;=Assumptions!$F$22,O$284&lt;Assumptions!$F$24),'S&amp;U'!$H13/ROUNDUP(Assumptions!$F$23/12,0),IF(AND(O$284&gt;=Assumptions!$F$24,O$284&lt;Assumptions!$F$28),'S&amp;U'!$H45/ROUNDUP((Assumptions!$F$25+Assumptions!$F$27)/12,0),0))</f>
        <v>0</v>
      </c>
      <c r="P291" s="151">
        <f>+IF(AND(P$284&gt;=Assumptions!$F$22,P$284&lt;Assumptions!$F$24),'S&amp;U'!$H13/ROUNDUP(Assumptions!$F$23/12,0),IF(AND(P$284&gt;=Assumptions!$F$24,P$284&lt;Assumptions!$F$28),'S&amp;U'!$H45/ROUNDUP((Assumptions!$F$25+Assumptions!$F$27)/12,0),0))</f>
        <v>0</v>
      </c>
      <c r="Q291" s="151">
        <f>+IF(AND(Q$284&gt;=Assumptions!$F$22,Q$284&lt;Assumptions!$F$24),'S&amp;U'!$H13/ROUNDUP(Assumptions!$F$23/12,0),IF(AND(Q$284&gt;=Assumptions!$F$24,Q$284&lt;Assumptions!$F$28),'S&amp;U'!$H45/ROUNDUP((Assumptions!$F$25+Assumptions!$F$27)/12,0),0))</f>
        <v>0</v>
      </c>
      <c r="R291" s="151">
        <f>+IF(AND(R$284&gt;=Assumptions!$F$22,R$284&lt;Assumptions!$F$24),'S&amp;U'!$H13/ROUNDUP(Assumptions!$F$23/12,0),IF(AND(R$284&gt;=Assumptions!$F$24,R$284&lt;Assumptions!$F$28),'S&amp;U'!$H45/ROUNDUP((Assumptions!$F$25+Assumptions!$F$27)/12,0),0))</f>
        <v>0</v>
      </c>
      <c r="S291" s="151">
        <f>+IF(AND(S$284&gt;=Assumptions!$F$22,S$284&lt;Assumptions!$F$24),'S&amp;U'!$H13/ROUNDUP(Assumptions!$F$23/12,0),IF(AND(S$284&gt;=Assumptions!$F$24,S$284&lt;Assumptions!$F$28),'S&amp;U'!$H45/ROUNDUP((Assumptions!$F$25+Assumptions!$F$27)/12,0),0))</f>
        <v>0</v>
      </c>
      <c r="T291" s="151">
        <f>+IF(AND(T$284&gt;=Assumptions!$F$22,T$284&lt;Assumptions!$F$24),'S&amp;U'!$H13/ROUNDUP(Assumptions!$F$23/12,0),IF(AND(T$284&gt;=Assumptions!$F$24,T$284&lt;Assumptions!$F$28),'S&amp;U'!$H45/ROUNDUP((Assumptions!$F$25+Assumptions!$F$27)/12,0),0))</f>
        <v>0</v>
      </c>
      <c r="U291" s="151">
        <f>+IF(AND(U$284&gt;=Assumptions!$F$22,U$284&lt;Assumptions!$F$24),'S&amp;U'!$H13/ROUNDUP(Assumptions!$F$23/12,0),IF(AND(U$284&gt;=Assumptions!$F$24,U$284&lt;Assumptions!$F$28),'S&amp;U'!$H45/ROUNDUP((Assumptions!$F$25+Assumptions!$F$27)/12,0),0))</f>
        <v>0</v>
      </c>
      <c r="V291" s="151">
        <f>+IF(AND(V$284&gt;=Assumptions!$F$22,V$284&lt;Assumptions!$F$24),'S&amp;U'!$H13/ROUNDUP(Assumptions!$F$23/12,0),IF(AND(V$284&gt;=Assumptions!$F$24,V$284&lt;Assumptions!$F$28),'S&amp;U'!$H45/ROUNDUP((Assumptions!$F$25+Assumptions!$F$27)/12,0),0))</f>
        <v>0</v>
      </c>
      <c r="W291" s="151">
        <f>+IF(AND(W$284&gt;=Assumptions!$F$22,W$284&lt;Assumptions!$F$24),'S&amp;U'!$H13/ROUNDUP(Assumptions!$F$23/12,0),IF(AND(W$284&gt;=Assumptions!$F$24,W$284&lt;Assumptions!$F$28),'S&amp;U'!$H45/ROUNDUP((Assumptions!$F$25+Assumptions!$F$27)/12,0),0))</f>
        <v>0</v>
      </c>
      <c r="X291" s="151">
        <f>+IF(AND(X$284&gt;=Assumptions!$F$22,X$284&lt;Assumptions!$F$24),'S&amp;U'!$H13/ROUNDUP(Assumptions!$F$23/12,0),IF(AND(X$284&gt;=Assumptions!$F$24,X$284&lt;Assumptions!$F$28),'S&amp;U'!$H45/ROUNDUP((Assumptions!$F$25+Assumptions!$F$27)/12,0),0))</f>
        <v>0</v>
      </c>
      <c r="Y291" s="151">
        <f>+IF(AND(Y$284&gt;=Assumptions!$F$22,Y$284&lt;Assumptions!$F$24),'S&amp;U'!$H13/ROUNDUP(Assumptions!$F$23/12,0),IF(AND(Y$284&gt;=Assumptions!$F$24,Y$284&lt;Assumptions!$F$28),'S&amp;U'!$H45/ROUNDUP((Assumptions!$F$25+Assumptions!$F$27)/12,0),0))</f>
        <v>0</v>
      </c>
      <c r="Z291" s="151">
        <f>+IF(AND(Z$284&gt;=Assumptions!$F$22,Z$284&lt;Assumptions!$F$24),'S&amp;U'!$H13/ROUNDUP(Assumptions!$F$23/12,0),IF(AND(Z$284&gt;=Assumptions!$F$24,Z$284&lt;Assumptions!$F$28),'S&amp;U'!$H45/ROUNDUP((Assumptions!$F$25+Assumptions!$F$27)/12,0),0))</f>
        <v>0</v>
      </c>
    </row>
    <row r="292" spans="1:26" ht="15.5">
      <c r="B292" s="138" t="s">
        <v>20</v>
      </c>
      <c r="C292" s="138"/>
      <c r="D292" s="139">
        <f ca="1">+SUM(F292:Z292)</f>
        <v>416531684.53289485</v>
      </c>
      <c r="E292" s="139"/>
      <c r="F292" s="139">
        <f>+SUM(F285:F291)</f>
        <v>62857885.033285916</v>
      </c>
      <c r="G292" s="139">
        <f t="shared" ref="G292:Z292" ca="1" si="547">+SUM(G285:G291)</f>
        <v>174226386.35440263</v>
      </c>
      <c r="H292" s="139">
        <f t="shared" ca="1" si="547"/>
        <v>174226386.35440263</v>
      </c>
      <c r="I292" s="139">
        <f t="shared" si="547"/>
        <v>2610513.3954018247</v>
      </c>
      <c r="J292" s="139">
        <f t="shared" si="547"/>
        <v>2610513.3954018247</v>
      </c>
      <c r="K292" s="139">
        <f t="shared" si="547"/>
        <v>0</v>
      </c>
      <c r="L292" s="139">
        <f t="shared" si="547"/>
        <v>0</v>
      </c>
      <c r="M292" s="139">
        <f t="shared" si="547"/>
        <v>0</v>
      </c>
      <c r="N292" s="139">
        <f t="shared" si="547"/>
        <v>0</v>
      </c>
      <c r="O292" s="139">
        <f t="shared" si="547"/>
        <v>0</v>
      </c>
      <c r="P292" s="139">
        <f t="shared" si="547"/>
        <v>0</v>
      </c>
      <c r="Q292" s="139">
        <f t="shared" si="547"/>
        <v>0</v>
      </c>
      <c r="R292" s="139">
        <f t="shared" si="547"/>
        <v>0</v>
      </c>
      <c r="S292" s="139">
        <f t="shared" si="547"/>
        <v>0</v>
      </c>
      <c r="T292" s="139">
        <f t="shared" si="547"/>
        <v>0</v>
      </c>
      <c r="U292" s="139">
        <f t="shared" si="547"/>
        <v>0</v>
      </c>
      <c r="V292" s="139">
        <f t="shared" si="547"/>
        <v>0</v>
      </c>
      <c r="W292" s="139">
        <f t="shared" si="547"/>
        <v>0</v>
      </c>
      <c r="X292" s="139">
        <f t="shared" si="547"/>
        <v>0</v>
      </c>
      <c r="Y292" s="139">
        <f t="shared" si="547"/>
        <v>0</v>
      </c>
      <c r="Z292" s="139">
        <f t="shared" si="547"/>
        <v>0</v>
      </c>
    </row>
    <row r="294" spans="1:26" ht="15.5">
      <c r="B294" s="148" t="s">
        <v>329</v>
      </c>
      <c r="F294" s="150">
        <f>+Assumptions!$F$22</f>
        <v>44561</v>
      </c>
      <c r="G294" s="150">
        <f>+EOMONTH(F294,12)</f>
        <v>44926</v>
      </c>
      <c r="H294" s="150">
        <f t="shared" ref="H294" si="548">+EOMONTH(G294,12)</f>
        <v>45291</v>
      </c>
      <c r="I294" s="150">
        <f t="shared" ref="I294" si="549">+EOMONTH(H294,12)</f>
        <v>45657</v>
      </c>
      <c r="J294" s="150">
        <f t="shared" ref="J294" si="550">+EOMONTH(I294,12)</f>
        <v>46022</v>
      </c>
      <c r="K294" s="150">
        <f t="shared" ref="K294" si="551">+EOMONTH(J294,12)</f>
        <v>46387</v>
      </c>
      <c r="L294" s="150">
        <f t="shared" ref="L294" si="552">+EOMONTH(K294,12)</f>
        <v>46752</v>
      </c>
      <c r="M294" s="150">
        <f t="shared" ref="M294" si="553">+EOMONTH(L294,12)</f>
        <v>47118</v>
      </c>
      <c r="N294" s="150">
        <f t="shared" ref="N294" si="554">+EOMONTH(M294,12)</f>
        <v>47483</v>
      </c>
      <c r="O294" s="150">
        <f t="shared" ref="O294" si="555">+EOMONTH(N294,12)</f>
        <v>47848</v>
      </c>
      <c r="P294" s="150">
        <f t="shared" ref="P294" si="556">+EOMONTH(O294,12)</f>
        <v>48213</v>
      </c>
      <c r="Q294" s="150">
        <f t="shared" ref="Q294" si="557">+EOMONTH(P294,12)</f>
        <v>48579</v>
      </c>
      <c r="R294" s="150">
        <f t="shared" ref="R294" si="558">+EOMONTH(Q294,12)</f>
        <v>48944</v>
      </c>
      <c r="S294" s="150">
        <f t="shared" ref="S294" si="559">+EOMONTH(R294,12)</f>
        <v>49309</v>
      </c>
      <c r="T294" s="150">
        <f t="shared" ref="T294" si="560">+EOMONTH(S294,12)</f>
        <v>49674</v>
      </c>
      <c r="U294" s="150">
        <f t="shared" ref="U294" si="561">+EOMONTH(T294,12)</f>
        <v>50040</v>
      </c>
      <c r="V294" s="150">
        <f t="shared" ref="V294" si="562">+EOMONTH(U294,12)</f>
        <v>50405</v>
      </c>
      <c r="W294" s="150">
        <f t="shared" ref="W294" si="563">+EOMONTH(V294,12)</f>
        <v>50770</v>
      </c>
      <c r="X294" s="150">
        <f t="shared" ref="X294" si="564">+EOMONTH(W294,12)</f>
        <v>51135</v>
      </c>
      <c r="Y294" s="150">
        <f t="shared" ref="Y294" si="565">+EOMONTH(X294,12)</f>
        <v>51501</v>
      </c>
      <c r="Z294" s="150">
        <f t="shared" ref="Z294" si="566">+EOMONTH(Y294,12)</f>
        <v>51866</v>
      </c>
    </row>
    <row r="295" spans="1:26" ht="15.5">
      <c r="A295" s="108"/>
      <c r="B295" s="33" t="s">
        <v>29</v>
      </c>
      <c r="D295" s="48">
        <f t="shared" ref="D295:D304" ca="1" si="567">+SUM(F295:Z295)</f>
        <v>87488989.368558288</v>
      </c>
      <c r="E295" s="48"/>
      <c r="F295" s="34">
        <f ca="1">+MIN('S&amp;U'!$H23-SUM('Phase I Pro Forma'!$E295:E295),'Phase I Pro Forma'!F$292)</f>
        <v>62857885.033285916</v>
      </c>
      <c r="G295" s="34">
        <f ca="1">+MIN('S&amp;U'!$H23-SUM('Phase I Pro Forma'!$E295:F295),'Phase I Pro Forma'!G$292)</f>
        <v>24631104.335272372</v>
      </c>
      <c r="H295" s="34">
        <f ca="1">+MIN('S&amp;U'!$H23-SUM('Phase I Pro Forma'!$E295:G295),'Phase I Pro Forma'!H$292)</f>
        <v>0</v>
      </c>
      <c r="I295" s="34">
        <f ca="1">+MIN('S&amp;U'!$H23-SUM('Phase I Pro Forma'!$E295:H295),'Phase I Pro Forma'!I$292)</f>
        <v>0</v>
      </c>
      <c r="J295" s="34">
        <f ca="1">+MIN('S&amp;U'!$H23-SUM('Phase I Pro Forma'!$E295:I295),'Phase I Pro Forma'!J$292)</f>
        <v>0</v>
      </c>
      <c r="K295" s="34">
        <f ca="1">+MIN('S&amp;U'!$H23-SUM('Phase I Pro Forma'!$E295:J295),'Phase I Pro Forma'!K$292)</f>
        <v>0</v>
      </c>
      <c r="L295" s="34">
        <f ca="1">+MIN('S&amp;U'!$H23-SUM('Phase I Pro Forma'!$E295:K295),'Phase I Pro Forma'!L$292)</f>
        <v>0</v>
      </c>
      <c r="M295" s="34">
        <f ca="1">+MIN('S&amp;U'!$H23-SUM('Phase I Pro Forma'!$E295:L295),'Phase I Pro Forma'!M$292)</f>
        <v>0</v>
      </c>
      <c r="N295" s="34">
        <f ca="1">+MIN('S&amp;U'!$H23-SUM('Phase I Pro Forma'!$E295:M295),'Phase I Pro Forma'!N$292)</f>
        <v>0</v>
      </c>
      <c r="O295" s="34">
        <f ca="1">+MIN('S&amp;U'!$H23-SUM('Phase I Pro Forma'!$E295:N295),'Phase I Pro Forma'!O$292)</f>
        <v>0</v>
      </c>
      <c r="P295" s="34">
        <f ca="1">+MIN('S&amp;U'!$H23-SUM('Phase I Pro Forma'!$E295:O295),'Phase I Pro Forma'!P$292)</f>
        <v>0</v>
      </c>
      <c r="Q295" s="34">
        <f ca="1">+MIN('S&amp;U'!$H23-SUM('Phase I Pro Forma'!$E295:P295),'Phase I Pro Forma'!Q$292)</f>
        <v>0</v>
      </c>
      <c r="R295" s="34">
        <f ca="1">+MIN('S&amp;U'!$H23-SUM('Phase I Pro Forma'!$E295:Q295),'Phase I Pro Forma'!R$292)</f>
        <v>0</v>
      </c>
      <c r="S295" s="34">
        <f ca="1">+MIN('S&amp;U'!$H23-SUM('Phase I Pro Forma'!$E295:R295),'Phase I Pro Forma'!S$292)</f>
        <v>0</v>
      </c>
      <c r="T295" s="34">
        <f ca="1">+MIN('S&amp;U'!$H23-SUM('Phase I Pro Forma'!$E295:S295),'Phase I Pro Forma'!T$292)</f>
        <v>0</v>
      </c>
      <c r="U295" s="34">
        <f ca="1">+MIN('S&amp;U'!$H23-SUM('Phase I Pro Forma'!$E295:T295),'Phase I Pro Forma'!U$292)</f>
        <v>0</v>
      </c>
      <c r="V295" s="34">
        <f ca="1">+MIN('S&amp;U'!$H23-SUM('Phase I Pro Forma'!$E295:U295),'Phase I Pro Forma'!V$292)</f>
        <v>0</v>
      </c>
      <c r="W295" s="34">
        <f ca="1">+MIN('S&amp;U'!$H23-SUM('Phase I Pro Forma'!$E295:V295),'Phase I Pro Forma'!W$292)</f>
        <v>0</v>
      </c>
      <c r="X295" s="34">
        <f ca="1">+MIN('S&amp;U'!$H23-SUM('Phase I Pro Forma'!$E295:W295),'Phase I Pro Forma'!X$292)</f>
        <v>0</v>
      </c>
      <c r="Y295" s="34">
        <f ca="1">+MIN('S&amp;U'!$H23-SUM('Phase I Pro Forma'!$E295:X295),'Phase I Pro Forma'!Y$292)</f>
        <v>0</v>
      </c>
      <c r="Z295" s="34">
        <f ca="1">+MIN('S&amp;U'!$H23-SUM('Phase I Pro Forma'!$E295:Y295),'Phase I Pro Forma'!Z$292)</f>
        <v>0</v>
      </c>
    </row>
    <row r="296" spans="1:26" ht="15.5">
      <c r="B296" s="33" t="s">
        <v>840</v>
      </c>
      <c r="D296" s="48">
        <f t="shared" ca="1" si="567"/>
        <v>0</v>
      </c>
      <c r="E296" s="48"/>
      <c r="F296" s="151">
        <f ca="1">+MIN('S&amp;U'!$H19-SUM('Phase I Pro Forma'!$E296:E296),'Phase I Pro Forma'!F$292-SUM(F$295:F295))</f>
        <v>0</v>
      </c>
      <c r="G296" s="151">
        <f ca="1">+MIN('S&amp;U'!$H19-SUM('Phase I Pro Forma'!$E296:F296),'Phase I Pro Forma'!G$292-SUM(G$295:G295))</f>
        <v>0</v>
      </c>
      <c r="H296" s="151">
        <f ca="1">+MIN('S&amp;U'!$H19-SUM('Phase I Pro Forma'!$E296:G296),'Phase I Pro Forma'!H$292-SUM(H$295:H295))</f>
        <v>0</v>
      </c>
      <c r="I296" s="151">
        <f ca="1">+MIN('S&amp;U'!$H19-SUM('Phase I Pro Forma'!$E296:H296),'Phase I Pro Forma'!I$292-SUM(I$295:I295))</f>
        <v>0</v>
      </c>
      <c r="J296" s="151">
        <f ca="1">+MIN('S&amp;U'!$H19-SUM('Phase I Pro Forma'!$E296:I296),'Phase I Pro Forma'!J$292-SUM(J$295:J295))</f>
        <v>0</v>
      </c>
      <c r="K296" s="151">
        <f ca="1">+MIN('S&amp;U'!$H19-SUM('Phase I Pro Forma'!$E296:J296),'Phase I Pro Forma'!K$292-SUM(K$295:K295))</f>
        <v>0</v>
      </c>
      <c r="L296" s="151">
        <f ca="1">+MIN('S&amp;U'!$H19-SUM('Phase I Pro Forma'!$E296:K296),'Phase I Pro Forma'!L$292-SUM(L$295:L295))</f>
        <v>0</v>
      </c>
      <c r="M296" s="151">
        <f ca="1">+MIN('S&amp;U'!$H19-SUM('Phase I Pro Forma'!$E296:L296),'Phase I Pro Forma'!M$292-SUM(M$295:M295))</f>
        <v>0</v>
      </c>
      <c r="N296" s="151">
        <f ca="1">+MIN('S&amp;U'!$H19-SUM('Phase I Pro Forma'!$E296:M296),'Phase I Pro Forma'!N$292-SUM(N$295:N295))</f>
        <v>0</v>
      </c>
      <c r="O296" s="151">
        <f ca="1">+MIN('S&amp;U'!$H19-SUM('Phase I Pro Forma'!$E296:N296),'Phase I Pro Forma'!O$292-SUM(O$295:O295))</f>
        <v>0</v>
      </c>
      <c r="P296" s="151">
        <f ca="1">+MIN('S&amp;U'!$H19-SUM('Phase I Pro Forma'!$E296:O296),'Phase I Pro Forma'!P$292-SUM(P$295:P295))</f>
        <v>0</v>
      </c>
      <c r="Q296" s="151">
        <f ca="1">+MIN('S&amp;U'!$H19-SUM('Phase I Pro Forma'!$E296:P296),'Phase I Pro Forma'!Q$292-SUM(Q$295:Q295))</f>
        <v>0</v>
      </c>
      <c r="R296" s="151">
        <f ca="1">+MIN('S&amp;U'!$H19-SUM('Phase I Pro Forma'!$E296:Q296),'Phase I Pro Forma'!R$292-SUM(R$295:R295))</f>
        <v>0</v>
      </c>
      <c r="S296" s="151">
        <f ca="1">+MIN('S&amp;U'!$H19-SUM('Phase I Pro Forma'!$E296:R296),'Phase I Pro Forma'!S$292-SUM(S$295:S295))</f>
        <v>0</v>
      </c>
      <c r="T296" s="151">
        <f ca="1">+MIN('S&amp;U'!$H19-SUM('Phase I Pro Forma'!$E296:S296),'Phase I Pro Forma'!T$292-SUM(T$295:T295))</f>
        <v>0</v>
      </c>
      <c r="U296" s="151">
        <f ca="1">+MIN('S&amp;U'!$H19-SUM('Phase I Pro Forma'!$E296:T296),'Phase I Pro Forma'!U$292-SUM(U$295:U295))</f>
        <v>0</v>
      </c>
      <c r="V296" s="151">
        <f ca="1">+MIN('S&amp;U'!$H19-SUM('Phase I Pro Forma'!$E296:U296),'Phase I Pro Forma'!V$292-SUM(V$295:V295))</f>
        <v>0</v>
      </c>
      <c r="W296" s="151">
        <f ca="1">+MIN('S&amp;U'!$H19-SUM('Phase I Pro Forma'!$E296:V296),'Phase I Pro Forma'!W$292-SUM(W$295:W295))</f>
        <v>0</v>
      </c>
      <c r="X296" s="151">
        <f ca="1">+MIN('S&amp;U'!$H19-SUM('Phase I Pro Forma'!$E296:W296),'Phase I Pro Forma'!X$292-SUM(X$295:X295))</f>
        <v>0</v>
      </c>
      <c r="Y296" s="151">
        <f ca="1">+MIN('S&amp;U'!$H19-SUM('Phase I Pro Forma'!$E296:X296),'Phase I Pro Forma'!Y$292-SUM(Y$295:Y295))</f>
        <v>0</v>
      </c>
      <c r="Z296" s="151">
        <f ca="1">+MIN('S&amp;U'!$H19-SUM('Phase I Pro Forma'!$E296:Y296),'Phase I Pro Forma'!Z$292-SUM(Z$295:Z295))</f>
        <v>0</v>
      </c>
    </row>
    <row r="297" spans="1:26" ht="15.5">
      <c r="B297" s="33" t="s">
        <v>98</v>
      </c>
      <c r="D297" s="48">
        <f t="shared" ca="1" si="567"/>
        <v>32087500</v>
      </c>
      <c r="E297" s="48"/>
      <c r="F297" s="151">
        <f ca="1">+MIN('S&amp;U'!$H20-SUM('Phase I Pro Forma'!$E297:E297),'Phase I Pro Forma'!F$292-SUM(F$295:F296))</f>
        <v>0</v>
      </c>
      <c r="G297" s="151">
        <f ca="1">+MIN('S&amp;U'!$H20-SUM('Phase I Pro Forma'!$E297:F297),'Phase I Pro Forma'!G$292-SUM(G$295:G296))</f>
        <v>32087500</v>
      </c>
      <c r="H297" s="151">
        <f ca="1">+MIN('S&amp;U'!$H20-SUM('Phase I Pro Forma'!$E297:G297),'Phase I Pro Forma'!H$292-SUM(H$295:H296))</f>
        <v>0</v>
      </c>
      <c r="I297" s="151">
        <f ca="1">+MIN('S&amp;U'!$H20-SUM('Phase I Pro Forma'!$E297:H297),'Phase I Pro Forma'!I$292-SUM(I$295:I296))</f>
        <v>0</v>
      </c>
      <c r="J297" s="151">
        <f ca="1">+MIN('S&amp;U'!$H20-SUM('Phase I Pro Forma'!$E297:I297),'Phase I Pro Forma'!J$292-SUM(J$295:J296))</f>
        <v>0</v>
      </c>
      <c r="K297" s="151">
        <f ca="1">+MIN('S&amp;U'!$H20-SUM('Phase I Pro Forma'!$E297:J297),'Phase I Pro Forma'!K$292-SUM(K$295:K296))</f>
        <v>0</v>
      </c>
      <c r="L297" s="151">
        <f ca="1">+MIN('S&amp;U'!$H20-SUM('Phase I Pro Forma'!$E297:K297),'Phase I Pro Forma'!L$292-SUM(L$295:L296))</f>
        <v>0</v>
      </c>
      <c r="M297" s="151">
        <f ca="1">+MIN('S&amp;U'!$H20-SUM('Phase I Pro Forma'!$E297:L297),'Phase I Pro Forma'!M$292-SUM(M$295:M296))</f>
        <v>0</v>
      </c>
      <c r="N297" s="151">
        <f ca="1">+MIN('S&amp;U'!$H20-SUM('Phase I Pro Forma'!$E297:M297),'Phase I Pro Forma'!N$292-SUM(N$295:N296))</f>
        <v>0</v>
      </c>
      <c r="O297" s="151">
        <f ca="1">+MIN('S&amp;U'!$H20-SUM('Phase I Pro Forma'!$E297:N297),'Phase I Pro Forma'!O$292-SUM(O$295:O296))</f>
        <v>0</v>
      </c>
      <c r="P297" s="151">
        <f ca="1">+MIN('S&amp;U'!$H20-SUM('Phase I Pro Forma'!$E297:O297),'Phase I Pro Forma'!P$292-SUM(P$295:P296))</f>
        <v>0</v>
      </c>
      <c r="Q297" s="151">
        <f ca="1">+MIN('S&amp;U'!$H20-SUM('Phase I Pro Forma'!$E297:P297),'Phase I Pro Forma'!Q$292-SUM(Q$295:Q296))</f>
        <v>0</v>
      </c>
      <c r="R297" s="151">
        <f ca="1">+MIN('S&amp;U'!$H20-SUM('Phase I Pro Forma'!$E297:Q297),'Phase I Pro Forma'!R$292-SUM(R$295:R296))</f>
        <v>0</v>
      </c>
      <c r="S297" s="151">
        <f ca="1">+MIN('S&amp;U'!$H20-SUM('Phase I Pro Forma'!$E297:R297),'Phase I Pro Forma'!S$292-SUM(S$295:S296))</f>
        <v>0</v>
      </c>
      <c r="T297" s="151">
        <f ca="1">+MIN('S&amp;U'!$H20-SUM('Phase I Pro Forma'!$E297:S297),'Phase I Pro Forma'!T$292-SUM(T$295:T296))</f>
        <v>0</v>
      </c>
      <c r="U297" s="151">
        <f ca="1">+MIN('S&amp;U'!$H20-SUM('Phase I Pro Forma'!$E297:T297),'Phase I Pro Forma'!U$292-SUM(U$295:U296))</f>
        <v>0</v>
      </c>
      <c r="V297" s="151">
        <f ca="1">+MIN('S&amp;U'!$H20-SUM('Phase I Pro Forma'!$E297:U297),'Phase I Pro Forma'!V$292-SUM(V$295:V296))</f>
        <v>0</v>
      </c>
      <c r="W297" s="151">
        <f ca="1">+MIN('S&amp;U'!$H20-SUM('Phase I Pro Forma'!$E297:V297),'Phase I Pro Forma'!W$292-SUM(W$295:W296))</f>
        <v>0</v>
      </c>
      <c r="X297" s="151">
        <f ca="1">+MIN('S&amp;U'!$H20-SUM('Phase I Pro Forma'!$E297:W297),'Phase I Pro Forma'!X$292-SUM(X$295:X296))</f>
        <v>0</v>
      </c>
      <c r="Y297" s="151">
        <f ca="1">+MIN('S&amp;U'!$H20-SUM('Phase I Pro Forma'!$E297:X297),'Phase I Pro Forma'!Y$292-SUM(Y$295:Y296))</f>
        <v>0</v>
      </c>
      <c r="Z297" s="151">
        <f ca="1">+MIN('S&amp;U'!$H20-SUM('Phase I Pro Forma'!$E297:Y297),'Phase I Pro Forma'!Z$292-SUM(Z$295:Z296))</f>
        <v>0</v>
      </c>
    </row>
    <row r="298" spans="1:26" ht="15.5">
      <c r="B298" s="33" t="s">
        <v>99</v>
      </c>
      <c r="D298" s="48">
        <f t="shared" ca="1" si="567"/>
        <v>266062.01999999996</v>
      </c>
      <c r="E298" s="48"/>
      <c r="F298" s="151">
        <f ca="1">+MIN('S&amp;U'!$H21-SUM('Phase I Pro Forma'!$E298:E298),'Phase I Pro Forma'!F$292-SUM(F$295:F297))</f>
        <v>0</v>
      </c>
      <c r="G298" s="151">
        <f ca="1">+MIN('S&amp;U'!$H21-SUM('Phase I Pro Forma'!$E298:F298),'Phase I Pro Forma'!G$292-SUM(G$295:G297))</f>
        <v>266062.01999999996</v>
      </c>
      <c r="H298" s="151">
        <f ca="1">+MIN('S&amp;U'!$H21-SUM('Phase I Pro Forma'!$E298:G298),'Phase I Pro Forma'!H$292-SUM(H$295:H297))</f>
        <v>0</v>
      </c>
      <c r="I298" s="151">
        <f ca="1">+MIN('S&amp;U'!$H21-SUM('Phase I Pro Forma'!$E298:H298),'Phase I Pro Forma'!I$292-SUM(I$295:I297))</f>
        <v>0</v>
      </c>
      <c r="J298" s="151">
        <f ca="1">+MIN('S&amp;U'!$H21-SUM('Phase I Pro Forma'!$E298:I298),'Phase I Pro Forma'!J$292-SUM(J$295:J297))</f>
        <v>0</v>
      </c>
      <c r="K298" s="151">
        <f ca="1">+MIN('S&amp;U'!$H21-SUM('Phase I Pro Forma'!$E298:J298),'Phase I Pro Forma'!K$292-SUM(K$295:K297))</f>
        <v>0</v>
      </c>
      <c r="L298" s="151">
        <f ca="1">+MIN('S&amp;U'!$H21-SUM('Phase I Pro Forma'!$E298:K298),'Phase I Pro Forma'!L$292-SUM(L$295:L297))</f>
        <v>0</v>
      </c>
      <c r="M298" s="151">
        <f ca="1">+MIN('S&amp;U'!$H21-SUM('Phase I Pro Forma'!$E298:L298),'Phase I Pro Forma'!M$292-SUM(M$295:M297))</f>
        <v>0</v>
      </c>
      <c r="N298" s="151">
        <f ca="1">+MIN('S&amp;U'!$H21-SUM('Phase I Pro Forma'!$E298:M298),'Phase I Pro Forma'!N$292-SUM(N$295:N297))</f>
        <v>0</v>
      </c>
      <c r="O298" s="151">
        <f ca="1">+MIN('S&amp;U'!$H21-SUM('Phase I Pro Forma'!$E298:N298),'Phase I Pro Forma'!O$292-SUM(O$295:O297))</f>
        <v>0</v>
      </c>
      <c r="P298" s="151">
        <f ca="1">+MIN('S&amp;U'!$H21-SUM('Phase I Pro Forma'!$E298:O298),'Phase I Pro Forma'!P$292-SUM(P$295:P297))</f>
        <v>0</v>
      </c>
      <c r="Q298" s="151">
        <f ca="1">+MIN('S&amp;U'!$H21-SUM('Phase I Pro Forma'!$E298:P298),'Phase I Pro Forma'!Q$292-SUM(Q$295:Q297))</f>
        <v>0</v>
      </c>
      <c r="R298" s="151">
        <f ca="1">+MIN('S&amp;U'!$H21-SUM('Phase I Pro Forma'!$E298:Q298),'Phase I Pro Forma'!R$292-SUM(R$295:R297))</f>
        <v>0</v>
      </c>
      <c r="S298" s="151">
        <f ca="1">+MIN('S&amp;U'!$H21-SUM('Phase I Pro Forma'!$E298:R298),'Phase I Pro Forma'!S$292-SUM(S$295:S297))</f>
        <v>0</v>
      </c>
      <c r="T298" s="151">
        <f ca="1">+MIN('S&amp;U'!$H21-SUM('Phase I Pro Forma'!$E298:S298),'Phase I Pro Forma'!T$292-SUM(T$295:T297))</f>
        <v>0</v>
      </c>
      <c r="U298" s="151">
        <f ca="1">+MIN('S&amp;U'!$H21-SUM('Phase I Pro Forma'!$E298:T298),'Phase I Pro Forma'!U$292-SUM(U$295:U297))</f>
        <v>0</v>
      </c>
      <c r="V298" s="151">
        <f ca="1">+MIN('S&amp;U'!$H21-SUM('Phase I Pro Forma'!$E298:U298),'Phase I Pro Forma'!V$292-SUM(V$295:V297))</f>
        <v>0</v>
      </c>
      <c r="W298" s="151">
        <f ca="1">+MIN('S&amp;U'!$H21-SUM('Phase I Pro Forma'!$E298:V298),'Phase I Pro Forma'!W$292-SUM(W$295:W297))</f>
        <v>0</v>
      </c>
      <c r="X298" s="151">
        <f ca="1">+MIN('S&amp;U'!$H21-SUM('Phase I Pro Forma'!$E298:W298),'Phase I Pro Forma'!X$292-SUM(X$295:X297))</f>
        <v>0</v>
      </c>
      <c r="Y298" s="151">
        <f ca="1">+MIN('S&amp;U'!$H21-SUM('Phase I Pro Forma'!$E298:X298),'Phase I Pro Forma'!Y$292-SUM(Y$295:Y297))</f>
        <v>0</v>
      </c>
      <c r="Z298" s="151">
        <f ca="1">+MIN('S&amp;U'!$H21-SUM('Phase I Pro Forma'!$E298:Y298),'Phase I Pro Forma'!Z$292-SUM(Z$295:Z297))</f>
        <v>0</v>
      </c>
    </row>
    <row r="299" spans="1:26" ht="15.5">
      <c r="B299" s="33" t="s">
        <v>564</v>
      </c>
      <c r="D299" s="48">
        <f t="shared" ca="1" si="567"/>
        <v>9204939.2134974767</v>
      </c>
      <c r="E299" s="48"/>
      <c r="F299" s="151">
        <f ca="1">+MIN('S&amp;U'!$H22-SUM('Phase I Pro Forma'!$E299:E299),'Phase I Pro Forma'!F$292-SUM(F$295:F298))</f>
        <v>0</v>
      </c>
      <c r="G299" s="151">
        <f ca="1">+MIN('S&amp;U'!$H22-SUM('Phase I Pro Forma'!$E299:F299),'Phase I Pro Forma'!G$292-SUM(G$295:G298))</f>
        <v>9204939.2134974767</v>
      </c>
      <c r="H299" s="151">
        <f ca="1">+MIN('S&amp;U'!$H22-SUM('Phase I Pro Forma'!$E299:G299),'Phase I Pro Forma'!H$292-SUM(H$295:H298))</f>
        <v>0</v>
      </c>
      <c r="I299" s="151">
        <f ca="1">+MIN('S&amp;U'!$H22-SUM('Phase I Pro Forma'!$E299:H299),'Phase I Pro Forma'!I$292-SUM(I$295:I298))</f>
        <v>0</v>
      </c>
      <c r="J299" s="151">
        <f ca="1">+MIN('S&amp;U'!$H22-SUM('Phase I Pro Forma'!$E299:I299),'Phase I Pro Forma'!J$292-SUM(J$295:J298))</f>
        <v>0</v>
      </c>
      <c r="K299" s="151">
        <f ca="1">+MIN('S&amp;U'!$H22-SUM('Phase I Pro Forma'!$E299:J299),'Phase I Pro Forma'!K$292-SUM(K$295:K298))</f>
        <v>0</v>
      </c>
      <c r="L299" s="151">
        <f ca="1">+MIN('S&amp;U'!$H22-SUM('Phase I Pro Forma'!$E299:K299),'Phase I Pro Forma'!L$292-SUM(L$295:L298))</f>
        <v>0</v>
      </c>
      <c r="M299" s="151">
        <f ca="1">+MIN('S&amp;U'!$H22-SUM('Phase I Pro Forma'!$E299:L299),'Phase I Pro Forma'!M$292-SUM(M$295:M298))</f>
        <v>0</v>
      </c>
      <c r="N299" s="151">
        <f ca="1">+MIN('S&amp;U'!$H22-SUM('Phase I Pro Forma'!$E299:M299),'Phase I Pro Forma'!N$292-SUM(N$295:N298))</f>
        <v>0</v>
      </c>
      <c r="O299" s="151">
        <f ca="1">+MIN('S&amp;U'!$H22-SUM('Phase I Pro Forma'!$E299:N299),'Phase I Pro Forma'!O$292-SUM(O$295:O298))</f>
        <v>0</v>
      </c>
      <c r="P299" s="151">
        <f ca="1">+MIN('S&amp;U'!$H22-SUM('Phase I Pro Forma'!$E299:O299),'Phase I Pro Forma'!P$292-SUM(P$295:P298))</f>
        <v>0</v>
      </c>
      <c r="Q299" s="151">
        <f ca="1">+MIN('S&amp;U'!$H22-SUM('Phase I Pro Forma'!$E299:P299),'Phase I Pro Forma'!Q$292-SUM(Q$295:Q298))</f>
        <v>0</v>
      </c>
      <c r="R299" s="151">
        <f ca="1">+MIN('S&amp;U'!$H22-SUM('Phase I Pro Forma'!$E299:Q299),'Phase I Pro Forma'!R$292-SUM(R$295:R298))</f>
        <v>0</v>
      </c>
      <c r="S299" s="151">
        <f ca="1">+MIN('S&amp;U'!$H22-SUM('Phase I Pro Forma'!$E299:R299),'Phase I Pro Forma'!S$292-SUM(S$295:S298))</f>
        <v>0</v>
      </c>
      <c r="T299" s="151">
        <f ca="1">+MIN('S&amp;U'!$H22-SUM('Phase I Pro Forma'!$E299:S299),'Phase I Pro Forma'!T$292-SUM(T$295:T298))</f>
        <v>0</v>
      </c>
      <c r="U299" s="151">
        <f ca="1">+MIN('S&amp;U'!$H22-SUM('Phase I Pro Forma'!$E299:T299),'Phase I Pro Forma'!U$292-SUM(U$295:U298))</f>
        <v>0</v>
      </c>
      <c r="V299" s="151">
        <f ca="1">+MIN('S&amp;U'!$H22-SUM('Phase I Pro Forma'!$E299:U299),'Phase I Pro Forma'!V$292-SUM(V$295:V298))</f>
        <v>0</v>
      </c>
      <c r="W299" s="151">
        <f ca="1">+MIN('S&amp;U'!$H22-SUM('Phase I Pro Forma'!$E299:V299),'Phase I Pro Forma'!W$292-SUM(W$295:W298))</f>
        <v>0</v>
      </c>
      <c r="X299" s="151">
        <f ca="1">+MIN('S&amp;U'!$H22-SUM('Phase I Pro Forma'!$E299:W299),'Phase I Pro Forma'!X$292-SUM(X$295:X298))</f>
        <v>0</v>
      </c>
      <c r="Y299" s="151">
        <f ca="1">+MIN('S&amp;U'!$H22-SUM('Phase I Pro Forma'!$E299:X299),'Phase I Pro Forma'!Y$292-SUM(Y$295:Y298))</f>
        <v>0</v>
      </c>
      <c r="Z299" s="151">
        <f ca="1">+MIN('S&amp;U'!$H22-SUM('Phase I Pro Forma'!$E299:Y299),'Phase I Pro Forma'!Z$292-SUM(Z$295:Z298))</f>
        <v>0</v>
      </c>
    </row>
    <row r="300" spans="1:26" ht="15.5">
      <c r="A300" s="108"/>
      <c r="B300" s="33" t="s">
        <v>312</v>
      </c>
      <c r="D300" s="48">
        <f t="shared" ca="1" si="567"/>
        <v>235709391.27993742</v>
      </c>
      <c r="E300" s="48"/>
      <c r="F300" s="151">
        <f ca="1">+MIN('S&amp;U'!$H17-SUM('Phase I Pro Forma'!$E300:E300),'Phase I Pro Forma'!F$292-SUM(F$295:F299))</f>
        <v>0</v>
      </c>
      <c r="G300" s="151">
        <f ca="1">+MIN('S&amp;U'!$H17-SUM('Phase I Pro Forma'!$E300:F300),'Phase I Pro Forma'!G$292-SUM(G$295:G299))</f>
        <v>108036780.78563279</v>
      </c>
      <c r="H300" s="151">
        <f ca="1">+MIN('S&amp;U'!$H17-SUM('Phase I Pro Forma'!$E300:G300),'Phase I Pro Forma'!H$292-SUM(H$295:H299))</f>
        <v>127672610.49430463</v>
      </c>
      <c r="I300" s="151">
        <f ca="1">+MIN('S&amp;U'!$H17-SUM('Phase I Pro Forma'!$E300:H300),'Phase I Pro Forma'!I$292-SUM(I$295:I299))</f>
        <v>0</v>
      </c>
      <c r="J300" s="151">
        <f ca="1">+MIN('S&amp;U'!$H17-SUM('Phase I Pro Forma'!$E300:I300),'Phase I Pro Forma'!J$292-SUM(J$295:J299))</f>
        <v>0</v>
      </c>
      <c r="K300" s="151">
        <f ca="1">+MIN('S&amp;U'!$H17-SUM('Phase I Pro Forma'!$E300:J300),'Phase I Pro Forma'!K$292-SUM(K$295:K299))</f>
        <v>0</v>
      </c>
      <c r="L300" s="151">
        <f ca="1">+MIN('S&amp;U'!$H17-SUM('Phase I Pro Forma'!$E300:K300),'Phase I Pro Forma'!L$292-SUM(L$295:L299))</f>
        <v>0</v>
      </c>
      <c r="M300" s="151">
        <f ca="1">+MIN('S&amp;U'!$H17-SUM('Phase I Pro Forma'!$E300:L300),'Phase I Pro Forma'!M$292-SUM(M$295:M299))</f>
        <v>0</v>
      </c>
      <c r="N300" s="151">
        <f ca="1">+MIN('S&amp;U'!$H17-SUM('Phase I Pro Forma'!$E300:M300),'Phase I Pro Forma'!N$292-SUM(N$295:N299))</f>
        <v>0</v>
      </c>
      <c r="O300" s="151">
        <f ca="1">+MIN('S&amp;U'!$H17-SUM('Phase I Pro Forma'!$E300:N300),'Phase I Pro Forma'!O$292-SUM(O$295:O299))</f>
        <v>0</v>
      </c>
      <c r="P300" s="151">
        <f ca="1">+MIN('S&amp;U'!$H17-SUM('Phase I Pro Forma'!$E300:O300),'Phase I Pro Forma'!P$292-SUM(P$295:P299))</f>
        <v>0</v>
      </c>
      <c r="Q300" s="151">
        <f ca="1">+MIN('S&amp;U'!$H17-SUM('Phase I Pro Forma'!$E300:P300),'Phase I Pro Forma'!Q$292-SUM(Q$295:Q299))</f>
        <v>0</v>
      </c>
      <c r="R300" s="151">
        <f ca="1">+MIN('S&amp;U'!$H17-SUM('Phase I Pro Forma'!$E300:Q300),'Phase I Pro Forma'!R$292-SUM(R$295:R299))</f>
        <v>0</v>
      </c>
      <c r="S300" s="151">
        <f ca="1">+MIN('S&amp;U'!$H17-SUM('Phase I Pro Forma'!$E300:R300),'Phase I Pro Forma'!S$292-SUM(S$295:S299))</f>
        <v>0</v>
      </c>
      <c r="T300" s="151">
        <f ca="1">+MIN('S&amp;U'!$H17-SUM('Phase I Pro Forma'!$E300:S300),'Phase I Pro Forma'!T$292-SUM(T$295:T299))</f>
        <v>0</v>
      </c>
      <c r="U300" s="151">
        <f ca="1">+MIN('S&amp;U'!$H17-SUM('Phase I Pro Forma'!$E300:T300),'Phase I Pro Forma'!U$292-SUM(U$295:U299))</f>
        <v>0</v>
      </c>
      <c r="V300" s="151">
        <f ca="1">+MIN('S&amp;U'!$H17-SUM('Phase I Pro Forma'!$E300:U300),'Phase I Pro Forma'!V$292-SUM(V$295:V299))</f>
        <v>0</v>
      </c>
      <c r="W300" s="151">
        <f ca="1">+MIN('S&amp;U'!$H17-SUM('Phase I Pro Forma'!$E300:V300),'Phase I Pro Forma'!W$292-SUM(W$295:W299))</f>
        <v>0</v>
      </c>
      <c r="X300" s="151">
        <f ca="1">+MIN('S&amp;U'!$H17-SUM('Phase I Pro Forma'!$E300:W300),'Phase I Pro Forma'!X$292-SUM(X$295:X299))</f>
        <v>0</v>
      </c>
      <c r="Y300" s="151">
        <f ca="1">+MIN('S&amp;U'!$H17-SUM('Phase I Pro Forma'!$E300:X300),'Phase I Pro Forma'!Y$292-SUM(Y$295:Y299))</f>
        <v>0</v>
      </c>
      <c r="Z300" s="151">
        <f ca="1">+MIN('S&amp;U'!$H17-SUM('Phase I Pro Forma'!$E300:Y300),'Phase I Pro Forma'!Z$292-SUM(Z$295:Z299))</f>
        <v>0</v>
      </c>
    </row>
    <row r="301" spans="1:26" ht="15.5">
      <c r="A301" s="108"/>
      <c r="B301" s="33" t="s">
        <v>97</v>
      </c>
      <c r="D301" s="48">
        <f t="shared" ca="1" si="567"/>
        <v>51774802.65090166</v>
      </c>
      <c r="E301" s="48"/>
      <c r="F301" s="151">
        <f ca="1">+MIN('S&amp;U'!$H18-SUM('Phase I Pro Forma'!$E301:E301),'Phase I Pro Forma'!F$292-SUM(F$295:F300))</f>
        <v>0</v>
      </c>
      <c r="G301" s="151">
        <f ca="1">+MIN('S&amp;U'!$H18-SUM('Phase I Pro Forma'!$E301:F301),'Phase I Pro Forma'!G$292-SUM(G$295:G300))</f>
        <v>0</v>
      </c>
      <c r="H301" s="151">
        <f ca="1">+MIN('S&amp;U'!$H18-SUM('Phase I Pro Forma'!$E301:G301),'Phase I Pro Forma'!H$292-SUM(H$295:H300))</f>
        <v>46553775.860098004</v>
      </c>
      <c r="I301" s="151">
        <f ca="1">+MIN('S&amp;U'!$H18-SUM('Phase I Pro Forma'!$E301:H301),'Phase I Pro Forma'!I$292-SUM(I$295:I300))</f>
        <v>2610513.3954018247</v>
      </c>
      <c r="J301" s="151">
        <f ca="1">+MIN('S&amp;U'!$H18-SUM('Phase I Pro Forma'!$E301:I301),'Phase I Pro Forma'!J$292-SUM(J$295:J300))</f>
        <v>2610513.3954018247</v>
      </c>
      <c r="K301" s="151">
        <f ca="1">+MIN('S&amp;U'!$H18-SUM('Phase I Pro Forma'!$E301:J301),'Phase I Pro Forma'!K$292-SUM(K$295:K300))</f>
        <v>0</v>
      </c>
      <c r="L301" s="151">
        <f ca="1">+MIN('S&amp;U'!$H18-SUM('Phase I Pro Forma'!$E301:K301),'Phase I Pro Forma'!L$292-SUM(L$295:L300))</f>
        <v>0</v>
      </c>
      <c r="M301" s="151">
        <f ca="1">+MIN('S&amp;U'!$H18-SUM('Phase I Pro Forma'!$E301:L301),'Phase I Pro Forma'!M$292-SUM(M$295:M300))</f>
        <v>0</v>
      </c>
      <c r="N301" s="151">
        <f ca="1">+MIN('S&amp;U'!$H18-SUM('Phase I Pro Forma'!$E301:M301),'Phase I Pro Forma'!N$292-SUM(N$295:N300))</f>
        <v>0</v>
      </c>
      <c r="O301" s="151">
        <f ca="1">+MIN('S&amp;U'!$H18-SUM('Phase I Pro Forma'!$E301:N301),'Phase I Pro Forma'!O$292-SUM(O$295:O300))</f>
        <v>0</v>
      </c>
      <c r="P301" s="151">
        <f ca="1">+MIN('S&amp;U'!$H18-SUM('Phase I Pro Forma'!$E301:O301),'Phase I Pro Forma'!P$292-SUM(P$295:P300))</f>
        <v>0</v>
      </c>
      <c r="Q301" s="151">
        <f ca="1">+MIN('S&amp;U'!$H18-SUM('Phase I Pro Forma'!$E301:P301),'Phase I Pro Forma'!Q$292-SUM(Q$295:Q300))</f>
        <v>0</v>
      </c>
      <c r="R301" s="151">
        <f ca="1">+MIN('S&amp;U'!$H18-SUM('Phase I Pro Forma'!$E301:Q301),'Phase I Pro Forma'!R$292-SUM(R$295:R300))</f>
        <v>0</v>
      </c>
      <c r="S301" s="151">
        <f ca="1">+MIN('S&amp;U'!$H18-SUM('Phase I Pro Forma'!$E301:R301),'Phase I Pro Forma'!S$292-SUM(S$295:S300))</f>
        <v>0</v>
      </c>
      <c r="T301" s="151">
        <f ca="1">+MIN('S&amp;U'!$H18-SUM('Phase I Pro Forma'!$E301:S301),'Phase I Pro Forma'!T$292-SUM(T$295:T300))</f>
        <v>0</v>
      </c>
      <c r="U301" s="151">
        <f ca="1">+MIN('S&amp;U'!$H18-SUM('Phase I Pro Forma'!$E301:T301),'Phase I Pro Forma'!U$292-SUM(U$295:U300))</f>
        <v>0</v>
      </c>
      <c r="V301" s="151">
        <f ca="1">+MIN('S&amp;U'!$H18-SUM('Phase I Pro Forma'!$E301:U301),'Phase I Pro Forma'!V$292-SUM(V$295:V300))</f>
        <v>0</v>
      </c>
      <c r="W301" s="151">
        <f ca="1">+MIN('S&amp;U'!$H18-SUM('Phase I Pro Forma'!$E301:V301),'Phase I Pro Forma'!W$292-SUM(W$295:W300))</f>
        <v>0</v>
      </c>
      <c r="X301" s="151">
        <f ca="1">+MIN('S&amp;U'!$H18-SUM('Phase I Pro Forma'!$E301:W301),'Phase I Pro Forma'!X$292-SUM(X$295:X300))</f>
        <v>0</v>
      </c>
      <c r="Y301" s="151">
        <f ca="1">+MIN('S&amp;U'!$H18-SUM('Phase I Pro Forma'!$E301:X301),'Phase I Pro Forma'!Y$292-SUM(Y$295:Y300))</f>
        <v>0</v>
      </c>
      <c r="Z301" s="151">
        <f ca="1">+MIN('S&amp;U'!$H18-SUM('Phase I Pro Forma'!$E301:Y301),'Phase I Pro Forma'!Z$292-SUM(Z$295:Z300))</f>
        <v>0</v>
      </c>
    </row>
    <row r="302" spans="1:26" ht="15.5">
      <c r="B302" s="138" t="s">
        <v>359</v>
      </c>
      <c r="C302" s="138"/>
      <c r="D302" s="139">
        <f t="shared" ca="1" si="567"/>
        <v>416531684.53289485</v>
      </c>
      <c r="E302" s="139"/>
      <c r="F302" s="139">
        <f t="shared" ref="F302:Z302" ca="1" si="568">+SUM(F295:F301)</f>
        <v>62857885.033285916</v>
      </c>
      <c r="G302" s="139">
        <f t="shared" ca="1" si="568"/>
        <v>174226386.35440263</v>
      </c>
      <c r="H302" s="139">
        <f t="shared" ca="1" si="568"/>
        <v>174226386.35440263</v>
      </c>
      <c r="I302" s="139">
        <f t="shared" ca="1" si="568"/>
        <v>2610513.3954018247</v>
      </c>
      <c r="J302" s="139">
        <f t="shared" ca="1" si="568"/>
        <v>2610513.3954018247</v>
      </c>
      <c r="K302" s="139">
        <f t="shared" ca="1" si="568"/>
        <v>0</v>
      </c>
      <c r="L302" s="139">
        <f t="shared" ca="1" si="568"/>
        <v>0</v>
      </c>
      <c r="M302" s="139">
        <f t="shared" ca="1" si="568"/>
        <v>0</v>
      </c>
      <c r="N302" s="139">
        <f t="shared" ca="1" si="568"/>
        <v>0</v>
      </c>
      <c r="O302" s="139">
        <f t="shared" ca="1" si="568"/>
        <v>0</v>
      </c>
      <c r="P302" s="139">
        <f t="shared" ca="1" si="568"/>
        <v>0</v>
      </c>
      <c r="Q302" s="139">
        <f t="shared" ca="1" si="568"/>
        <v>0</v>
      </c>
      <c r="R302" s="139">
        <f t="shared" ca="1" si="568"/>
        <v>0</v>
      </c>
      <c r="S302" s="139">
        <f t="shared" ca="1" si="568"/>
        <v>0</v>
      </c>
      <c r="T302" s="139">
        <f t="shared" ca="1" si="568"/>
        <v>0</v>
      </c>
      <c r="U302" s="139">
        <f t="shared" ca="1" si="568"/>
        <v>0</v>
      </c>
      <c r="V302" s="139">
        <f t="shared" ca="1" si="568"/>
        <v>0</v>
      </c>
      <c r="W302" s="139">
        <f t="shared" ca="1" si="568"/>
        <v>0</v>
      </c>
      <c r="X302" s="139">
        <f t="shared" ca="1" si="568"/>
        <v>0</v>
      </c>
      <c r="Y302" s="139">
        <f t="shared" ca="1" si="568"/>
        <v>0</v>
      </c>
      <c r="Z302" s="139">
        <f t="shared" ca="1" si="568"/>
        <v>0</v>
      </c>
    </row>
    <row r="304" spans="1:26" ht="15.5">
      <c r="B304" s="33" t="s">
        <v>419</v>
      </c>
      <c r="D304" s="48">
        <f t="shared" ca="1" si="567"/>
        <v>93333303.884399116</v>
      </c>
      <c r="F304" s="42">
        <f ca="1">+SUM(F296:F299,F301)</f>
        <v>0</v>
      </c>
      <c r="G304" s="42">
        <f t="shared" ref="G304:Z304" ca="1" si="569">+SUM(G296:G299,G301)</f>
        <v>41558501.233497478</v>
      </c>
      <c r="H304" s="42">
        <f t="shared" ca="1" si="569"/>
        <v>46553775.860098004</v>
      </c>
      <c r="I304" s="42">
        <f t="shared" ca="1" si="569"/>
        <v>2610513.3954018247</v>
      </c>
      <c r="J304" s="42">
        <f t="shared" ca="1" si="569"/>
        <v>2610513.3954018247</v>
      </c>
      <c r="K304" s="42">
        <f t="shared" ca="1" si="569"/>
        <v>0</v>
      </c>
      <c r="L304" s="42">
        <f t="shared" ca="1" si="569"/>
        <v>0</v>
      </c>
      <c r="M304" s="42">
        <f t="shared" ca="1" si="569"/>
        <v>0</v>
      </c>
      <c r="N304" s="42">
        <f t="shared" ca="1" si="569"/>
        <v>0</v>
      </c>
      <c r="O304" s="42">
        <f t="shared" ca="1" si="569"/>
        <v>0</v>
      </c>
      <c r="P304" s="42">
        <f t="shared" ca="1" si="569"/>
        <v>0</v>
      </c>
      <c r="Q304" s="42">
        <f t="shared" ca="1" si="569"/>
        <v>0</v>
      </c>
      <c r="R304" s="42">
        <f t="shared" ca="1" si="569"/>
        <v>0</v>
      </c>
      <c r="S304" s="42">
        <f t="shared" ca="1" si="569"/>
        <v>0</v>
      </c>
      <c r="T304" s="42">
        <f t="shared" ca="1" si="569"/>
        <v>0</v>
      </c>
      <c r="U304" s="42">
        <f t="shared" ca="1" si="569"/>
        <v>0</v>
      </c>
      <c r="V304" s="42">
        <f t="shared" ca="1" si="569"/>
        <v>0</v>
      </c>
      <c r="W304" s="42">
        <f t="shared" ca="1" si="569"/>
        <v>0</v>
      </c>
      <c r="X304" s="42">
        <f t="shared" ca="1" si="569"/>
        <v>0</v>
      </c>
      <c r="Y304" s="42">
        <f t="shared" ca="1" si="569"/>
        <v>0</v>
      </c>
      <c r="Z304" s="42">
        <f t="shared" ca="1" si="569"/>
        <v>0</v>
      </c>
    </row>
    <row r="306" spans="2:26" ht="15.5">
      <c r="B306" s="148" t="s">
        <v>330</v>
      </c>
    </row>
    <row r="307" spans="2:26" ht="15.5">
      <c r="B307" s="33" t="s">
        <v>331</v>
      </c>
      <c r="D307" s="48">
        <f ca="1">+SUM(F307:Z307)</f>
        <v>-87488989.368558288</v>
      </c>
      <c r="E307" s="48"/>
      <c r="F307" s="34">
        <f ca="1">-F295</f>
        <v>-62857885.033285916</v>
      </c>
      <c r="G307" s="34">
        <f t="shared" ref="G307:Z307" ca="1" si="570">-G295</f>
        <v>-24631104.335272372</v>
      </c>
      <c r="H307" s="34">
        <f t="shared" ca="1" si="570"/>
        <v>0</v>
      </c>
      <c r="I307" s="34">
        <f t="shared" ca="1" si="570"/>
        <v>0</v>
      </c>
      <c r="J307" s="34">
        <f t="shared" ca="1" si="570"/>
        <v>0</v>
      </c>
      <c r="K307" s="34">
        <f t="shared" ca="1" si="570"/>
        <v>0</v>
      </c>
      <c r="L307" s="34">
        <f t="shared" ca="1" si="570"/>
        <v>0</v>
      </c>
      <c r="M307" s="34">
        <f t="shared" ca="1" si="570"/>
        <v>0</v>
      </c>
      <c r="N307" s="34">
        <f t="shared" ca="1" si="570"/>
        <v>0</v>
      </c>
      <c r="O307" s="34">
        <f t="shared" ca="1" si="570"/>
        <v>0</v>
      </c>
      <c r="P307" s="34">
        <f t="shared" ca="1" si="570"/>
        <v>0</v>
      </c>
      <c r="Q307" s="34">
        <f t="shared" ca="1" si="570"/>
        <v>0</v>
      </c>
      <c r="R307" s="34">
        <f t="shared" ca="1" si="570"/>
        <v>0</v>
      </c>
      <c r="S307" s="34">
        <f t="shared" ca="1" si="570"/>
        <v>0</v>
      </c>
      <c r="T307" s="34">
        <f t="shared" ca="1" si="570"/>
        <v>0</v>
      </c>
      <c r="U307" s="34">
        <f t="shared" ca="1" si="570"/>
        <v>0</v>
      </c>
      <c r="V307" s="34">
        <f t="shared" ca="1" si="570"/>
        <v>0</v>
      </c>
      <c r="W307" s="34">
        <f t="shared" ca="1" si="570"/>
        <v>0</v>
      </c>
      <c r="X307" s="34">
        <f t="shared" ca="1" si="570"/>
        <v>0</v>
      </c>
      <c r="Y307" s="34">
        <f t="shared" ca="1" si="570"/>
        <v>0</v>
      </c>
      <c r="Z307" s="34">
        <f t="shared" ca="1" si="570"/>
        <v>0</v>
      </c>
    </row>
    <row r="308" spans="2:26" ht="15.5">
      <c r="B308" s="33" t="s">
        <v>332</v>
      </c>
      <c r="D308" s="48">
        <f t="shared" ref="D308" ca="1" si="571">+SUM(F308:Z308)</f>
        <v>448965946.35711145</v>
      </c>
      <c r="E308" s="48"/>
      <c r="F308" s="151">
        <f ca="1">+F277</f>
        <v>0</v>
      </c>
      <c r="G308" s="151">
        <f t="shared" ref="G308:Z308" ca="1" si="572">+G277</f>
        <v>0</v>
      </c>
      <c r="H308" s="151">
        <f t="shared" ca="1" si="572"/>
        <v>0</v>
      </c>
      <c r="I308" s="151">
        <f t="shared" ca="1" si="572"/>
        <v>71667757.512128755</v>
      </c>
      <c r="J308" s="151">
        <f t="shared" ca="1" si="572"/>
        <v>9576755.7472895402</v>
      </c>
      <c r="K308" s="151">
        <f t="shared" ca="1" si="572"/>
        <v>9808367.275763236</v>
      </c>
      <c r="L308" s="151">
        <f t="shared" ca="1" si="572"/>
        <v>12499241.588265486</v>
      </c>
      <c r="M308" s="151">
        <f t="shared" ca="1" si="572"/>
        <v>12683745.250944594</v>
      </c>
      <c r="N308" s="151">
        <f t="shared" ca="1" si="572"/>
        <v>12928807.02357916</v>
      </c>
      <c r="O308" s="151">
        <f t="shared" ca="1" si="572"/>
        <v>13178518.25672905</v>
      </c>
      <c r="P308" s="151">
        <f t="shared" ca="1" si="572"/>
        <v>306622753.70241165</v>
      </c>
      <c r="Q308" s="151">
        <f t="shared" si="572"/>
        <v>0</v>
      </c>
      <c r="R308" s="151">
        <f t="shared" si="572"/>
        <v>0</v>
      </c>
      <c r="S308" s="151">
        <f t="shared" si="572"/>
        <v>0</v>
      </c>
      <c r="T308" s="151">
        <f t="shared" si="572"/>
        <v>0</v>
      </c>
      <c r="U308" s="151">
        <f t="shared" si="572"/>
        <v>0</v>
      </c>
      <c r="V308" s="151">
        <f t="shared" si="572"/>
        <v>0</v>
      </c>
      <c r="W308" s="151">
        <f t="shared" si="572"/>
        <v>0</v>
      </c>
      <c r="X308" s="151">
        <f t="shared" si="572"/>
        <v>0</v>
      </c>
      <c r="Y308" s="151">
        <f t="shared" si="572"/>
        <v>0</v>
      </c>
      <c r="Z308" s="151">
        <f t="shared" si="572"/>
        <v>0</v>
      </c>
    </row>
    <row r="309" spans="2:26" ht="15.5">
      <c r="B309" s="138" t="s">
        <v>333</v>
      </c>
      <c r="C309" s="138"/>
      <c r="D309" s="139">
        <f ca="1">+SUM(F309:Z309)</f>
        <v>361476956.98855317</v>
      </c>
      <c r="E309" s="139"/>
      <c r="F309" s="139">
        <f ca="1">+SUM(F307:F308)</f>
        <v>-62857885.033285916</v>
      </c>
      <c r="G309" s="139">
        <f t="shared" ref="G309:Z309" ca="1" si="573">+SUM(G307:G308)</f>
        <v>-24631104.335272372</v>
      </c>
      <c r="H309" s="139">
        <f t="shared" ca="1" si="573"/>
        <v>0</v>
      </c>
      <c r="I309" s="139">
        <f t="shared" ca="1" si="573"/>
        <v>71667757.512128755</v>
      </c>
      <c r="J309" s="139">
        <f t="shared" ca="1" si="573"/>
        <v>9576755.7472895402</v>
      </c>
      <c r="K309" s="139">
        <f t="shared" ca="1" si="573"/>
        <v>9808367.275763236</v>
      </c>
      <c r="L309" s="139">
        <f t="shared" ca="1" si="573"/>
        <v>12499241.588265486</v>
      </c>
      <c r="M309" s="139">
        <f t="shared" ca="1" si="573"/>
        <v>12683745.250944594</v>
      </c>
      <c r="N309" s="139">
        <f t="shared" ca="1" si="573"/>
        <v>12928807.02357916</v>
      </c>
      <c r="O309" s="139">
        <f t="shared" ca="1" si="573"/>
        <v>13178518.25672905</v>
      </c>
      <c r="P309" s="139">
        <f t="shared" ca="1" si="573"/>
        <v>306622753.70241165</v>
      </c>
      <c r="Q309" s="139">
        <f t="shared" ca="1" si="573"/>
        <v>0</v>
      </c>
      <c r="R309" s="139">
        <f t="shared" ca="1" si="573"/>
        <v>0</v>
      </c>
      <c r="S309" s="139">
        <f t="shared" ca="1" si="573"/>
        <v>0</v>
      </c>
      <c r="T309" s="139">
        <f t="shared" ca="1" si="573"/>
        <v>0</v>
      </c>
      <c r="U309" s="139">
        <f t="shared" ca="1" si="573"/>
        <v>0</v>
      </c>
      <c r="V309" s="139">
        <f t="shared" ca="1" si="573"/>
        <v>0</v>
      </c>
      <c r="W309" s="139">
        <f t="shared" ca="1" si="573"/>
        <v>0</v>
      </c>
      <c r="X309" s="139">
        <f t="shared" ca="1" si="573"/>
        <v>0</v>
      </c>
      <c r="Y309" s="139">
        <f t="shared" ca="1" si="573"/>
        <v>0</v>
      </c>
      <c r="Z309" s="139">
        <f t="shared" ca="1" si="573"/>
        <v>0</v>
      </c>
    </row>
    <row r="311" spans="2:26" ht="15.5">
      <c r="B311" s="190" t="s">
        <v>337</v>
      </c>
      <c r="C311" s="190"/>
      <c r="D311" s="191">
        <f ca="1">+IRR(F309:Z309)</f>
        <v>0.26008083120371395</v>
      </c>
      <c r="I311" s="42"/>
    </row>
    <row r="312" spans="2:26" ht="15.5">
      <c r="B312" s="141" t="s">
        <v>335</v>
      </c>
      <c r="C312" s="192"/>
      <c r="D312" s="142">
        <f ca="1">+SUM(F309:Z309)</f>
        <v>361476956.98855317</v>
      </c>
    </row>
    <row r="313" spans="2:26" ht="15.5">
      <c r="B313" s="194" t="s">
        <v>336</v>
      </c>
      <c r="C313" s="193"/>
      <c r="D313" s="195">
        <f ca="1">+D308/-D307</f>
        <v>5.1316851365808605</v>
      </c>
    </row>
    <row r="315" spans="2:26" ht="15.5">
      <c r="B315" s="37" t="s">
        <v>373</v>
      </c>
      <c r="C315" s="38"/>
      <c r="D315" s="38"/>
      <c r="E315" s="38"/>
      <c r="F315" s="136"/>
      <c r="G315" s="136"/>
      <c r="H315" s="136"/>
      <c r="I315" s="136"/>
      <c r="J315" s="136"/>
      <c r="K315" s="136"/>
      <c r="L315" s="136"/>
      <c r="M315" s="136"/>
      <c r="N315" s="136"/>
      <c r="O315" s="136"/>
      <c r="P315" s="136"/>
      <c r="Q315" s="136"/>
      <c r="R315" s="136"/>
      <c r="S315" s="136"/>
      <c r="T315" s="136"/>
      <c r="U315" s="136"/>
      <c r="V315" s="136"/>
      <c r="W315" s="136"/>
      <c r="X315" s="136"/>
      <c r="Y315" s="136"/>
      <c r="Z315" s="136"/>
    </row>
    <row r="317" spans="2:26" ht="15.5">
      <c r="B317" s="148" t="s">
        <v>233</v>
      </c>
      <c r="F317" s="150">
        <f>+F$294</f>
        <v>44561</v>
      </c>
      <c r="G317" s="150">
        <f t="shared" ref="G317:Z317" si="574">+G$294</f>
        <v>44926</v>
      </c>
      <c r="H317" s="150">
        <f t="shared" si="574"/>
        <v>45291</v>
      </c>
      <c r="I317" s="150">
        <f t="shared" si="574"/>
        <v>45657</v>
      </c>
      <c r="J317" s="150">
        <f t="shared" si="574"/>
        <v>46022</v>
      </c>
      <c r="K317" s="150">
        <f t="shared" si="574"/>
        <v>46387</v>
      </c>
      <c r="L317" s="150">
        <f t="shared" si="574"/>
        <v>46752</v>
      </c>
      <c r="M317" s="150">
        <f t="shared" si="574"/>
        <v>47118</v>
      </c>
      <c r="N317" s="150">
        <f t="shared" si="574"/>
        <v>47483</v>
      </c>
      <c r="O317" s="150">
        <f t="shared" si="574"/>
        <v>47848</v>
      </c>
      <c r="P317" s="150">
        <f t="shared" si="574"/>
        <v>48213</v>
      </c>
      <c r="Q317" s="150">
        <f t="shared" si="574"/>
        <v>48579</v>
      </c>
      <c r="R317" s="150">
        <f t="shared" si="574"/>
        <v>48944</v>
      </c>
      <c r="S317" s="150">
        <f t="shared" si="574"/>
        <v>49309</v>
      </c>
      <c r="T317" s="150">
        <f t="shared" si="574"/>
        <v>49674</v>
      </c>
      <c r="U317" s="150">
        <f t="shared" si="574"/>
        <v>50040</v>
      </c>
      <c r="V317" s="150">
        <f t="shared" si="574"/>
        <v>50405</v>
      </c>
      <c r="W317" s="150">
        <f t="shared" si="574"/>
        <v>50770</v>
      </c>
      <c r="X317" s="150">
        <f t="shared" si="574"/>
        <v>51135</v>
      </c>
      <c r="Y317" s="150">
        <f t="shared" si="574"/>
        <v>51501</v>
      </c>
      <c r="Z317" s="150">
        <f t="shared" si="574"/>
        <v>51866</v>
      </c>
    </row>
    <row r="318" spans="2:26">
      <c r="B318" s="33" t="s">
        <v>697</v>
      </c>
      <c r="C318"/>
      <c r="D318"/>
      <c r="E318"/>
      <c r="F318" s="34">
        <f ca="1">+F$138</f>
        <v>0</v>
      </c>
      <c r="G318" s="34">
        <f t="shared" ref="G318:Z318" ca="1" si="575">+G$138</f>
        <v>0</v>
      </c>
      <c r="H318" s="34">
        <f t="shared" ca="1" si="575"/>
        <v>0</v>
      </c>
      <c r="I318" s="34">
        <f t="shared" ca="1" si="575"/>
        <v>16879232.158220448</v>
      </c>
      <c r="J318" s="34">
        <f t="shared" ca="1" si="575"/>
        <v>33930859.019303903</v>
      </c>
      <c r="K318" s="34">
        <f t="shared" ca="1" si="575"/>
        <v>34162470.542280585</v>
      </c>
      <c r="L318" s="34">
        <f t="shared" ca="1" si="575"/>
        <v>36853344.854782835</v>
      </c>
      <c r="M318" s="34">
        <f t="shared" ca="1" si="575"/>
        <v>37037848.518505916</v>
      </c>
      <c r="N318" s="34">
        <f t="shared" ca="1" si="575"/>
        <v>37282910.291140482</v>
      </c>
      <c r="O318" s="34">
        <f t="shared" ca="1" si="575"/>
        <v>37532621.524290368</v>
      </c>
      <c r="P318" s="34">
        <f t="shared" ca="1" si="575"/>
        <v>37729955.176594019</v>
      </c>
      <c r="Q318" s="34">
        <f t="shared" ca="1" si="575"/>
        <v>40689570.186462939</v>
      </c>
      <c r="R318" s="34">
        <f t="shared" ca="1" si="575"/>
        <v>40953748.368263662</v>
      </c>
      <c r="S318" s="34">
        <f t="shared" ca="1" si="575"/>
        <v>41164672.011920005</v>
      </c>
      <c r="T318" s="34">
        <f t="shared" ca="1" si="575"/>
        <v>41438942.073699698</v>
      </c>
      <c r="U318" s="34">
        <f t="shared" ca="1" si="575"/>
        <v>41718396.904272825</v>
      </c>
      <c r="V318" s="34">
        <f t="shared" ca="1" si="575"/>
        <v>44914093.130882338</v>
      </c>
      <c r="W318" s="34">
        <f t="shared" ca="1" si="575"/>
        <v>45204203.151208989</v>
      </c>
      <c r="X318" s="34">
        <f t="shared" ca="1" si="575"/>
        <v>45499786.862755552</v>
      </c>
      <c r="Y318" s="34">
        <f t="shared" ca="1" si="575"/>
        <v>45740335.666235</v>
      </c>
      <c r="Z318" s="34">
        <f t="shared" ca="1" si="575"/>
        <v>46047167.312580481</v>
      </c>
    </row>
    <row r="319" spans="2:26">
      <c r="B319" s="33" t="s">
        <v>698</v>
      </c>
      <c r="C319"/>
      <c r="D319"/>
      <c r="E319"/>
      <c r="F319" s="151">
        <f ca="1">+F$206</f>
        <v>0</v>
      </c>
      <c r="G319" s="151">
        <f t="shared" ref="G319:Z319" ca="1" si="576">+G$206</f>
        <v>0</v>
      </c>
      <c r="H319" s="151">
        <f t="shared" ca="1" si="576"/>
        <v>0</v>
      </c>
      <c r="I319" s="151">
        <f t="shared" ca="1" si="576"/>
        <v>6.0299160151393381E-2</v>
      </c>
      <c r="J319" s="151">
        <f t="shared" ca="1" si="576"/>
        <v>0.13842171695884248</v>
      </c>
      <c r="K319" s="151">
        <f t="shared" ca="1" si="576"/>
        <v>0.14391872945884254</v>
      </c>
      <c r="L319" s="151">
        <f t="shared" ca="1" si="576"/>
        <v>0.14391872945884254</v>
      </c>
      <c r="M319" s="151">
        <f t="shared" ca="1" si="576"/>
        <v>0.14287475604801936</v>
      </c>
      <c r="N319" s="151">
        <f t="shared" ca="1" si="576"/>
        <v>0.14287475604801936</v>
      </c>
      <c r="O319" s="151">
        <f t="shared" ca="1" si="576"/>
        <v>0.14287475604801936</v>
      </c>
      <c r="P319" s="151">
        <f t="shared" ca="1" si="576"/>
        <v>0.14180990316897973</v>
      </c>
      <c r="Q319" s="151">
        <f t="shared" ca="1" si="576"/>
        <v>0.14180990316897973</v>
      </c>
      <c r="R319" s="151">
        <f t="shared" ca="1" si="576"/>
        <v>0.14180990316897973</v>
      </c>
      <c r="S319" s="151">
        <f t="shared" ca="1" si="576"/>
        <v>0.14072375323235936</v>
      </c>
      <c r="T319" s="151">
        <f t="shared" ca="1" si="576"/>
        <v>0.14072375323235936</v>
      </c>
      <c r="U319" s="151">
        <f t="shared" ca="1" si="576"/>
        <v>0.14072375323235936</v>
      </c>
      <c r="V319" s="151">
        <f t="shared" ca="1" si="576"/>
        <v>0.13961588029700656</v>
      </c>
      <c r="W319" s="151">
        <f t="shared" ca="1" si="576"/>
        <v>0.13961588029700656</v>
      </c>
      <c r="X319" s="151">
        <f t="shared" ca="1" si="576"/>
        <v>0.13961588029700656</v>
      </c>
      <c r="Y319" s="151">
        <f t="shared" ca="1" si="576"/>
        <v>0.13848584990294666</v>
      </c>
      <c r="Z319" s="151">
        <f t="shared" ca="1" si="576"/>
        <v>0.13848584990294666</v>
      </c>
    </row>
    <row r="320" spans="2:26">
      <c r="B320" s="33" t="s">
        <v>826</v>
      </c>
      <c r="C320"/>
      <c r="D320"/>
      <c r="E320"/>
      <c r="F320" s="151">
        <f>+F$251</f>
        <v>0</v>
      </c>
      <c r="G320" s="151">
        <f t="shared" ref="G320:Z320" si="577">+G$251</f>
        <v>0</v>
      </c>
      <c r="H320" s="151">
        <f t="shared" si="577"/>
        <v>0</v>
      </c>
      <c r="I320" s="151">
        <f t="shared" ca="1" si="577"/>
        <v>0</v>
      </c>
      <c r="J320" s="151">
        <f t="shared" ca="1" si="577"/>
        <v>0</v>
      </c>
      <c r="K320" s="151">
        <f t="shared" ca="1" si="577"/>
        <v>0</v>
      </c>
      <c r="L320" s="151">
        <f t="shared" ca="1" si="577"/>
        <v>0</v>
      </c>
      <c r="M320" s="151">
        <f t="shared" ca="1" si="577"/>
        <v>0</v>
      </c>
      <c r="N320" s="151">
        <f t="shared" ca="1" si="577"/>
        <v>0</v>
      </c>
      <c r="O320" s="151">
        <f t="shared" ca="1" si="577"/>
        <v>0</v>
      </c>
      <c r="P320" s="151">
        <f t="shared" ca="1" si="577"/>
        <v>0</v>
      </c>
      <c r="Q320" s="151">
        <f t="shared" ca="1" si="577"/>
        <v>0</v>
      </c>
      <c r="R320" s="151">
        <f t="shared" ca="1" si="577"/>
        <v>0</v>
      </c>
      <c r="S320" s="151">
        <f t="shared" ca="1" si="577"/>
        <v>0</v>
      </c>
      <c r="T320" s="151">
        <f t="shared" ca="1" si="577"/>
        <v>0</v>
      </c>
      <c r="U320" s="151">
        <f t="shared" ca="1" si="577"/>
        <v>0</v>
      </c>
      <c r="V320" s="151">
        <f t="shared" ca="1" si="577"/>
        <v>0</v>
      </c>
      <c r="W320" s="151">
        <f t="shared" ca="1" si="577"/>
        <v>0</v>
      </c>
      <c r="X320" s="151">
        <f t="shared" ca="1" si="577"/>
        <v>0</v>
      </c>
      <c r="Y320" s="151">
        <f t="shared" ca="1" si="577"/>
        <v>0</v>
      </c>
      <c r="Z320" s="151">
        <f t="shared" ca="1" si="577"/>
        <v>0</v>
      </c>
    </row>
    <row r="321" spans="2:26" ht="15.5">
      <c r="B321" s="138" t="s">
        <v>233</v>
      </c>
      <c r="C321" s="138"/>
      <c r="D321" s="139"/>
      <c r="E321" s="139"/>
      <c r="F321" s="139">
        <f t="shared" ref="F321:Z321" ca="1" si="578">+SUM(F318:F320)</f>
        <v>0</v>
      </c>
      <c r="G321" s="139">
        <f t="shared" ca="1" si="578"/>
        <v>0</v>
      </c>
      <c r="H321" s="139">
        <f t="shared" ca="1" si="578"/>
        <v>0</v>
      </c>
      <c r="I321" s="139">
        <f t="shared" ca="1" si="578"/>
        <v>16879232.218519609</v>
      </c>
      <c r="J321" s="139">
        <f t="shared" ca="1" si="578"/>
        <v>33930859.157725617</v>
      </c>
      <c r="K321" s="139">
        <f t="shared" ca="1" si="578"/>
        <v>34162470.686199315</v>
      </c>
      <c r="L321" s="139">
        <f t="shared" ca="1" si="578"/>
        <v>36853344.998701565</v>
      </c>
      <c r="M321" s="139">
        <f t="shared" ca="1" si="578"/>
        <v>37037848.661380671</v>
      </c>
      <c r="N321" s="139">
        <f t="shared" ca="1" si="578"/>
        <v>37282910.434015237</v>
      </c>
      <c r="O321" s="139">
        <f t="shared" ca="1" si="578"/>
        <v>37532621.667165123</v>
      </c>
      <c r="P321" s="139">
        <f t="shared" ca="1" si="578"/>
        <v>37729955.318403922</v>
      </c>
      <c r="Q321" s="139">
        <f t="shared" ca="1" si="578"/>
        <v>40689570.328272842</v>
      </c>
      <c r="R321" s="139">
        <f t="shared" ca="1" si="578"/>
        <v>40953748.510073565</v>
      </c>
      <c r="S321" s="139">
        <f t="shared" ca="1" si="578"/>
        <v>41164672.152643755</v>
      </c>
      <c r="T321" s="139">
        <f t="shared" ca="1" si="578"/>
        <v>41438942.214423448</v>
      </c>
      <c r="U321" s="139">
        <f t="shared" ca="1" si="578"/>
        <v>41718397.044996575</v>
      </c>
      <c r="V321" s="139">
        <f t="shared" ca="1" si="578"/>
        <v>44914093.270498216</v>
      </c>
      <c r="W321" s="139">
        <f t="shared" ca="1" si="578"/>
        <v>45204203.290824868</v>
      </c>
      <c r="X321" s="139">
        <f t="shared" ca="1" si="578"/>
        <v>45499787.00237143</v>
      </c>
      <c r="Y321" s="139">
        <f t="shared" ca="1" si="578"/>
        <v>45740335.804720849</v>
      </c>
      <c r="Z321" s="139">
        <f t="shared" ca="1" si="578"/>
        <v>46047167.45106633</v>
      </c>
    </row>
    <row r="323" spans="2:26" ht="15.5">
      <c r="B323" s="148" t="s">
        <v>143</v>
      </c>
      <c r="F323" s="150">
        <f>+F$294</f>
        <v>44561</v>
      </c>
      <c r="G323" s="150">
        <f t="shared" ref="G323:Z323" si="579">+G$294</f>
        <v>44926</v>
      </c>
      <c r="H323" s="150">
        <f t="shared" si="579"/>
        <v>45291</v>
      </c>
      <c r="I323" s="150">
        <f t="shared" si="579"/>
        <v>45657</v>
      </c>
      <c r="J323" s="150">
        <f t="shared" si="579"/>
        <v>46022</v>
      </c>
      <c r="K323" s="150">
        <f t="shared" si="579"/>
        <v>46387</v>
      </c>
      <c r="L323" s="150">
        <f t="shared" si="579"/>
        <v>46752</v>
      </c>
      <c r="M323" s="150">
        <f t="shared" si="579"/>
        <v>47118</v>
      </c>
      <c r="N323" s="150">
        <f t="shared" si="579"/>
        <v>47483</v>
      </c>
      <c r="O323" s="150">
        <f t="shared" si="579"/>
        <v>47848</v>
      </c>
      <c r="P323" s="150">
        <f t="shared" si="579"/>
        <v>48213</v>
      </c>
      <c r="Q323" s="150">
        <f t="shared" si="579"/>
        <v>48579</v>
      </c>
      <c r="R323" s="150">
        <f t="shared" si="579"/>
        <v>48944</v>
      </c>
      <c r="S323" s="150">
        <f t="shared" si="579"/>
        <v>49309</v>
      </c>
      <c r="T323" s="150">
        <f t="shared" si="579"/>
        <v>49674</v>
      </c>
      <c r="U323" s="150">
        <f t="shared" si="579"/>
        <v>50040</v>
      </c>
      <c r="V323" s="150">
        <f t="shared" si="579"/>
        <v>50405</v>
      </c>
      <c r="W323" s="150">
        <f t="shared" si="579"/>
        <v>50770</v>
      </c>
      <c r="X323" s="150">
        <f t="shared" si="579"/>
        <v>51135</v>
      </c>
      <c r="Y323" s="150">
        <f t="shared" si="579"/>
        <v>51501</v>
      </c>
      <c r="Z323" s="150">
        <f t="shared" si="579"/>
        <v>51866</v>
      </c>
    </row>
    <row r="324" spans="2:26">
      <c r="B324" s="33" t="s">
        <v>318</v>
      </c>
      <c r="C324"/>
      <c r="D324"/>
      <c r="E324"/>
      <c r="F324" s="34">
        <f t="shared" ref="F324:Z324" si="580">+F270+F225+F155</f>
        <v>0</v>
      </c>
      <c r="G324" s="34">
        <f t="shared" si="580"/>
        <v>0</v>
      </c>
      <c r="H324" s="34">
        <f t="shared" si="580"/>
        <v>0</v>
      </c>
      <c r="I324" s="34">
        <f t="shared" si="580"/>
        <v>0</v>
      </c>
      <c r="J324" s="34">
        <f t="shared" si="580"/>
        <v>0</v>
      </c>
      <c r="K324" s="34">
        <f t="shared" si="580"/>
        <v>0</v>
      </c>
      <c r="L324" s="34">
        <f t="shared" si="580"/>
        <v>0</v>
      </c>
      <c r="M324" s="34">
        <f t="shared" si="580"/>
        <v>0</v>
      </c>
      <c r="N324" s="34">
        <f t="shared" si="580"/>
        <v>0</v>
      </c>
      <c r="O324" s="34">
        <f t="shared" si="580"/>
        <v>0</v>
      </c>
      <c r="P324" s="34">
        <f t="shared" ca="1" si="580"/>
        <v>585894131.30809546</v>
      </c>
      <c r="Q324" s="34">
        <f t="shared" si="580"/>
        <v>0</v>
      </c>
      <c r="R324" s="34">
        <f t="shared" si="580"/>
        <v>0</v>
      </c>
      <c r="S324" s="34">
        <f t="shared" si="580"/>
        <v>0</v>
      </c>
      <c r="T324" s="34">
        <f t="shared" si="580"/>
        <v>0</v>
      </c>
      <c r="U324" s="34">
        <f t="shared" si="580"/>
        <v>0</v>
      </c>
      <c r="V324" s="34">
        <f t="shared" si="580"/>
        <v>0</v>
      </c>
      <c r="W324" s="34">
        <f t="shared" si="580"/>
        <v>0</v>
      </c>
      <c r="X324" s="34">
        <f t="shared" si="580"/>
        <v>0</v>
      </c>
      <c r="Y324" s="34">
        <f t="shared" si="580"/>
        <v>0</v>
      </c>
      <c r="Z324" s="34">
        <f t="shared" si="580"/>
        <v>0</v>
      </c>
    </row>
    <row r="325" spans="2:26">
      <c r="B325" s="33" t="s">
        <v>319</v>
      </c>
      <c r="F325" s="151">
        <f t="shared" ref="F325:Z325" si="581">+F271+F226+F157</f>
        <v>0</v>
      </c>
      <c r="G325" s="151">
        <f t="shared" si="581"/>
        <v>0</v>
      </c>
      <c r="H325" s="151">
        <f t="shared" si="581"/>
        <v>0</v>
      </c>
      <c r="I325" s="151">
        <f t="shared" si="581"/>
        <v>0</v>
      </c>
      <c r="J325" s="151">
        <f t="shared" si="581"/>
        <v>0</v>
      </c>
      <c r="K325" s="151">
        <f t="shared" si="581"/>
        <v>0</v>
      </c>
      <c r="L325" s="151">
        <f t="shared" si="581"/>
        <v>0</v>
      </c>
      <c r="M325" s="151">
        <f t="shared" si="581"/>
        <v>0</v>
      </c>
      <c r="N325" s="151">
        <f t="shared" si="581"/>
        <v>0</v>
      </c>
      <c r="O325" s="151">
        <f t="shared" si="581"/>
        <v>0</v>
      </c>
      <c r="P325" s="151">
        <f t="shared" ca="1" si="581"/>
        <v>-11717882.626161909</v>
      </c>
      <c r="Q325" s="151">
        <f t="shared" si="581"/>
        <v>0</v>
      </c>
      <c r="R325" s="151">
        <f t="shared" si="581"/>
        <v>0</v>
      </c>
      <c r="S325" s="151">
        <f t="shared" si="581"/>
        <v>0</v>
      </c>
      <c r="T325" s="151">
        <f t="shared" si="581"/>
        <v>0</v>
      </c>
      <c r="U325" s="151">
        <f t="shared" si="581"/>
        <v>0</v>
      </c>
      <c r="V325" s="151">
        <f t="shared" si="581"/>
        <v>0</v>
      </c>
      <c r="W325" s="151">
        <f t="shared" si="581"/>
        <v>0</v>
      </c>
      <c r="X325" s="151">
        <f t="shared" si="581"/>
        <v>0</v>
      </c>
      <c r="Y325" s="151">
        <f t="shared" si="581"/>
        <v>0</v>
      </c>
      <c r="Z325" s="151">
        <f t="shared" si="581"/>
        <v>0</v>
      </c>
    </row>
    <row r="326" spans="2:26" ht="15.5">
      <c r="B326" s="138" t="s">
        <v>321</v>
      </c>
      <c r="C326" s="138"/>
      <c r="D326" s="139"/>
      <c r="E326" s="139"/>
      <c r="F326" s="139">
        <f>+SUM(F324:F325)</f>
        <v>0</v>
      </c>
      <c r="G326" s="139">
        <f t="shared" ref="G326:Z326" si="582">+SUM(G324:G325)</f>
        <v>0</v>
      </c>
      <c r="H326" s="139">
        <f t="shared" si="582"/>
        <v>0</v>
      </c>
      <c r="I326" s="139">
        <f t="shared" si="582"/>
        <v>0</v>
      </c>
      <c r="J326" s="139">
        <f t="shared" si="582"/>
        <v>0</v>
      </c>
      <c r="K326" s="139">
        <f t="shared" si="582"/>
        <v>0</v>
      </c>
      <c r="L326" s="139">
        <f t="shared" si="582"/>
        <v>0</v>
      </c>
      <c r="M326" s="139">
        <f t="shared" si="582"/>
        <v>0</v>
      </c>
      <c r="N326" s="139">
        <f t="shared" si="582"/>
        <v>0</v>
      </c>
      <c r="O326" s="139">
        <f t="shared" si="582"/>
        <v>0</v>
      </c>
      <c r="P326" s="139">
        <f t="shared" ca="1" si="582"/>
        <v>574176248.68193352</v>
      </c>
      <c r="Q326" s="139">
        <f t="shared" si="582"/>
        <v>0</v>
      </c>
      <c r="R326" s="139">
        <f t="shared" si="582"/>
        <v>0</v>
      </c>
      <c r="S326" s="139">
        <f t="shared" si="582"/>
        <v>0</v>
      </c>
      <c r="T326" s="139">
        <f t="shared" si="582"/>
        <v>0</v>
      </c>
      <c r="U326" s="139">
        <f t="shared" si="582"/>
        <v>0</v>
      </c>
      <c r="V326" s="139">
        <f t="shared" si="582"/>
        <v>0</v>
      </c>
      <c r="W326" s="139">
        <f t="shared" si="582"/>
        <v>0</v>
      </c>
      <c r="X326" s="139">
        <f t="shared" si="582"/>
        <v>0</v>
      </c>
      <c r="Y326" s="139">
        <f t="shared" si="582"/>
        <v>0</v>
      </c>
      <c r="Z326" s="139">
        <f t="shared" si="582"/>
        <v>0</v>
      </c>
    </row>
    <row r="328" spans="2:26" ht="15.5">
      <c r="B328" s="148" t="s">
        <v>374</v>
      </c>
      <c r="F328" s="150">
        <f t="shared" ref="F328:Z328" si="583">+F$294</f>
        <v>44561</v>
      </c>
      <c r="G328" s="150">
        <f t="shared" si="583"/>
        <v>44926</v>
      </c>
      <c r="H328" s="150">
        <f t="shared" si="583"/>
        <v>45291</v>
      </c>
      <c r="I328" s="150">
        <f t="shared" si="583"/>
        <v>45657</v>
      </c>
      <c r="J328" s="150">
        <f t="shared" si="583"/>
        <v>46022</v>
      </c>
      <c r="K328" s="150">
        <f t="shared" si="583"/>
        <v>46387</v>
      </c>
      <c r="L328" s="150">
        <f t="shared" si="583"/>
        <v>46752</v>
      </c>
      <c r="M328" s="150">
        <f t="shared" si="583"/>
        <v>47118</v>
      </c>
      <c r="N328" s="150">
        <f t="shared" si="583"/>
        <v>47483</v>
      </c>
      <c r="O328" s="150">
        <f t="shared" si="583"/>
        <v>47848</v>
      </c>
      <c r="P328" s="150">
        <f t="shared" si="583"/>
        <v>48213</v>
      </c>
      <c r="Q328" s="150">
        <f t="shared" si="583"/>
        <v>48579</v>
      </c>
      <c r="R328" s="150">
        <f t="shared" si="583"/>
        <v>48944</v>
      </c>
      <c r="S328" s="150">
        <f t="shared" si="583"/>
        <v>49309</v>
      </c>
      <c r="T328" s="150">
        <f t="shared" si="583"/>
        <v>49674</v>
      </c>
      <c r="U328" s="150">
        <f t="shared" si="583"/>
        <v>50040</v>
      </c>
      <c r="V328" s="150">
        <f t="shared" si="583"/>
        <v>50405</v>
      </c>
      <c r="W328" s="150">
        <f t="shared" si="583"/>
        <v>50770</v>
      </c>
      <c r="X328" s="150">
        <f t="shared" si="583"/>
        <v>51135</v>
      </c>
      <c r="Y328" s="150">
        <f t="shared" si="583"/>
        <v>51501</v>
      </c>
      <c r="Z328" s="150">
        <f t="shared" si="583"/>
        <v>51866</v>
      </c>
    </row>
    <row r="329" spans="2:26" ht="15.5">
      <c r="B329" s="33" t="s">
        <v>60</v>
      </c>
      <c r="D329" s="48">
        <f>+SUM(F329:Z329)</f>
        <v>23250525.361561798</v>
      </c>
      <c r="E329" s="48"/>
      <c r="F329" s="34">
        <f t="shared" ref="F329:Z329" si="584">+F285</f>
        <v>23250525.361561798</v>
      </c>
      <c r="G329" s="34">
        <f t="shared" si="584"/>
        <v>0</v>
      </c>
      <c r="H329" s="34">
        <f t="shared" si="584"/>
        <v>0</v>
      </c>
      <c r="I329" s="34">
        <f t="shared" si="584"/>
        <v>0</v>
      </c>
      <c r="J329" s="34">
        <f t="shared" si="584"/>
        <v>0</v>
      </c>
      <c r="K329" s="34">
        <f t="shared" si="584"/>
        <v>0</v>
      </c>
      <c r="L329" s="34">
        <f t="shared" si="584"/>
        <v>0</v>
      </c>
      <c r="M329" s="34">
        <f t="shared" si="584"/>
        <v>0</v>
      </c>
      <c r="N329" s="34">
        <f t="shared" si="584"/>
        <v>0</v>
      </c>
      <c r="O329" s="34">
        <f t="shared" si="584"/>
        <v>0</v>
      </c>
      <c r="P329" s="34">
        <f t="shared" si="584"/>
        <v>0</v>
      </c>
      <c r="Q329" s="34">
        <f t="shared" si="584"/>
        <v>0</v>
      </c>
      <c r="R329" s="34">
        <f t="shared" si="584"/>
        <v>0</v>
      </c>
      <c r="S329" s="34">
        <f t="shared" si="584"/>
        <v>0</v>
      </c>
      <c r="T329" s="34">
        <f t="shared" si="584"/>
        <v>0</v>
      </c>
      <c r="U329" s="34">
        <f t="shared" si="584"/>
        <v>0</v>
      </c>
      <c r="V329" s="34">
        <f t="shared" si="584"/>
        <v>0</v>
      </c>
      <c r="W329" s="34">
        <f t="shared" si="584"/>
        <v>0</v>
      </c>
      <c r="X329" s="34">
        <f t="shared" si="584"/>
        <v>0</v>
      </c>
      <c r="Y329" s="34">
        <f t="shared" si="584"/>
        <v>0</v>
      </c>
      <c r="Z329" s="34">
        <f t="shared" si="584"/>
        <v>0</v>
      </c>
    </row>
    <row r="330" spans="2:26" ht="15.5">
      <c r="B330" s="33" t="s">
        <v>8</v>
      </c>
      <c r="D330" s="48">
        <f t="shared" ref="D330:D335" si="585">+SUM(F330:Z330)</f>
        <v>25343149.042553194</v>
      </c>
      <c r="E330" s="48"/>
      <c r="F330" s="151">
        <f t="shared" ref="F330:Z330" si="586">+F286</f>
        <v>25343149.042553194</v>
      </c>
      <c r="G330" s="151">
        <f t="shared" si="586"/>
        <v>0</v>
      </c>
      <c r="H330" s="151">
        <f t="shared" si="586"/>
        <v>0</v>
      </c>
      <c r="I330" s="151">
        <f t="shared" si="586"/>
        <v>0</v>
      </c>
      <c r="J330" s="151">
        <f t="shared" si="586"/>
        <v>0</v>
      </c>
      <c r="K330" s="151">
        <f t="shared" si="586"/>
        <v>0</v>
      </c>
      <c r="L330" s="151">
        <f t="shared" si="586"/>
        <v>0</v>
      </c>
      <c r="M330" s="151">
        <f t="shared" si="586"/>
        <v>0</v>
      </c>
      <c r="N330" s="151">
        <f t="shared" si="586"/>
        <v>0</v>
      </c>
      <c r="O330" s="151">
        <f t="shared" si="586"/>
        <v>0</v>
      </c>
      <c r="P330" s="151">
        <f t="shared" si="586"/>
        <v>0</v>
      </c>
      <c r="Q330" s="151">
        <f t="shared" si="586"/>
        <v>0</v>
      </c>
      <c r="R330" s="151">
        <f t="shared" si="586"/>
        <v>0</v>
      </c>
      <c r="S330" s="151">
        <f t="shared" si="586"/>
        <v>0</v>
      </c>
      <c r="T330" s="151">
        <f t="shared" si="586"/>
        <v>0</v>
      </c>
      <c r="U330" s="151">
        <f t="shared" si="586"/>
        <v>0</v>
      </c>
      <c r="V330" s="151">
        <f t="shared" si="586"/>
        <v>0</v>
      </c>
      <c r="W330" s="151">
        <f t="shared" si="586"/>
        <v>0</v>
      </c>
      <c r="X330" s="151">
        <f t="shared" si="586"/>
        <v>0</v>
      </c>
      <c r="Y330" s="151">
        <f t="shared" si="586"/>
        <v>0</v>
      </c>
      <c r="Z330" s="151">
        <f t="shared" si="586"/>
        <v>0</v>
      </c>
    </row>
    <row r="331" spans="2:26" ht="15.5">
      <c r="B331" s="33" t="s">
        <v>56</v>
      </c>
      <c r="D331" s="48">
        <f t="shared" si="585"/>
        <v>306778604.85938877</v>
      </c>
      <c r="E331" s="48"/>
      <c r="F331" s="151">
        <f t="shared" ref="F331:Z331" si="587">+F287</f>
        <v>80000</v>
      </c>
      <c r="G331" s="151">
        <f t="shared" si="587"/>
        <v>153349302.42969438</v>
      </c>
      <c r="H331" s="151">
        <f t="shared" si="587"/>
        <v>153349302.42969438</v>
      </c>
      <c r="I331" s="151">
        <f t="shared" si="587"/>
        <v>0</v>
      </c>
      <c r="J331" s="151">
        <f t="shared" si="587"/>
        <v>0</v>
      </c>
      <c r="K331" s="151">
        <f t="shared" si="587"/>
        <v>0</v>
      </c>
      <c r="L331" s="151">
        <f t="shared" si="587"/>
        <v>0</v>
      </c>
      <c r="M331" s="151">
        <f t="shared" si="587"/>
        <v>0</v>
      </c>
      <c r="N331" s="151">
        <f t="shared" si="587"/>
        <v>0</v>
      </c>
      <c r="O331" s="151">
        <f t="shared" si="587"/>
        <v>0</v>
      </c>
      <c r="P331" s="151">
        <f t="shared" si="587"/>
        <v>0</v>
      </c>
      <c r="Q331" s="151">
        <f t="shared" si="587"/>
        <v>0</v>
      </c>
      <c r="R331" s="151">
        <f t="shared" si="587"/>
        <v>0</v>
      </c>
      <c r="S331" s="151">
        <f t="shared" si="587"/>
        <v>0</v>
      </c>
      <c r="T331" s="151">
        <f t="shared" si="587"/>
        <v>0</v>
      </c>
      <c r="U331" s="151">
        <f t="shared" si="587"/>
        <v>0</v>
      </c>
      <c r="V331" s="151">
        <f t="shared" si="587"/>
        <v>0</v>
      </c>
      <c r="W331" s="151">
        <f t="shared" si="587"/>
        <v>0</v>
      </c>
      <c r="X331" s="151">
        <f t="shared" si="587"/>
        <v>0</v>
      </c>
      <c r="Y331" s="151">
        <f t="shared" si="587"/>
        <v>0</v>
      </c>
      <c r="Z331" s="151">
        <f t="shared" si="587"/>
        <v>0</v>
      </c>
    </row>
    <row r="332" spans="2:26" ht="15.5">
      <c r="B332" s="33" t="s">
        <v>57</v>
      </c>
      <c r="D332" s="48">
        <f t="shared" si="585"/>
        <v>25818999.375817623</v>
      </c>
      <c r="E332" s="48"/>
      <c r="F332" s="151">
        <f t="shared" ref="F332:Z332" si="588">+F288</f>
        <v>13861260.518399568</v>
      </c>
      <c r="G332" s="151">
        <f t="shared" si="588"/>
        <v>5978869.4287090274</v>
      </c>
      <c r="H332" s="151">
        <f t="shared" si="588"/>
        <v>5978869.4287090274</v>
      </c>
      <c r="I332" s="151">
        <f t="shared" si="588"/>
        <v>0</v>
      </c>
      <c r="J332" s="151">
        <f t="shared" si="588"/>
        <v>0</v>
      </c>
      <c r="K332" s="151">
        <f t="shared" si="588"/>
        <v>0</v>
      </c>
      <c r="L332" s="151">
        <f t="shared" si="588"/>
        <v>0</v>
      </c>
      <c r="M332" s="151">
        <f t="shared" si="588"/>
        <v>0</v>
      </c>
      <c r="N332" s="151">
        <f t="shared" si="588"/>
        <v>0</v>
      </c>
      <c r="O332" s="151">
        <f t="shared" si="588"/>
        <v>0</v>
      </c>
      <c r="P332" s="151">
        <f t="shared" si="588"/>
        <v>0</v>
      </c>
      <c r="Q332" s="151">
        <f t="shared" si="588"/>
        <v>0</v>
      </c>
      <c r="R332" s="151">
        <f t="shared" si="588"/>
        <v>0</v>
      </c>
      <c r="S332" s="151">
        <f t="shared" si="588"/>
        <v>0</v>
      </c>
      <c r="T332" s="151">
        <f t="shared" si="588"/>
        <v>0</v>
      </c>
      <c r="U332" s="151">
        <f t="shared" si="588"/>
        <v>0</v>
      </c>
      <c r="V332" s="151">
        <f t="shared" si="588"/>
        <v>0</v>
      </c>
      <c r="W332" s="151">
        <f t="shared" si="588"/>
        <v>0</v>
      </c>
      <c r="X332" s="151">
        <f t="shared" si="588"/>
        <v>0</v>
      </c>
      <c r="Y332" s="151">
        <f t="shared" si="588"/>
        <v>0</v>
      </c>
      <c r="Z332" s="151">
        <f t="shared" si="588"/>
        <v>0</v>
      </c>
    </row>
    <row r="333" spans="2:26" ht="15.5">
      <c r="B333" s="33" t="s">
        <v>79</v>
      </c>
      <c r="D333" s="48">
        <f t="shared" si="585"/>
        <v>0</v>
      </c>
      <c r="E333" s="48"/>
      <c r="F333" s="151">
        <v>0</v>
      </c>
      <c r="G333" s="151">
        <v>0</v>
      </c>
      <c r="H333" s="151">
        <v>0</v>
      </c>
      <c r="I333" s="151">
        <v>0</v>
      </c>
      <c r="J333" s="151">
        <v>0</v>
      </c>
      <c r="K333" s="151">
        <v>0</v>
      </c>
      <c r="L333" s="151">
        <v>0</v>
      </c>
      <c r="M333" s="151">
        <v>0</v>
      </c>
      <c r="N333" s="151">
        <v>0</v>
      </c>
      <c r="O333" s="151">
        <v>0</v>
      </c>
      <c r="P333" s="151">
        <v>0</v>
      </c>
      <c r="Q333" s="151">
        <v>0</v>
      </c>
      <c r="R333" s="151">
        <v>0</v>
      </c>
      <c r="S333" s="151">
        <v>0</v>
      </c>
      <c r="T333" s="151">
        <v>0</v>
      </c>
      <c r="U333" s="151">
        <v>0</v>
      </c>
      <c r="V333" s="151">
        <v>0</v>
      </c>
      <c r="W333" s="151">
        <v>0</v>
      </c>
      <c r="X333" s="151">
        <v>0</v>
      </c>
      <c r="Y333" s="151">
        <v>0</v>
      </c>
      <c r="Z333" s="151">
        <v>0</v>
      </c>
    </row>
    <row r="334" spans="2:26" ht="15.5">
      <c r="B334" s="33" t="s">
        <v>82</v>
      </c>
      <c r="D334" s="48">
        <f t="shared" si="585"/>
        <v>892703.13486241782</v>
      </c>
      <c r="E334" s="48"/>
      <c r="F334" s="151">
        <f t="shared" ref="F334:Z334" si="589">+F290</f>
        <v>0</v>
      </c>
      <c r="G334" s="151">
        <f t="shared" si="589"/>
        <v>446351.56743120891</v>
      </c>
      <c r="H334" s="151">
        <f t="shared" si="589"/>
        <v>446351.56743120891</v>
      </c>
      <c r="I334" s="151">
        <f t="shared" si="589"/>
        <v>0</v>
      </c>
      <c r="J334" s="151">
        <f t="shared" si="589"/>
        <v>0</v>
      </c>
      <c r="K334" s="151">
        <f t="shared" si="589"/>
        <v>0</v>
      </c>
      <c r="L334" s="151">
        <f t="shared" si="589"/>
        <v>0</v>
      </c>
      <c r="M334" s="151">
        <f t="shared" si="589"/>
        <v>0</v>
      </c>
      <c r="N334" s="151">
        <f t="shared" si="589"/>
        <v>0</v>
      </c>
      <c r="O334" s="151">
        <f t="shared" si="589"/>
        <v>0</v>
      </c>
      <c r="P334" s="151">
        <f t="shared" si="589"/>
        <v>0</v>
      </c>
      <c r="Q334" s="151">
        <f t="shared" si="589"/>
        <v>0</v>
      </c>
      <c r="R334" s="151">
        <f t="shared" si="589"/>
        <v>0</v>
      </c>
      <c r="S334" s="151">
        <f t="shared" si="589"/>
        <v>0</v>
      </c>
      <c r="T334" s="151">
        <f t="shared" si="589"/>
        <v>0</v>
      </c>
      <c r="U334" s="151">
        <f t="shared" si="589"/>
        <v>0</v>
      </c>
      <c r="V334" s="151">
        <f t="shared" si="589"/>
        <v>0</v>
      </c>
      <c r="W334" s="151">
        <f t="shared" si="589"/>
        <v>0</v>
      </c>
      <c r="X334" s="151">
        <f t="shared" si="589"/>
        <v>0</v>
      </c>
      <c r="Y334" s="151">
        <f t="shared" si="589"/>
        <v>0</v>
      </c>
      <c r="Z334" s="151">
        <f t="shared" si="589"/>
        <v>0</v>
      </c>
    </row>
    <row r="335" spans="2:26" ht="15.5">
      <c r="B335" s="33" t="s">
        <v>59</v>
      </c>
      <c r="D335" s="48">
        <f t="shared" si="585"/>
        <v>10765003.692378659</v>
      </c>
      <c r="E335" s="48"/>
      <c r="F335" s="151">
        <f t="shared" ref="F335:Z335" si="590">+F291</f>
        <v>322950.11077135976</v>
      </c>
      <c r="G335" s="151">
        <f t="shared" si="590"/>
        <v>2610513.3954018247</v>
      </c>
      <c r="H335" s="151">
        <f t="shared" si="590"/>
        <v>2610513.3954018247</v>
      </c>
      <c r="I335" s="151">
        <f t="shared" si="590"/>
        <v>2610513.3954018247</v>
      </c>
      <c r="J335" s="151">
        <f t="shared" si="590"/>
        <v>2610513.3954018247</v>
      </c>
      <c r="K335" s="151">
        <f t="shared" si="590"/>
        <v>0</v>
      </c>
      <c r="L335" s="151">
        <f t="shared" si="590"/>
        <v>0</v>
      </c>
      <c r="M335" s="151">
        <f t="shared" si="590"/>
        <v>0</v>
      </c>
      <c r="N335" s="151">
        <f t="shared" si="590"/>
        <v>0</v>
      </c>
      <c r="O335" s="151">
        <f t="shared" si="590"/>
        <v>0</v>
      </c>
      <c r="P335" s="151">
        <f t="shared" si="590"/>
        <v>0</v>
      </c>
      <c r="Q335" s="151">
        <f t="shared" si="590"/>
        <v>0</v>
      </c>
      <c r="R335" s="151">
        <f t="shared" si="590"/>
        <v>0</v>
      </c>
      <c r="S335" s="151">
        <f t="shared" si="590"/>
        <v>0</v>
      </c>
      <c r="T335" s="151">
        <f t="shared" si="590"/>
        <v>0</v>
      </c>
      <c r="U335" s="151">
        <f t="shared" si="590"/>
        <v>0</v>
      </c>
      <c r="V335" s="151">
        <f t="shared" si="590"/>
        <v>0</v>
      </c>
      <c r="W335" s="151">
        <f t="shared" si="590"/>
        <v>0</v>
      </c>
      <c r="X335" s="151">
        <f t="shared" si="590"/>
        <v>0</v>
      </c>
      <c r="Y335" s="151">
        <f t="shared" si="590"/>
        <v>0</v>
      </c>
      <c r="Z335" s="151">
        <f t="shared" si="590"/>
        <v>0</v>
      </c>
    </row>
    <row r="336" spans="2:26" ht="15.5">
      <c r="B336" s="138" t="s">
        <v>20</v>
      </c>
      <c r="C336" s="138"/>
      <c r="D336" s="139">
        <f>+SUM(F336:Z336)</f>
        <v>392848985.46656251</v>
      </c>
      <c r="E336" s="139"/>
      <c r="F336" s="139">
        <f>+SUM(F329:F335)</f>
        <v>62857885.033285916</v>
      </c>
      <c r="G336" s="139">
        <f t="shared" ref="G336:Z336" si="591">+SUM(G329:G335)</f>
        <v>162385036.82123646</v>
      </c>
      <c r="H336" s="139">
        <f t="shared" si="591"/>
        <v>162385036.82123646</v>
      </c>
      <c r="I336" s="139">
        <f t="shared" si="591"/>
        <v>2610513.3954018247</v>
      </c>
      <c r="J336" s="139">
        <f t="shared" si="591"/>
        <v>2610513.3954018247</v>
      </c>
      <c r="K336" s="139">
        <f t="shared" si="591"/>
        <v>0</v>
      </c>
      <c r="L336" s="139">
        <f t="shared" si="591"/>
        <v>0</v>
      </c>
      <c r="M336" s="139">
        <f t="shared" si="591"/>
        <v>0</v>
      </c>
      <c r="N336" s="139">
        <f t="shared" si="591"/>
        <v>0</v>
      </c>
      <c r="O336" s="139">
        <f t="shared" si="591"/>
        <v>0</v>
      </c>
      <c r="P336" s="139">
        <f t="shared" si="591"/>
        <v>0</v>
      </c>
      <c r="Q336" s="139">
        <f t="shared" si="591"/>
        <v>0</v>
      </c>
      <c r="R336" s="139">
        <f t="shared" si="591"/>
        <v>0</v>
      </c>
      <c r="S336" s="139">
        <f t="shared" si="591"/>
        <v>0</v>
      </c>
      <c r="T336" s="139">
        <f t="shared" si="591"/>
        <v>0</v>
      </c>
      <c r="U336" s="139">
        <f t="shared" si="591"/>
        <v>0</v>
      </c>
      <c r="V336" s="139">
        <f t="shared" si="591"/>
        <v>0</v>
      </c>
      <c r="W336" s="139">
        <f t="shared" si="591"/>
        <v>0</v>
      </c>
      <c r="X336" s="139">
        <f t="shared" si="591"/>
        <v>0</v>
      </c>
      <c r="Y336" s="139">
        <f t="shared" si="591"/>
        <v>0</v>
      </c>
      <c r="Z336" s="139">
        <f t="shared" si="591"/>
        <v>0</v>
      </c>
    </row>
    <row r="338" spans="2:26" ht="15.5">
      <c r="B338" s="148" t="s">
        <v>329</v>
      </c>
      <c r="F338" s="150">
        <f>+Assumptions!$F$22</f>
        <v>44561</v>
      </c>
      <c r="G338" s="150">
        <f>+EOMONTH(F338,12)</f>
        <v>44926</v>
      </c>
      <c r="H338" s="150">
        <f t="shared" ref="H338" si="592">+EOMONTH(G338,12)</f>
        <v>45291</v>
      </c>
      <c r="I338" s="150">
        <f t="shared" ref="I338" si="593">+EOMONTH(H338,12)</f>
        <v>45657</v>
      </c>
      <c r="J338" s="150">
        <f t="shared" ref="J338" si="594">+EOMONTH(I338,12)</f>
        <v>46022</v>
      </c>
      <c r="K338" s="150">
        <f t="shared" ref="K338" si="595">+EOMONTH(J338,12)</f>
        <v>46387</v>
      </c>
      <c r="L338" s="150">
        <f t="shared" ref="L338" si="596">+EOMONTH(K338,12)</f>
        <v>46752</v>
      </c>
      <c r="M338" s="150">
        <f t="shared" ref="M338" si="597">+EOMONTH(L338,12)</f>
        <v>47118</v>
      </c>
      <c r="N338" s="150">
        <f t="shared" ref="N338" si="598">+EOMONTH(M338,12)</f>
        <v>47483</v>
      </c>
      <c r="O338" s="150">
        <f t="shared" ref="O338" si="599">+EOMONTH(N338,12)</f>
        <v>47848</v>
      </c>
      <c r="P338" s="150">
        <f t="shared" ref="P338" si="600">+EOMONTH(O338,12)</f>
        <v>48213</v>
      </c>
      <c r="Q338" s="150">
        <f t="shared" ref="Q338" si="601">+EOMONTH(P338,12)</f>
        <v>48579</v>
      </c>
      <c r="R338" s="150">
        <f t="shared" ref="R338" si="602">+EOMONTH(Q338,12)</f>
        <v>48944</v>
      </c>
      <c r="S338" s="150">
        <f t="shared" ref="S338" si="603">+EOMONTH(R338,12)</f>
        <v>49309</v>
      </c>
      <c r="T338" s="150">
        <f t="shared" ref="T338" si="604">+EOMONTH(S338,12)</f>
        <v>49674</v>
      </c>
      <c r="U338" s="150">
        <f t="shared" ref="U338" si="605">+EOMONTH(T338,12)</f>
        <v>50040</v>
      </c>
      <c r="V338" s="150">
        <f t="shared" ref="V338" si="606">+EOMONTH(U338,12)</f>
        <v>50405</v>
      </c>
      <c r="W338" s="150">
        <f t="shared" ref="W338" si="607">+EOMONTH(V338,12)</f>
        <v>50770</v>
      </c>
      <c r="X338" s="150">
        <f t="shared" ref="X338" si="608">+EOMONTH(W338,12)</f>
        <v>51135</v>
      </c>
      <c r="Y338" s="150">
        <f t="shared" ref="Y338" si="609">+EOMONTH(X338,12)</f>
        <v>51501</v>
      </c>
      <c r="Z338" s="150">
        <f t="shared" ref="Z338" si="610">+EOMONTH(Y338,12)</f>
        <v>51866</v>
      </c>
    </row>
    <row r="339" spans="2:26" ht="15.5">
      <c r="B339" s="33" t="s">
        <v>29</v>
      </c>
      <c r="D339" s="48">
        <f ca="1">+D336-SUM(D296:D299,D301)</f>
        <v>299515681.58216333</v>
      </c>
      <c r="E339" s="48"/>
      <c r="F339" s="34">
        <f ca="1">+MIN($D$339-SUM('Phase I Pro Forma'!$E339:E339),'Phase I Pro Forma'!F$336)</f>
        <v>62857885.033285916</v>
      </c>
      <c r="G339" s="34">
        <f ca="1">+MIN($D$339-SUM('Phase I Pro Forma'!$E339:F339),'Phase I Pro Forma'!G$336)</f>
        <v>162385036.82123646</v>
      </c>
      <c r="H339" s="34">
        <f ca="1">+MIN($D$339-SUM('Phase I Pro Forma'!$E339:G339),'Phase I Pro Forma'!H$336)</f>
        <v>74272759.727640957</v>
      </c>
      <c r="I339" s="34">
        <f ca="1">+MIN($D$339-SUM('Phase I Pro Forma'!$E339:H339),'Phase I Pro Forma'!I$336)</f>
        <v>0</v>
      </c>
      <c r="J339" s="34">
        <f ca="1">+MIN($D$339-SUM('Phase I Pro Forma'!$E339:I339),'Phase I Pro Forma'!J$336)</f>
        <v>0</v>
      </c>
      <c r="K339" s="34">
        <f ca="1">+MIN($D$339-SUM('Phase I Pro Forma'!$E339:J339),'Phase I Pro Forma'!K$336)</f>
        <v>0</v>
      </c>
      <c r="L339" s="34">
        <f ca="1">+MIN($D$339-SUM('Phase I Pro Forma'!$E339:K339),'Phase I Pro Forma'!L$336)</f>
        <v>0</v>
      </c>
      <c r="M339" s="34">
        <f ca="1">+MIN($D$339-SUM('Phase I Pro Forma'!$E339:L339),'Phase I Pro Forma'!M$336)</f>
        <v>0</v>
      </c>
      <c r="N339" s="34">
        <f ca="1">+MIN($D$339-SUM('Phase I Pro Forma'!$E339:M339),'Phase I Pro Forma'!N$336)</f>
        <v>0</v>
      </c>
      <c r="O339" s="34">
        <f ca="1">+MIN($D$339-SUM('Phase I Pro Forma'!$E339:N339),'Phase I Pro Forma'!O$336)</f>
        <v>0</v>
      </c>
      <c r="P339" s="34">
        <f ca="1">+MIN($D$339-SUM('Phase I Pro Forma'!$E339:O339),'Phase I Pro Forma'!P$336)</f>
        <v>0</v>
      </c>
      <c r="Q339" s="34">
        <f ca="1">+MIN($D$339-SUM('Phase I Pro Forma'!$E339:P339),'Phase I Pro Forma'!Q$336)</f>
        <v>0</v>
      </c>
      <c r="R339" s="34">
        <f ca="1">+MIN($D$339-SUM('Phase I Pro Forma'!$E339:Q339),'Phase I Pro Forma'!R$336)</f>
        <v>0</v>
      </c>
      <c r="S339" s="34">
        <f ca="1">+MIN($D$339-SUM('Phase I Pro Forma'!$E339:R339),'Phase I Pro Forma'!S$336)</f>
        <v>0</v>
      </c>
      <c r="T339" s="34">
        <f ca="1">+MIN($D$339-SUM('Phase I Pro Forma'!$E339:S339),'Phase I Pro Forma'!T$336)</f>
        <v>0</v>
      </c>
      <c r="U339" s="34">
        <f ca="1">+MIN($D$339-SUM('Phase I Pro Forma'!$E339:T339),'Phase I Pro Forma'!U$336)</f>
        <v>0</v>
      </c>
      <c r="V339" s="34">
        <f ca="1">+MIN($D$339-SUM('Phase I Pro Forma'!$E339:U339),'Phase I Pro Forma'!V$336)</f>
        <v>0</v>
      </c>
      <c r="W339" s="34">
        <f ca="1">+MIN($D$339-SUM('Phase I Pro Forma'!$E339:V339),'Phase I Pro Forma'!W$336)</f>
        <v>0</v>
      </c>
      <c r="X339" s="34">
        <f ca="1">+MIN($D$339-SUM('Phase I Pro Forma'!$E339:W339),'Phase I Pro Forma'!X$336)</f>
        <v>0</v>
      </c>
      <c r="Y339" s="34">
        <f ca="1">+MIN($D$339-SUM('Phase I Pro Forma'!$E339:X339),'Phase I Pro Forma'!Y$336)</f>
        <v>0</v>
      </c>
      <c r="Z339" s="34">
        <f ca="1">+MIN($D$339-SUM('Phase I Pro Forma'!$E339:Y339),'Phase I Pro Forma'!Z$336)</f>
        <v>0</v>
      </c>
    </row>
    <row r="340" spans="2:26" ht="15.5">
      <c r="B340" s="33" t="s">
        <v>840</v>
      </c>
      <c r="D340" s="48">
        <f t="shared" ref="D340:D346" ca="1" si="611">+SUM(F340:Z340)</f>
        <v>0</v>
      </c>
      <c r="E340" s="48"/>
      <c r="F340" s="151">
        <f ca="1">+MIN('S&amp;U'!$H19-SUM('Phase I Pro Forma'!$E340:E340),'Phase I Pro Forma'!F$336-SUM(F$339:F339))</f>
        <v>0</v>
      </c>
      <c r="G340" s="151">
        <f ca="1">+MIN('S&amp;U'!$H19-SUM('Phase I Pro Forma'!$E340:F340),'Phase I Pro Forma'!G$336-SUM(G$339:G339))</f>
        <v>0</v>
      </c>
      <c r="H340" s="151">
        <f ca="1">+MIN('S&amp;U'!$H19-SUM('Phase I Pro Forma'!$E340:G340),'Phase I Pro Forma'!H$336-SUM(H$339:H339))</f>
        <v>0</v>
      </c>
      <c r="I340" s="151">
        <f ca="1">+MIN('S&amp;U'!$H19-SUM('Phase I Pro Forma'!$E340:H340),'Phase I Pro Forma'!I$336-SUM(I$339:I339))</f>
        <v>0</v>
      </c>
      <c r="J340" s="151">
        <f ca="1">+MIN('S&amp;U'!$H19-SUM('Phase I Pro Forma'!$E340:I340),'Phase I Pro Forma'!J$336-SUM(J$339:J339))</f>
        <v>0</v>
      </c>
      <c r="K340" s="151">
        <f ca="1">+MIN('S&amp;U'!$H19-SUM('Phase I Pro Forma'!$E340:J340),'Phase I Pro Forma'!K$336-SUM(K$339:K339))</f>
        <v>0</v>
      </c>
      <c r="L340" s="151">
        <f ca="1">+MIN('S&amp;U'!$H19-SUM('Phase I Pro Forma'!$E340:K340),'Phase I Pro Forma'!L$336-SUM(L$339:L339))</f>
        <v>0</v>
      </c>
      <c r="M340" s="151">
        <f ca="1">+MIN('S&amp;U'!$H19-SUM('Phase I Pro Forma'!$E340:L340),'Phase I Pro Forma'!M$336-SUM(M$339:M339))</f>
        <v>0</v>
      </c>
      <c r="N340" s="151">
        <f ca="1">+MIN('S&amp;U'!$H19-SUM('Phase I Pro Forma'!$E340:M340),'Phase I Pro Forma'!N$336-SUM(N$339:N339))</f>
        <v>0</v>
      </c>
      <c r="O340" s="151">
        <f ca="1">+MIN('S&amp;U'!$H19-SUM('Phase I Pro Forma'!$E340:N340),'Phase I Pro Forma'!O$336-SUM(O$339:O339))</f>
        <v>0</v>
      </c>
      <c r="P340" s="151">
        <f ca="1">+MIN('S&amp;U'!$H19-SUM('Phase I Pro Forma'!$E340:O340),'Phase I Pro Forma'!P$336-SUM(P$339:P339))</f>
        <v>0</v>
      </c>
      <c r="Q340" s="151">
        <f ca="1">+MIN('S&amp;U'!$H19-SUM('Phase I Pro Forma'!$E340:P340),'Phase I Pro Forma'!Q$336-SUM(Q$339:Q339))</f>
        <v>0</v>
      </c>
      <c r="R340" s="151">
        <f ca="1">+MIN('S&amp;U'!$H19-SUM('Phase I Pro Forma'!$E340:Q340),'Phase I Pro Forma'!R$336-SUM(R$339:R339))</f>
        <v>0</v>
      </c>
      <c r="S340" s="151">
        <f ca="1">+MIN('S&amp;U'!$H19-SUM('Phase I Pro Forma'!$E340:R340),'Phase I Pro Forma'!S$336-SUM(S$339:S339))</f>
        <v>0</v>
      </c>
      <c r="T340" s="151">
        <f ca="1">+MIN('S&amp;U'!$H19-SUM('Phase I Pro Forma'!$E340:S340),'Phase I Pro Forma'!T$336-SUM(T$339:T339))</f>
        <v>0</v>
      </c>
      <c r="U340" s="151">
        <f ca="1">+MIN('S&amp;U'!$H19-SUM('Phase I Pro Forma'!$E340:T340),'Phase I Pro Forma'!U$336-SUM(U$339:U339))</f>
        <v>0</v>
      </c>
      <c r="V340" s="151">
        <f ca="1">+MIN('S&amp;U'!$H19-SUM('Phase I Pro Forma'!$E340:U340),'Phase I Pro Forma'!V$336-SUM(V$339:V339))</f>
        <v>0</v>
      </c>
      <c r="W340" s="151">
        <f ca="1">+MIN('S&amp;U'!$H19-SUM('Phase I Pro Forma'!$E340:V340),'Phase I Pro Forma'!W$336-SUM(W$339:W339))</f>
        <v>0</v>
      </c>
      <c r="X340" s="151">
        <f ca="1">+MIN('S&amp;U'!$H19-SUM('Phase I Pro Forma'!$E340:W340),'Phase I Pro Forma'!X$336-SUM(X$339:X339))</f>
        <v>0</v>
      </c>
      <c r="Y340" s="151">
        <f ca="1">+MIN('S&amp;U'!$H19-SUM('Phase I Pro Forma'!$E340:X340),'Phase I Pro Forma'!Y$336-SUM(Y$339:Y339))</f>
        <v>0</v>
      </c>
      <c r="Z340" s="151">
        <f ca="1">+MIN('S&amp;U'!$H19-SUM('Phase I Pro Forma'!$E340:Y340),'Phase I Pro Forma'!Z$336-SUM(Z$339:Z339))</f>
        <v>0</v>
      </c>
    </row>
    <row r="341" spans="2:26" ht="15.5">
      <c r="B341" s="33" t="s">
        <v>98</v>
      </c>
      <c r="D341" s="48">
        <f t="shared" ca="1" si="611"/>
        <v>32087500</v>
      </c>
      <c r="E341" s="48"/>
      <c r="F341" s="151">
        <f ca="1">+MIN('S&amp;U'!$H20-SUM('Phase I Pro Forma'!$E341:E341),'Phase I Pro Forma'!F$336-SUM(F$339:F340))</f>
        <v>0</v>
      </c>
      <c r="G341" s="151">
        <f ca="1">+MIN('S&amp;U'!$H20-SUM('Phase I Pro Forma'!$E341:F341),'Phase I Pro Forma'!G$336-SUM(G$339:G340))</f>
        <v>0</v>
      </c>
      <c r="H341" s="151">
        <f ca="1">+MIN('S&amp;U'!$H20-SUM('Phase I Pro Forma'!$E341:G341),'Phase I Pro Forma'!H$336-SUM(H$339:H340))</f>
        <v>32087500</v>
      </c>
      <c r="I341" s="151">
        <f ca="1">+MIN('S&amp;U'!$H20-SUM('Phase I Pro Forma'!$E341:H341),'Phase I Pro Forma'!I$336-SUM(I$339:I340))</f>
        <v>0</v>
      </c>
      <c r="J341" s="151">
        <f ca="1">+MIN('S&amp;U'!$H20-SUM('Phase I Pro Forma'!$E341:I341),'Phase I Pro Forma'!J$336-SUM(J$339:J340))</f>
        <v>0</v>
      </c>
      <c r="K341" s="151">
        <f ca="1">+MIN('S&amp;U'!$H20-SUM('Phase I Pro Forma'!$E341:J341),'Phase I Pro Forma'!K$336-SUM(K$339:K340))</f>
        <v>0</v>
      </c>
      <c r="L341" s="151">
        <f ca="1">+MIN('S&amp;U'!$H20-SUM('Phase I Pro Forma'!$E341:K341),'Phase I Pro Forma'!L$336-SUM(L$339:L340))</f>
        <v>0</v>
      </c>
      <c r="M341" s="151">
        <f ca="1">+MIN('S&amp;U'!$H20-SUM('Phase I Pro Forma'!$E341:L341),'Phase I Pro Forma'!M$336-SUM(M$339:M340))</f>
        <v>0</v>
      </c>
      <c r="N341" s="151">
        <f ca="1">+MIN('S&amp;U'!$H20-SUM('Phase I Pro Forma'!$E341:M341),'Phase I Pro Forma'!N$336-SUM(N$339:N340))</f>
        <v>0</v>
      </c>
      <c r="O341" s="151">
        <f ca="1">+MIN('S&amp;U'!$H20-SUM('Phase I Pro Forma'!$E341:N341),'Phase I Pro Forma'!O$336-SUM(O$339:O340))</f>
        <v>0</v>
      </c>
      <c r="P341" s="151">
        <f ca="1">+MIN('S&amp;U'!$H20-SUM('Phase I Pro Forma'!$E341:O341),'Phase I Pro Forma'!P$336-SUM(P$339:P340))</f>
        <v>0</v>
      </c>
      <c r="Q341" s="151">
        <f ca="1">+MIN('S&amp;U'!$H20-SUM('Phase I Pro Forma'!$E341:P341),'Phase I Pro Forma'!Q$336-SUM(Q$339:Q340))</f>
        <v>0</v>
      </c>
      <c r="R341" s="151">
        <f ca="1">+MIN('S&amp;U'!$H20-SUM('Phase I Pro Forma'!$E341:Q341),'Phase I Pro Forma'!R$336-SUM(R$339:R340))</f>
        <v>0</v>
      </c>
      <c r="S341" s="151">
        <f ca="1">+MIN('S&amp;U'!$H20-SUM('Phase I Pro Forma'!$E341:R341),'Phase I Pro Forma'!S$336-SUM(S$339:S340))</f>
        <v>0</v>
      </c>
      <c r="T341" s="151">
        <f ca="1">+MIN('S&amp;U'!$H20-SUM('Phase I Pro Forma'!$E341:S341),'Phase I Pro Forma'!T$336-SUM(T$339:T340))</f>
        <v>0</v>
      </c>
      <c r="U341" s="151">
        <f ca="1">+MIN('S&amp;U'!$H20-SUM('Phase I Pro Forma'!$E341:T341),'Phase I Pro Forma'!U$336-SUM(U$339:U340))</f>
        <v>0</v>
      </c>
      <c r="V341" s="151">
        <f ca="1">+MIN('S&amp;U'!$H20-SUM('Phase I Pro Forma'!$E341:U341),'Phase I Pro Forma'!V$336-SUM(V$339:V340))</f>
        <v>0</v>
      </c>
      <c r="W341" s="151">
        <f ca="1">+MIN('S&amp;U'!$H20-SUM('Phase I Pro Forma'!$E341:V341),'Phase I Pro Forma'!W$336-SUM(W$339:W340))</f>
        <v>0</v>
      </c>
      <c r="X341" s="151">
        <f ca="1">+MIN('S&amp;U'!$H20-SUM('Phase I Pro Forma'!$E341:W341),'Phase I Pro Forma'!X$336-SUM(X$339:X340))</f>
        <v>0</v>
      </c>
      <c r="Y341" s="151">
        <f ca="1">+MIN('S&amp;U'!$H20-SUM('Phase I Pro Forma'!$E341:X341),'Phase I Pro Forma'!Y$336-SUM(Y$339:Y340))</f>
        <v>0</v>
      </c>
      <c r="Z341" s="151">
        <f ca="1">+MIN('S&amp;U'!$H20-SUM('Phase I Pro Forma'!$E341:Y341),'Phase I Pro Forma'!Z$336-SUM(Z$339:Z340))</f>
        <v>0</v>
      </c>
    </row>
    <row r="342" spans="2:26" ht="15.5">
      <c r="B342" s="33" t="s">
        <v>99</v>
      </c>
      <c r="D342" s="48">
        <f t="shared" ca="1" si="611"/>
        <v>266062.01999999996</v>
      </c>
      <c r="E342" s="48"/>
      <c r="F342" s="151">
        <f ca="1">+MIN('S&amp;U'!$H21-SUM('Phase I Pro Forma'!$E342:E342),'Phase I Pro Forma'!F$336-SUM(F$339:F341))</f>
        <v>0</v>
      </c>
      <c r="G342" s="151">
        <f ca="1">+MIN('S&amp;U'!$H21-SUM('Phase I Pro Forma'!$E342:F342),'Phase I Pro Forma'!G$336-SUM(G$339:G341))</f>
        <v>0</v>
      </c>
      <c r="H342" s="151">
        <f ca="1">+MIN('S&amp;U'!$H21-SUM('Phase I Pro Forma'!$E342:G342),'Phase I Pro Forma'!H$336-SUM(H$339:H341))</f>
        <v>266062.01999999996</v>
      </c>
      <c r="I342" s="151">
        <f ca="1">+MIN('S&amp;U'!$H21-SUM('Phase I Pro Forma'!$E342:H342),'Phase I Pro Forma'!I$336-SUM(I$339:I341))</f>
        <v>0</v>
      </c>
      <c r="J342" s="151">
        <f ca="1">+MIN('S&amp;U'!$H21-SUM('Phase I Pro Forma'!$E342:I342),'Phase I Pro Forma'!J$336-SUM(J$339:J341))</f>
        <v>0</v>
      </c>
      <c r="K342" s="151">
        <f ca="1">+MIN('S&amp;U'!$H21-SUM('Phase I Pro Forma'!$E342:J342),'Phase I Pro Forma'!K$336-SUM(K$339:K341))</f>
        <v>0</v>
      </c>
      <c r="L342" s="151">
        <f ca="1">+MIN('S&amp;U'!$H21-SUM('Phase I Pro Forma'!$E342:K342),'Phase I Pro Forma'!L$336-SUM(L$339:L341))</f>
        <v>0</v>
      </c>
      <c r="M342" s="151">
        <f ca="1">+MIN('S&amp;U'!$H21-SUM('Phase I Pro Forma'!$E342:L342),'Phase I Pro Forma'!M$336-SUM(M$339:M341))</f>
        <v>0</v>
      </c>
      <c r="N342" s="151">
        <f ca="1">+MIN('S&amp;U'!$H21-SUM('Phase I Pro Forma'!$E342:M342),'Phase I Pro Forma'!N$336-SUM(N$339:N341))</f>
        <v>0</v>
      </c>
      <c r="O342" s="151">
        <f ca="1">+MIN('S&amp;U'!$H21-SUM('Phase I Pro Forma'!$E342:N342),'Phase I Pro Forma'!O$336-SUM(O$339:O341))</f>
        <v>0</v>
      </c>
      <c r="P342" s="151">
        <f ca="1">+MIN('S&amp;U'!$H21-SUM('Phase I Pro Forma'!$E342:O342),'Phase I Pro Forma'!P$336-SUM(P$339:P341))</f>
        <v>0</v>
      </c>
      <c r="Q342" s="151">
        <f ca="1">+MIN('S&amp;U'!$H21-SUM('Phase I Pro Forma'!$E342:P342),'Phase I Pro Forma'!Q$336-SUM(Q$339:Q341))</f>
        <v>0</v>
      </c>
      <c r="R342" s="151">
        <f ca="1">+MIN('S&amp;U'!$H21-SUM('Phase I Pro Forma'!$E342:Q342),'Phase I Pro Forma'!R$336-SUM(R$339:R341))</f>
        <v>0</v>
      </c>
      <c r="S342" s="151">
        <f ca="1">+MIN('S&amp;U'!$H21-SUM('Phase I Pro Forma'!$E342:R342),'Phase I Pro Forma'!S$336-SUM(S$339:S341))</f>
        <v>0</v>
      </c>
      <c r="T342" s="151">
        <f ca="1">+MIN('S&amp;U'!$H21-SUM('Phase I Pro Forma'!$E342:S342),'Phase I Pro Forma'!T$336-SUM(T$339:T341))</f>
        <v>0</v>
      </c>
      <c r="U342" s="151">
        <f ca="1">+MIN('S&amp;U'!$H21-SUM('Phase I Pro Forma'!$E342:T342),'Phase I Pro Forma'!U$336-SUM(U$339:U341))</f>
        <v>0</v>
      </c>
      <c r="V342" s="151">
        <f ca="1">+MIN('S&amp;U'!$H21-SUM('Phase I Pro Forma'!$E342:U342),'Phase I Pro Forma'!V$336-SUM(V$339:V341))</f>
        <v>0</v>
      </c>
      <c r="W342" s="151">
        <f ca="1">+MIN('S&amp;U'!$H21-SUM('Phase I Pro Forma'!$E342:V342),'Phase I Pro Forma'!W$336-SUM(W$339:W341))</f>
        <v>0</v>
      </c>
      <c r="X342" s="151">
        <f ca="1">+MIN('S&amp;U'!$H21-SUM('Phase I Pro Forma'!$E342:W342),'Phase I Pro Forma'!X$336-SUM(X$339:X341))</f>
        <v>0</v>
      </c>
      <c r="Y342" s="151">
        <f ca="1">+MIN('S&amp;U'!$H21-SUM('Phase I Pro Forma'!$E342:X342),'Phase I Pro Forma'!Y$336-SUM(Y$339:Y341))</f>
        <v>0</v>
      </c>
      <c r="Z342" s="151">
        <f ca="1">+MIN('S&amp;U'!$H21-SUM('Phase I Pro Forma'!$E342:Y342),'Phase I Pro Forma'!Z$336-SUM(Z$339:Z341))</f>
        <v>0</v>
      </c>
    </row>
    <row r="343" spans="2:26" ht="15.5">
      <c r="B343" s="33" t="s">
        <v>564</v>
      </c>
      <c r="D343" s="48">
        <f t="shared" ref="D343" ca="1" si="612">+SUM(F343:Z343)</f>
        <v>9204939.2134974767</v>
      </c>
      <c r="E343" s="48"/>
      <c r="F343" s="151">
        <f ca="1">+MIN('S&amp;U'!$H22-SUM('Phase I Pro Forma'!$E343:E343),'Phase I Pro Forma'!F$336-SUM(F$339:F342))</f>
        <v>0</v>
      </c>
      <c r="G343" s="151">
        <f ca="1">+MIN('S&amp;U'!$H22-SUM('Phase I Pro Forma'!$E343:F343),'Phase I Pro Forma'!G$336-SUM(G$339:G342))</f>
        <v>0</v>
      </c>
      <c r="H343" s="151">
        <f ca="1">+MIN('S&amp;U'!$H22-SUM('Phase I Pro Forma'!$E343:G343),'Phase I Pro Forma'!H$336-SUM(H$339:H342))</f>
        <v>9204939.2134974767</v>
      </c>
      <c r="I343" s="151">
        <f ca="1">+MIN('S&amp;U'!$H22-SUM('Phase I Pro Forma'!$E343:H343),'Phase I Pro Forma'!I$336-SUM(I$339:I342))</f>
        <v>0</v>
      </c>
      <c r="J343" s="151">
        <f ca="1">+MIN('S&amp;U'!$H22-SUM('Phase I Pro Forma'!$E343:I343),'Phase I Pro Forma'!J$336-SUM(J$339:J342))</f>
        <v>0</v>
      </c>
      <c r="K343" s="151">
        <f ca="1">+MIN('S&amp;U'!$H22-SUM('Phase I Pro Forma'!$E343:J343),'Phase I Pro Forma'!K$336-SUM(K$339:K342))</f>
        <v>0</v>
      </c>
      <c r="L343" s="151">
        <f ca="1">+MIN('S&amp;U'!$H22-SUM('Phase I Pro Forma'!$E343:K343),'Phase I Pro Forma'!L$336-SUM(L$339:L342))</f>
        <v>0</v>
      </c>
      <c r="M343" s="151">
        <f ca="1">+MIN('S&amp;U'!$H22-SUM('Phase I Pro Forma'!$E343:L343),'Phase I Pro Forma'!M$336-SUM(M$339:M342))</f>
        <v>0</v>
      </c>
      <c r="N343" s="151">
        <f ca="1">+MIN('S&amp;U'!$H22-SUM('Phase I Pro Forma'!$E343:M343),'Phase I Pro Forma'!N$336-SUM(N$339:N342))</f>
        <v>0</v>
      </c>
      <c r="O343" s="151">
        <f ca="1">+MIN('S&amp;U'!$H22-SUM('Phase I Pro Forma'!$E343:N343),'Phase I Pro Forma'!O$336-SUM(O$339:O342))</f>
        <v>0</v>
      </c>
      <c r="P343" s="151">
        <f ca="1">+MIN('S&amp;U'!$H22-SUM('Phase I Pro Forma'!$E343:O343),'Phase I Pro Forma'!P$336-SUM(P$339:P342))</f>
        <v>0</v>
      </c>
      <c r="Q343" s="151">
        <f ca="1">+MIN('S&amp;U'!$H22-SUM('Phase I Pro Forma'!$E343:P343),'Phase I Pro Forma'!Q$336-SUM(Q$339:Q342))</f>
        <v>0</v>
      </c>
      <c r="R343" s="151">
        <f ca="1">+MIN('S&amp;U'!$H22-SUM('Phase I Pro Forma'!$E343:Q343),'Phase I Pro Forma'!R$336-SUM(R$339:R342))</f>
        <v>0</v>
      </c>
      <c r="S343" s="151">
        <f ca="1">+MIN('S&amp;U'!$H22-SUM('Phase I Pro Forma'!$E343:R343),'Phase I Pro Forma'!S$336-SUM(S$339:S342))</f>
        <v>0</v>
      </c>
      <c r="T343" s="151">
        <f ca="1">+MIN('S&amp;U'!$H22-SUM('Phase I Pro Forma'!$E343:S343),'Phase I Pro Forma'!T$336-SUM(T$339:T342))</f>
        <v>0</v>
      </c>
      <c r="U343" s="151">
        <f ca="1">+MIN('S&amp;U'!$H22-SUM('Phase I Pro Forma'!$E343:T343),'Phase I Pro Forma'!U$336-SUM(U$339:U342))</f>
        <v>0</v>
      </c>
      <c r="V343" s="151">
        <f ca="1">+MIN('S&amp;U'!$H22-SUM('Phase I Pro Forma'!$E343:U343),'Phase I Pro Forma'!V$336-SUM(V$339:V342))</f>
        <v>0</v>
      </c>
      <c r="W343" s="151">
        <f ca="1">+MIN('S&amp;U'!$H22-SUM('Phase I Pro Forma'!$E343:V343),'Phase I Pro Forma'!W$336-SUM(W$339:W342))</f>
        <v>0</v>
      </c>
      <c r="X343" s="151">
        <f ca="1">+MIN('S&amp;U'!$H22-SUM('Phase I Pro Forma'!$E343:W343),'Phase I Pro Forma'!X$336-SUM(X$339:X342))</f>
        <v>0</v>
      </c>
      <c r="Y343" s="151">
        <f ca="1">+MIN('S&amp;U'!$H22-SUM('Phase I Pro Forma'!$E343:X343),'Phase I Pro Forma'!Y$336-SUM(Y$339:Y342))</f>
        <v>0</v>
      </c>
      <c r="Z343" s="151">
        <f ca="1">+MIN('S&amp;U'!$H22-SUM('Phase I Pro Forma'!$E343:Y343),'Phase I Pro Forma'!Z$336-SUM(Z$339:Z342))</f>
        <v>0</v>
      </c>
    </row>
    <row r="344" spans="2:26" ht="15.5">
      <c r="B344" s="33" t="s">
        <v>312</v>
      </c>
      <c r="D344" s="48">
        <f t="shared" si="611"/>
        <v>0</v>
      </c>
      <c r="E344" s="48"/>
      <c r="F344" s="151">
        <v>0</v>
      </c>
      <c r="G344" s="151">
        <v>0</v>
      </c>
      <c r="H344" s="151">
        <v>0</v>
      </c>
      <c r="I344" s="151">
        <v>0</v>
      </c>
      <c r="J344" s="151">
        <v>0</v>
      </c>
      <c r="K344" s="151">
        <v>0</v>
      </c>
      <c r="L344" s="151">
        <v>0</v>
      </c>
      <c r="M344" s="151">
        <v>0</v>
      </c>
      <c r="N344" s="151">
        <v>0</v>
      </c>
      <c r="O344" s="151">
        <v>0</v>
      </c>
      <c r="P344" s="151">
        <v>0</v>
      </c>
      <c r="Q344" s="151">
        <v>0</v>
      </c>
      <c r="R344" s="151">
        <v>0</v>
      </c>
      <c r="S344" s="151">
        <v>0</v>
      </c>
      <c r="T344" s="151">
        <v>0</v>
      </c>
      <c r="U344" s="151">
        <v>0</v>
      </c>
      <c r="V344" s="151">
        <v>0</v>
      </c>
      <c r="W344" s="151">
        <v>0</v>
      </c>
      <c r="X344" s="151">
        <v>0</v>
      </c>
      <c r="Y344" s="151">
        <v>0</v>
      </c>
      <c r="Z344" s="151">
        <v>0</v>
      </c>
    </row>
    <row r="345" spans="2:26" ht="15.5">
      <c r="B345" s="33" t="s">
        <v>97</v>
      </c>
      <c r="D345" s="48">
        <f t="shared" ca="1" si="611"/>
        <v>51774802.650901571</v>
      </c>
      <c r="E345" s="48"/>
      <c r="F345" s="151">
        <f ca="1">+MIN('S&amp;U'!$H26-SUM('Phase I Pro Forma'!$E345:E345),'Phase I Pro Forma'!F$336-SUM(F$339:F344))</f>
        <v>0</v>
      </c>
      <c r="G345" s="151">
        <f ca="1">+MIN('S&amp;U'!$H26-SUM('Phase I Pro Forma'!$E345:F345),'Phase I Pro Forma'!G$336-SUM(G$339:G344))</f>
        <v>0</v>
      </c>
      <c r="H345" s="151">
        <f ca="1">+MIN('S&amp;U'!$H26-SUM('Phase I Pro Forma'!$E345:G345),'Phase I Pro Forma'!H$336-SUM(H$339:H344))</f>
        <v>46553775.860098034</v>
      </c>
      <c r="I345" s="151">
        <f ca="1">+MIN('S&amp;U'!$H26-SUM('Phase I Pro Forma'!$E345:H345),'Phase I Pro Forma'!I$336-SUM(I$339:I344))</f>
        <v>2610513.3954018247</v>
      </c>
      <c r="J345" s="151">
        <f ca="1">+MIN('S&amp;U'!$H26-SUM('Phase I Pro Forma'!$E345:I345),'Phase I Pro Forma'!J$336-SUM(J$339:J344))</f>
        <v>2610513.3954018247</v>
      </c>
      <c r="K345" s="151">
        <f ca="1">+MIN('S&amp;U'!$H26-SUM('Phase I Pro Forma'!$E345:J345),'Phase I Pro Forma'!K$336-SUM(K$339:K344))</f>
        <v>0</v>
      </c>
      <c r="L345" s="151">
        <f ca="1">+MIN('S&amp;U'!$H26-SUM('Phase I Pro Forma'!$E345:K345),'Phase I Pro Forma'!L$336-SUM(L$339:L344))</f>
        <v>0</v>
      </c>
      <c r="M345" s="151">
        <f ca="1">+MIN('S&amp;U'!$H26-SUM('Phase I Pro Forma'!$E345:L345),'Phase I Pro Forma'!M$336-SUM(M$339:M344))</f>
        <v>0</v>
      </c>
      <c r="N345" s="151">
        <f ca="1">+MIN('S&amp;U'!$H26-SUM('Phase I Pro Forma'!$E345:M345),'Phase I Pro Forma'!N$336-SUM(N$339:N344))</f>
        <v>0</v>
      </c>
      <c r="O345" s="151">
        <f ca="1">+MIN('S&amp;U'!$H26-SUM('Phase I Pro Forma'!$E345:N345),'Phase I Pro Forma'!O$336-SUM(O$339:O344))</f>
        <v>0</v>
      </c>
      <c r="P345" s="151">
        <f ca="1">+MIN('S&amp;U'!$H26-SUM('Phase I Pro Forma'!$E345:O345),'Phase I Pro Forma'!P$336-SUM(P$339:P344))</f>
        <v>0</v>
      </c>
      <c r="Q345" s="151">
        <f ca="1">+MIN('S&amp;U'!$H26-SUM('Phase I Pro Forma'!$E345:P345),'Phase I Pro Forma'!Q$336-SUM(Q$339:Q344))</f>
        <v>0</v>
      </c>
      <c r="R345" s="151">
        <f ca="1">+MIN('S&amp;U'!$H26-SUM('Phase I Pro Forma'!$E345:Q345),'Phase I Pro Forma'!R$336-SUM(R$339:R344))</f>
        <v>0</v>
      </c>
      <c r="S345" s="151">
        <f ca="1">+MIN('S&amp;U'!$H26-SUM('Phase I Pro Forma'!$E345:R345),'Phase I Pro Forma'!S$336-SUM(S$339:S344))</f>
        <v>0</v>
      </c>
      <c r="T345" s="151">
        <f ca="1">+MIN('S&amp;U'!$H26-SUM('Phase I Pro Forma'!$E345:S345),'Phase I Pro Forma'!T$336-SUM(T$339:T344))</f>
        <v>0</v>
      </c>
      <c r="U345" s="151">
        <f ca="1">+MIN('S&amp;U'!$H26-SUM('Phase I Pro Forma'!$E345:T345),'Phase I Pro Forma'!U$336-SUM(U$339:U344))</f>
        <v>0</v>
      </c>
      <c r="V345" s="151">
        <f ca="1">+MIN('S&amp;U'!$H26-SUM('Phase I Pro Forma'!$E345:U345),'Phase I Pro Forma'!V$336-SUM(V$339:V344))</f>
        <v>0</v>
      </c>
      <c r="W345" s="151">
        <f ca="1">+MIN('S&amp;U'!$H26-SUM('Phase I Pro Forma'!$E345:V345),'Phase I Pro Forma'!W$336-SUM(W$339:W344))</f>
        <v>0</v>
      </c>
      <c r="X345" s="151">
        <f ca="1">+MIN('S&amp;U'!$H26-SUM('Phase I Pro Forma'!$E345:W345),'Phase I Pro Forma'!X$336-SUM(X$339:X344))</f>
        <v>0</v>
      </c>
      <c r="Y345" s="151">
        <f ca="1">+MIN('S&amp;U'!$H26-SUM('Phase I Pro Forma'!$E345:X345),'Phase I Pro Forma'!Y$336-SUM(Y$339:Y344))</f>
        <v>0</v>
      </c>
      <c r="Z345" s="151">
        <f ca="1">+MIN('S&amp;U'!$H26-SUM('Phase I Pro Forma'!$E345:Y345),'Phase I Pro Forma'!Z$336-SUM(Z$339:Z344))</f>
        <v>0</v>
      </c>
    </row>
    <row r="346" spans="2:26" ht="15.5">
      <c r="B346" s="138" t="s">
        <v>359</v>
      </c>
      <c r="C346" s="138"/>
      <c r="D346" s="139">
        <f t="shared" ca="1" si="611"/>
        <v>392848985.46656251</v>
      </c>
      <c r="E346" s="139"/>
      <c r="F346" s="139">
        <f t="shared" ref="F346:Z346" ca="1" si="613">+SUM(F339:F345)</f>
        <v>62857885.033285916</v>
      </c>
      <c r="G346" s="139">
        <f t="shared" ca="1" si="613"/>
        <v>162385036.82123646</v>
      </c>
      <c r="H346" s="139">
        <f t="shared" ca="1" si="613"/>
        <v>162385036.82123646</v>
      </c>
      <c r="I346" s="139">
        <f t="shared" ca="1" si="613"/>
        <v>2610513.3954018247</v>
      </c>
      <c r="J346" s="139">
        <f t="shared" ca="1" si="613"/>
        <v>2610513.3954018247</v>
      </c>
      <c r="K346" s="139">
        <f t="shared" ca="1" si="613"/>
        <v>0</v>
      </c>
      <c r="L346" s="139">
        <f t="shared" ca="1" si="613"/>
        <v>0</v>
      </c>
      <c r="M346" s="139">
        <f t="shared" ca="1" si="613"/>
        <v>0</v>
      </c>
      <c r="N346" s="139">
        <f t="shared" ca="1" si="613"/>
        <v>0</v>
      </c>
      <c r="O346" s="139">
        <f t="shared" ca="1" si="613"/>
        <v>0</v>
      </c>
      <c r="P346" s="139">
        <f t="shared" ca="1" si="613"/>
        <v>0</v>
      </c>
      <c r="Q346" s="139">
        <f t="shared" ca="1" si="613"/>
        <v>0</v>
      </c>
      <c r="R346" s="139">
        <f t="shared" ca="1" si="613"/>
        <v>0</v>
      </c>
      <c r="S346" s="139">
        <f t="shared" ca="1" si="613"/>
        <v>0</v>
      </c>
      <c r="T346" s="139">
        <f t="shared" ca="1" si="613"/>
        <v>0</v>
      </c>
      <c r="U346" s="139">
        <f t="shared" ca="1" si="613"/>
        <v>0</v>
      </c>
      <c r="V346" s="139">
        <f t="shared" ca="1" si="613"/>
        <v>0</v>
      </c>
      <c r="W346" s="139">
        <f t="shared" ca="1" si="613"/>
        <v>0</v>
      </c>
      <c r="X346" s="139">
        <f t="shared" ca="1" si="613"/>
        <v>0</v>
      </c>
      <c r="Y346" s="139">
        <f t="shared" ca="1" si="613"/>
        <v>0</v>
      </c>
      <c r="Z346" s="139">
        <f t="shared" ca="1" si="613"/>
        <v>0</v>
      </c>
    </row>
    <row r="348" spans="2:26" ht="15.5">
      <c r="B348" s="148" t="s">
        <v>330</v>
      </c>
    </row>
    <row r="349" spans="2:26" ht="15.5">
      <c r="B349" s="33" t="s">
        <v>331</v>
      </c>
      <c r="D349" s="48">
        <f ca="1">+SUM(F349:Z349)</f>
        <v>-299515681.58216345</v>
      </c>
      <c r="E349" s="48"/>
      <c r="F349" s="34">
        <f ca="1">-F339</f>
        <v>-62857885.033285916</v>
      </c>
      <c r="G349" s="34">
        <f t="shared" ref="G349:Z349" ca="1" si="614">-G339</f>
        <v>-162385036.82123646</v>
      </c>
      <c r="H349" s="34">
        <f t="shared" ca="1" si="614"/>
        <v>-74272759.727640957</v>
      </c>
      <c r="I349" s="34">
        <f t="shared" ca="1" si="614"/>
        <v>0</v>
      </c>
      <c r="J349" s="34">
        <f t="shared" ca="1" si="614"/>
        <v>0</v>
      </c>
      <c r="K349" s="34">
        <f t="shared" ca="1" si="614"/>
        <v>0</v>
      </c>
      <c r="L349" s="34">
        <f t="shared" ca="1" si="614"/>
        <v>0</v>
      </c>
      <c r="M349" s="34">
        <f t="shared" ca="1" si="614"/>
        <v>0</v>
      </c>
      <c r="N349" s="34">
        <f t="shared" ca="1" si="614"/>
        <v>0</v>
      </c>
      <c r="O349" s="34">
        <f t="shared" ca="1" si="614"/>
        <v>0</v>
      </c>
      <c r="P349" s="34">
        <f t="shared" ca="1" si="614"/>
        <v>0</v>
      </c>
      <c r="Q349" s="34">
        <f t="shared" ca="1" si="614"/>
        <v>0</v>
      </c>
      <c r="R349" s="34">
        <f t="shared" ca="1" si="614"/>
        <v>0</v>
      </c>
      <c r="S349" s="34">
        <f t="shared" ca="1" si="614"/>
        <v>0</v>
      </c>
      <c r="T349" s="34">
        <f t="shared" ca="1" si="614"/>
        <v>0</v>
      </c>
      <c r="U349" s="34">
        <f t="shared" ca="1" si="614"/>
        <v>0</v>
      </c>
      <c r="V349" s="34">
        <f t="shared" ca="1" si="614"/>
        <v>0</v>
      </c>
      <c r="W349" s="34">
        <f t="shared" ca="1" si="614"/>
        <v>0</v>
      </c>
      <c r="X349" s="34">
        <f t="shared" ca="1" si="614"/>
        <v>0</v>
      </c>
      <c r="Y349" s="34">
        <f t="shared" ca="1" si="614"/>
        <v>0</v>
      </c>
      <c r="Z349" s="34">
        <f t="shared" ca="1" si="614"/>
        <v>0</v>
      </c>
    </row>
    <row r="350" spans="2:26" ht="15.5">
      <c r="B350" s="33" t="s">
        <v>332</v>
      </c>
      <c r="D350" s="48">
        <f t="shared" ref="D350" ca="1" si="615">+SUM(F350:Z350)</f>
        <v>845585491.8240447</v>
      </c>
      <c r="E350" s="48"/>
      <c r="F350" s="151">
        <f ca="1">+IF(YEAR(F$140)&lt;=YEAR(Assumptions!$F$30),F321+F326,0)</f>
        <v>0</v>
      </c>
      <c r="G350" s="151">
        <f ca="1">+IF(YEAR(G$140)&lt;=YEAR(Assumptions!$F$30),G321+G326,0)</f>
        <v>0</v>
      </c>
      <c r="H350" s="151">
        <f ca="1">+IF(YEAR(H$140)&lt;=YEAR(Assumptions!$F$30),H321+H326,0)</f>
        <v>0</v>
      </c>
      <c r="I350" s="151">
        <f ca="1">+IF(YEAR(I$140)&lt;=YEAR(Assumptions!$F$30),I321+I326,0)</f>
        <v>16879232.218519609</v>
      </c>
      <c r="J350" s="151">
        <f ca="1">+IF(YEAR(J$140)&lt;=YEAR(Assumptions!$F$30),J321+J326,0)</f>
        <v>33930859.157725617</v>
      </c>
      <c r="K350" s="151">
        <f ca="1">+IF(YEAR(K$140)&lt;=YEAR(Assumptions!$F$30),K321+K326,0)</f>
        <v>34162470.686199315</v>
      </c>
      <c r="L350" s="151">
        <f ca="1">+IF(YEAR(L$140)&lt;=YEAR(Assumptions!$F$30),L321+L326,0)</f>
        <v>36853344.998701565</v>
      </c>
      <c r="M350" s="151">
        <f ca="1">+IF(YEAR(M$140)&lt;=YEAR(Assumptions!$F$30),M321+M326,0)</f>
        <v>37037848.661380671</v>
      </c>
      <c r="N350" s="151">
        <f ca="1">+IF(YEAR(N$140)&lt;=YEAR(Assumptions!$F$30),N321+N326,0)</f>
        <v>37282910.434015237</v>
      </c>
      <c r="O350" s="151">
        <f ca="1">+IF(YEAR(O$140)&lt;=YEAR(Assumptions!$F$30),O321+O326,0)</f>
        <v>37532621.667165123</v>
      </c>
      <c r="P350" s="151">
        <f ca="1">+IF(YEAR(P$140)&lt;=YEAR(Assumptions!$F$30),P321+P326,0)</f>
        <v>611906204.00033748</v>
      </c>
      <c r="Q350" s="151">
        <f>+IF(YEAR(Q$140)&lt;=YEAR(Assumptions!$F$30),Q321+Q326,0)</f>
        <v>0</v>
      </c>
      <c r="R350" s="151">
        <f>+IF(YEAR(R$140)&lt;=YEAR(Assumptions!$F$30),R321+R326,0)</f>
        <v>0</v>
      </c>
      <c r="S350" s="151">
        <f>+IF(YEAR(S$140)&lt;=YEAR(Assumptions!$F$30),S321+S326,0)</f>
        <v>0</v>
      </c>
      <c r="T350" s="151">
        <f>+IF(YEAR(T$140)&lt;=YEAR(Assumptions!$F$30),T321+T326,0)</f>
        <v>0</v>
      </c>
      <c r="U350" s="151">
        <f>+IF(YEAR(U$140)&lt;=YEAR(Assumptions!$F$30),U321+U326,0)</f>
        <v>0</v>
      </c>
      <c r="V350" s="151">
        <f>+IF(YEAR(V$140)&lt;=YEAR(Assumptions!$F$30),V321+V326,0)</f>
        <v>0</v>
      </c>
      <c r="W350" s="151">
        <f>+IF(YEAR(W$140)&lt;=YEAR(Assumptions!$F$30),W321+W326,0)</f>
        <v>0</v>
      </c>
      <c r="X350" s="151">
        <f>+IF(YEAR(X$140)&lt;=YEAR(Assumptions!$F$30),X321+X326,0)</f>
        <v>0</v>
      </c>
      <c r="Y350" s="151">
        <f>+IF(YEAR(Y$140)&lt;=YEAR(Assumptions!$F$30),Y321+Y326,0)</f>
        <v>0</v>
      </c>
      <c r="Z350" s="151">
        <f>+IF(YEAR(Z$140)&lt;=YEAR(Assumptions!$F$30),Z321+Z326,0)</f>
        <v>0</v>
      </c>
    </row>
    <row r="351" spans="2:26" ht="15.5">
      <c r="B351" s="138" t="s">
        <v>333</v>
      </c>
      <c r="C351" s="138"/>
      <c r="D351" s="139">
        <f ca="1">+SUM(F351:Z351)</f>
        <v>546069810.24188125</v>
      </c>
      <c r="E351" s="139"/>
      <c r="F351" s="139">
        <f ca="1">+SUM(F349:F350)</f>
        <v>-62857885.033285916</v>
      </c>
      <c r="G351" s="139">
        <f t="shared" ref="G351:Z351" ca="1" si="616">+SUM(G349:G350)</f>
        <v>-162385036.82123646</v>
      </c>
      <c r="H351" s="139">
        <f t="shared" ca="1" si="616"/>
        <v>-74272759.727640957</v>
      </c>
      <c r="I351" s="139">
        <f t="shared" ca="1" si="616"/>
        <v>16879232.218519609</v>
      </c>
      <c r="J351" s="139">
        <f t="shared" ca="1" si="616"/>
        <v>33930859.157725617</v>
      </c>
      <c r="K351" s="139">
        <f t="shared" ca="1" si="616"/>
        <v>34162470.686199315</v>
      </c>
      <c r="L351" s="139">
        <f t="shared" ca="1" si="616"/>
        <v>36853344.998701565</v>
      </c>
      <c r="M351" s="139">
        <f t="shared" ca="1" si="616"/>
        <v>37037848.661380671</v>
      </c>
      <c r="N351" s="139">
        <f t="shared" ca="1" si="616"/>
        <v>37282910.434015237</v>
      </c>
      <c r="O351" s="139">
        <f t="shared" ca="1" si="616"/>
        <v>37532621.667165123</v>
      </c>
      <c r="P351" s="139">
        <f t="shared" ca="1" si="616"/>
        <v>611906204.00033748</v>
      </c>
      <c r="Q351" s="139">
        <f t="shared" ca="1" si="616"/>
        <v>0</v>
      </c>
      <c r="R351" s="139">
        <f t="shared" ca="1" si="616"/>
        <v>0</v>
      </c>
      <c r="S351" s="139">
        <f t="shared" ca="1" si="616"/>
        <v>0</v>
      </c>
      <c r="T351" s="139">
        <f t="shared" ca="1" si="616"/>
        <v>0</v>
      </c>
      <c r="U351" s="139">
        <f t="shared" ca="1" si="616"/>
        <v>0</v>
      </c>
      <c r="V351" s="139">
        <f t="shared" ca="1" si="616"/>
        <v>0</v>
      </c>
      <c r="W351" s="139">
        <f t="shared" ca="1" si="616"/>
        <v>0</v>
      </c>
      <c r="X351" s="139">
        <f t="shared" ca="1" si="616"/>
        <v>0</v>
      </c>
      <c r="Y351" s="139">
        <f t="shared" ca="1" si="616"/>
        <v>0</v>
      </c>
      <c r="Z351" s="139">
        <f t="shared" ca="1" si="616"/>
        <v>0</v>
      </c>
    </row>
    <row r="353" spans="2:26" ht="15.5">
      <c r="B353" s="190" t="s">
        <v>375</v>
      </c>
      <c r="C353" s="190"/>
      <c r="D353" s="191">
        <f ca="1">+IRR(F351:Z351)</f>
        <v>0.14466080366738621</v>
      </c>
    </row>
    <row r="354" spans="2:26" ht="15.5">
      <c r="B354" s="141" t="s">
        <v>335</v>
      </c>
      <c r="C354" s="192"/>
      <c r="D354" s="142">
        <f ca="1">+SUM(F351:Z351)</f>
        <v>546069810.24188137</v>
      </c>
    </row>
    <row r="355" spans="2:26" ht="15.5">
      <c r="B355" s="194" t="s">
        <v>336</v>
      </c>
      <c r="C355" s="193"/>
      <c r="D355" s="195">
        <f ca="1">+D350/-D349</f>
        <v>2.8231760265683543</v>
      </c>
    </row>
    <row r="357" spans="2:26" ht="15.5">
      <c r="B357" s="37" t="s">
        <v>393</v>
      </c>
      <c r="C357" s="38"/>
      <c r="D357" s="38"/>
      <c r="E357" s="38"/>
      <c r="F357" s="136">
        <f>+F338</f>
        <v>44561</v>
      </c>
      <c r="G357" s="136">
        <f t="shared" ref="G357:Z357" si="617">+G338</f>
        <v>44926</v>
      </c>
      <c r="H357" s="136">
        <f t="shared" si="617"/>
        <v>45291</v>
      </c>
      <c r="I357" s="136">
        <f t="shared" si="617"/>
        <v>45657</v>
      </c>
      <c r="J357" s="136">
        <f t="shared" si="617"/>
        <v>46022</v>
      </c>
      <c r="K357" s="136">
        <f t="shared" si="617"/>
        <v>46387</v>
      </c>
      <c r="L357" s="136">
        <f t="shared" si="617"/>
        <v>46752</v>
      </c>
      <c r="M357" s="136">
        <f t="shared" si="617"/>
        <v>47118</v>
      </c>
      <c r="N357" s="136">
        <f t="shared" si="617"/>
        <v>47483</v>
      </c>
      <c r="O357" s="136">
        <f t="shared" si="617"/>
        <v>47848</v>
      </c>
      <c r="P357" s="136">
        <f t="shared" si="617"/>
        <v>48213</v>
      </c>
      <c r="Q357" s="136">
        <f t="shared" si="617"/>
        <v>48579</v>
      </c>
      <c r="R357" s="136">
        <f t="shared" si="617"/>
        <v>48944</v>
      </c>
      <c r="S357" s="136">
        <f t="shared" si="617"/>
        <v>49309</v>
      </c>
      <c r="T357" s="136">
        <f t="shared" si="617"/>
        <v>49674</v>
      </c>
      <c r="U357" s="136">
        <f t="shared" si="617"/>
        <v>50040</v>
      </c>
      <c r="V357" s="136">
        <f t="shared" si="617"/>
        <v>50405</v>
      </c>
      <c r="W357" s="136">
        <f t="shared" si="617"/>
        <v>50770</v>
      </c>
      <c r="X357" s="136">
        <f t="shared" si="617"/>
        <v>51135</v>
      </c>
      <c r="Y357" s="136">
        <f t="shared" si="617"/>
        <v>51501</v>
      </c>
      <c r="Z357" s="136">
        <f t="shared" si="617"/>
        <v>51866</v>
      </c>
    </row>
    <row r="358" spans="2:26" ht="15.5">
      <c r="B358" s="119"/>
    </row>
    <row r="359" spans="2:26" ht="15.5">
      <c r="B359" s="148" t="s">
        <v>389</v>
      </c>
      <c r="F359" s="148">
        <v>0</v>
      </c>
      <c r="G359" s="148">
        <f>+F359+1</f>
        <v>1</v>
      </c>
      <c r="H359" s="148">
        <f t="shared" ref="H359:Z359" si="618">+G359+1</f>
        <v>2</v>
      </c>
      <c r="I359" s="148">
        <f t="shared" si="618"/>
        <v>3</v>
      </c>
      <c r="J359" s="148">
        <f t="shared" si="618"/>
        <v>4</v>
      </c>
      <c r="K359" s="148">
        <f t="shared" si="618"/>
        <v>5</v>
      </c>
      <c r="L359" s="148">
        <f t="shared" si="618"/>
        <v>6</v>
      </c>
      <c r="M359" s="148">
        <f t="shared" si="618"/>
        <v>7</v>
      </c>
      <c r="N359" s="148">
        <f t="shared" si="618"/>
        <v>8</v>
      </c>
      <c r="O359" s="148">
        <f t="shared" si="618"/>
        <v>9</v>
      </c>
      <c r="P359" s="148">
        <f t="shared" si="618"/>
        <v>10</v>
      </c>
      <c r="Q359" s="148">
        <f t="shared" si="618"/>
        <v>11</v>
      </c>
      <c r="R359" s="148">
        <f t="shared" si="618"/>
        <v>12</v>
      </c>
      <c r="S359" s="148">
        <f t="shared" si="618"/>
        <v>13</v>
      </c>
      <c r="T359" s="148">
        <f t="shared" si="618"/>
        <v>14</v>
      </c>
      <c r="U359" s="148">
        <f t="shared" si="618"/>
        <v>15</v>
      </c>
      <c r="V359" s="148">
        <f t="shared" si="618"/>
        <v>16</v>
      </c>
      <c r="W359" s="148">
        <f t="shared" si="618"/>
        <v>17</v>
      </c>
      <c r="X359" s="148">
        <f t="shared" si="618"/>
        <v>18</v>
      </c>
      <c r="Y359" s="148">
        <f t="shared" si="618"/>
        <v>19</v>
      </c>
      <c r="Z359" s="148">
        <f t="shared" si="618"/>
        <v>20</v>
      </c>
    </row>
    <row r="360" spans="2:26" ht="15.5">
      <c r="B360" s="33" t="s">
        <v>380</v>
      </c>
      <c r="D360" s="48"/>
      <c r="E360" s="48"/>
      <c r="F360" s="34">
        <f ca="1">+F$349</f>
        <v>-62857885.033285916</v>
      </c>
      <c r="G360" s="34">
        <f t="shared" ref="G360:Z360" ca="1" si="619">+G$349</f>
        <v>-162385036.82123646</v>
      </c>
      <c r="H360" s="34">
        <f t="shared" ca="1" si="619"/>
        <v>-74272759.727640957</v>
      </c>
      <c r="I360" s="34">
        <f t="shared" ca="1" si="619"/>
        <v>0</v>
      </c>
      <c r="J360" s="34">
        <f t="shared" ca="1" si="619"/>
        <v>0</v>
      </c>
      <c r="K360" s="34">
        <f t="shared" ca="1" si="619"/>
        <v>0</v>
      </c>
      <c r="L360" s="34">
        <f t="shared" ca="1" si="619"/>
        <v>0</v>
      </c>
      <c r="M360" s="34">
        <f t="shared" ca="1" si="619"/>
        <v>0</v>
      </c>
      <c r="N360" s="34">
        <f t="shared" ca="1" si="619"/>
        <v>0</v>
      </c>
      <c r="O360" s="34">
        <f t="shared" ca="1" si="619"/>
        <v>0</v>
      </c>
      <c r="P360" s="34">
        <f t="shared" ca="1" si="619"/>
        <v>0</v>
      </c>
      <c r="Q360" s="34">
        <f t="shared" ca="1" si="619"/>
        <v>0</v>
      </c>
      <c r="R360" s="34">
        <f t="shared" ca="1" si="619"/>
        <v>0</v>
      </c>
      <c r="S360" s="34">
        <f t="shared" ca="1" si="619"/>
        <v>0</v>
      </c>
      <c r="T360" s="34">
        <f t="shared" ca="1" si="619"/>
        <v>0</v>
      </c>
      <c r="U360" s="34">
        <f t="shared" ca="1" si="619"/>
        <v>0</v>
      </c>
      <c r="V360" s="34">
        <f t="shared" ca="1" si="619"/>
        <v>0</v>
      </c>
      <c r="W360" s="34">
        <f t="shared" ca="1" si="619"/>
        <v>0</v>
      </c>
      <c r="X360" s="34">
        <f t="shared" ca="1" si="619"/>
        <v>0</v>
      </c>
      <c r="Y360" s="34">
        <f t="shared" ca="1" si="619"/>
        <v>0</v>
      </c>
      <c r="Z360" s="34">
        <f t="shared" ca="1" si="619"/>
        <v>0</v>
      </c>
    </row>
    <row r="361" spans="2:26" ht="15.5">
      <c r="B361" s="33" t="s">
        <v>398</v>
      </c>
      <c r="D361" s="48"/>
      <c r="E361" s="48"/>
      <c r="F361" s="151">
        <v>0</v>
      </c>
      <c r="G361" s="151">
        <v>0</v>
      </c>
      <c r="H361" s="151">
        <v>0</v>
      </c>
      <c r="I361" s="151">
        <v>0</v>
      </c>
      <c r="J361" s="151">
        <v>0</v>
      </c>
      <c r="K361" s="151">
        <v>0</v>
      </c>
      <c r="L361" s="151">
        <v>0</v>
      </c>
      <c r="M361" s="151">
        <v>0</v>
      </c>
      <c r="N361" s="151">
        <v>0</v>
      </c>
      <c r="O361" s="151">
        <v>0</v>
      </c>
      <c r="P361" s="151">
        <v>0</v>
      </c>
      <c r="Q361" s="151">
        <v>0</v>
      </c>
      <c r="R361" s="151">
        <v>0</v>
      </c>
      <c r="S361" s="151">
        <v>0</v>
      </c>
      <c r="T361" s="151">
        <v>0</v>
      </c>
      <c r="U361" s="151">
        <v>0</v>
      </c>
      <c r="V361" s="151">
        <v>0</v>
      </c>
      <c r="W361" s="151">
        <v>0</v>
      </c>
      <c r="X361" s="151">
        <v>0</v>
      </c>
      <c r="Y361" s="151">
        <v>0</v>
      </c>
      <c r="Z361" s="151">
        <v>0</v>
      </c>
    </row>
    <row r="362" spans="2:26" ht="15.5">
      <c r="B362" s="33" t="s">
        <v>399</v>
      </c>
      <c r="D362" s="48"/>
      <c r="E362" s="48"/>
      <c r="F362" s="151">
        <v>0</v>
      </c>
      <c r="G362" s="151">
        <v>0</v>
      </c>
      <c r="H362" s="151">
        <v>0</v>
      </c>
      <c r="I362" s="151">
        <v>0</v>
      </c>
      <c r="J362" s="151">
        <v>0</v>
      </c>
      <c r="K362" s="151">
        <v>0</v>
      </c>
      <c r="L362" s="151">
        <v>0</v>
      </c>
      <c r="M362" s="151">
        <v>0</v>
      </c>
      <c r="N362" s="151">
        <v>0</v>
      </c>
      <c r="O362" s="151">
        <v>0</v>
      </c>
      <c r="P362" s="151">
        <v>0</v>
      </c>
      <c r="Q362" s="151">
        <v>0</v>
      </c>
      <c r="R362" s="151">
        <v>0</v>
      </c>
      <c r="S362" s="151">
        <v>0</v>
      </c>
      <c r="T362" s="151">
        <v>0</v>
      </c>
      <c r="U362" s="151">
        <v>0</v>
      </c>
      <c r="V362" s="151">
        <v>0</v>
      </c>
      <c r="W362" s="151">
        <v>0</v>
      </c>
      <c r="X362" s="151">
        <v>0</v>
      </c>
      <c r="Y362" s="151">
        <v>0</v>
      </c>
      <c r="Z362" s="151">
        <v>0</v>
      </c>
    </row>
    <row r="363" spans="2:26" ht="15.5">
      <c r="B363" s="33" t="s">
        <v>390</v>
      </c>
      <c r="D363" s="48"/>
      <c r="E363" s="48"/>
      <c r="F363" s="151">
        <f ca="1">-SUM(F390:F391)*Assumptions!$M$192</f>
        <v>0</v>
      </c>
      <c r="G363" s="151">
        <f ca="1">-SUM(G390:G391)*Assumptions!$M$192</f>
        <v>0</v>
      </c>
      <c r="H363" s="151">
        <f ca="1">-SUM(H390:H391)*Assumptions!$M$192</f>
        <v>0</v>
      </c>
      <c r="I363" s="151">
        <f ca="1">-SUM(I390:I391)*Assumptions!$M$192</f>
        <v>-3544638.765889118</v>
      </c>
      <c r="J363" s="151">
        <f ca="1">-SUM(J390:J391)*Assumptions!$M$192</f>
        <v>-4725530.2573630167</v>
      </c>
      <c r="K363" s="151">
        <f ca="1">-SUM(K390:K391)*Assumptions!$M$192</f>
        <v>-4774168.6783424933</v>
      </c>
      <c r="L363" s="151">
        <f ca="1">-SUM(L390:L391)*Assumptions!$M$192</f>
        <v>-5339252.2839679653</v>
      </c>
      <c r="M363" s="151">
        <f ca="1">-SUM(M390:M391)*Assumptions!$M$192</f>
        <v>-5377998.0531305782</v>
      </c>
      <c r="N363" s="151">
        <f ca="1">-SUM(N390:N391)*Assumptions!$M$192</f>
        <v>-5429461.0253838366</v>
      </c>
      <c r="O363" s="151">
        <f ca="1">-SUM(O390:O391)*Assumptions!$M$192</f>
        <v>-5481900.3843453145</v>
      </c>
      <c r="P363" s="151">
        <f ca="1">-SUM(P390:P391)*Assumptions!$M$192</f>
        <v>-5523340.4511054605</v>
      </c>
      <c r="Q363" s="151">
        <f>-SUM(Q390:Q391)*Assumptions!$M$192</f>
        <v>0</v>
      </c>
      <c r="R363" s="151">
        <f>-SUM(R390:R391)*Assumptions!$M$192</f>
        <v>0</v>
      </c>
      <c r="S363" s="151">
        <f>-SUM(S390:S391)*Assumptions!$M$192</f>
        <v>0</v>
      </c>
      <c r="T363" s="151">
        <f>-SUM(T390:T391)*Assumptions!$M$192</f>
        <v>0</v>
      </c>
      <c r="U363" s="151">
        <f>-SUM(U390:U391)*Assumptions!$M$192</f>
        <v>0</v>
      </c>
      <c r="V363" s="151">
        <f>-SUM(V390:V391)*Assumptions!$M$192</f>
        <v>0</v>
      </c>
      <c r="W363" s="151">
        <f>-SUM(W390:W391)*Assumptions!$M$192</f>
        <v>0</v>
      </c>
      <c r="X363" s="151">
        <f>-SUM(X390:X391)*Assumptions!$M$192</f>
        <v>0</v>
      </c>
      <c r="Y363" s="151">
        <f>-SUM(Y390:Y391)*Assumptions!$M$192</f>
        <v>0</v>
      </c>
      <c r="Z363" s="151">
        <f>-SUM(Z390:Z391)*Assumptions!$M$192</f>
        <v>0</v>
      </c>
    </row>
    <row r="364" spans="2:26" ht="15.5">
      <c r="B364" s="33" t="s">
        <v>391</v>
      </c>
      <c r="D364" s="48"/>
      <c r="E364" s="48"/>
      <c r="F364" s="151">
        <f ca="1">+IF(YEAR(F$140)&lt;=YEAR(Assumptions!$F$30),F321,0)</f>
        <v>0</v>
      </c>
      <c r="G364" s="151">
        <f ca="1">+IF(YEAR(G$140)&lt;=YEAR(Assumptions!$F$30),G321,0)</f>
        <v>0</v>
      </c>
      <c r="H364" s="151">
        <f ca="1">+IF(YEAR(H$140)&lt;=YEAR(Assumptions!$F$30),H321,0)</f>
        <v>0</v>
      </c>
      <c r="I364" s="151">
        <f ca="1">+IF(YEAR(I$140)&lt;=YEAR(Assumptions!$F$30),I321,0)</f>
        <v>16879232.218519609</v>
      </c>
      <c r="J364" s="151">
        <f ca="1">+IF(YEAR(J$140)&lt;=YEAR(Assumptions!$F$30),J321,0)</f>
        <v>33930859.157725617</v>
      </c>
      <c r="K364" s="151">
        <f ca="1">+IF(YEAR(K$140)&lt;=YEAR(Assumptions!$F$30),K321,0)</f>
        <v>34162470.686199315</v>
      </c>
      <c r="L364" s="151">
        <f ca="1">+IF(YEAR(L$140)&lt;=YEAR(Assumptions!$F$30),L321,0)</f>
        <v>36853344.998701565</v>
      </c>
      <c r="M364" s="151">
        <f ca="1">+IF(YEAR(M$140)&lt;=YEAR(Assumptions!$F$30),M321,0)</f>
        <v>37037848.661380671</v>
      </c>
      <c r="N364" s="151">
        <f ca="1">+IF(YEAR(N$140)&lt;=YEAR(Assumptions!$F$30),N321,0)</f>
        <v>37282910.434015237</v>
      </c>
      <c r="O364" s="151">
        <f ca="1">+IF(YEAR(O$140)&lt;=YEAR(Assumptions!$F$30),O321,0)</f>
        <v>37532621.667165123</v>
      </c>
      <c r="P364" s="151">
        <f ca="1">+IF(YEAR(P$140)&lt;=YEAR(Assumptions!$F$30),P321,0)</f>
        <v>37729955.318403922</v>
      </c>
      <c r="Q364" s="151">
        <f>+IF(YEAR(Q$140)&lt;=YEAR(Assumptions!$F$30),Q321,0)</f>
        <v>0</v>
      </c>
      <c r="R364" s="151">
        <f>+IF(YEAR(R$140)&lt;=YEAR(Assumptions!$F$30),R321,0)</f>
        <v>0</v>
      </c>
      <c r="S364" s="151">
        <f>+IF(YEAR(S$140)&lt;=YEAR(Assumptions!$F$30),S321,0)</f>
        <v>0</v>
      </c>
      <c r="T364" s="151">
        <f>+IF(YEAR(T$140)&lt;=YEAR(Assumptions!$F$30),T321,0)</f>
        <v>0</v>
      </c>
      <c r="U364" s="151">
        <f>+IF(YEAR(U$140)&lt;=YEAR(Assumptions!$F$30),U321,0)</f>
        <v>0</v>
      </c>
      <c r="V364" s="151">
        <f>+IF(YEAR(V$140)&lt;=YEAR(Assumptions!$F$30),V321,0)</f>
        <v>0</v>
      </c>
      <c r="W364" s="151">
        <f>+IF(YEAR(W$140)&lt;=YEAR(Assumptions!$F$30),W321,0)</f>
        <v>0</v>
      </c>
      <c r="X364" s="151">
        <f>+IF(YEAR(X$140)&lt;=YEAR(Assumptions!$F$30),X321,0)</f>
        <v>0</v>
      </c>
      <c r="Y364" s="151">
        <f>+IF(YEAR(Y$140)&lt;=YEAR(Assumptions!$F$30),Y321,0)</f>
        <v>0</v>
      </c>
      <c r="Z364" s="151">
        <f>+IF(YEAR(Z$140)&lt;=YEAR(Assumptions!$F$30),Z321,0)</f>
        <v>0</v>
      </c>
    </row>
    <row r="365" spans="2:26" ht="15.5">
      <c r="B365" s="33" t="s">
        <v>385</v>
      </c>
      <c r="D365" s="48"/>
      <c r="E365" s="48"/>
      <c r="F365" s="151">
        <f>+IF(YEAR(F$140)&lt;=YEAR(Assumptions!$F$30),F326,0)</f>
        <v>0</v>
      </c>
      <c r="G365" s="151">
        <f>+IF(YEAR(G$140)&lt;=YEAR(Assumptions!$F$30),G326,0)</f>
        <v>0</v>
      </c>
      <c r="H365" s="151">
        <f>+IF(YEAR(H$140)&lt;=YEAR(Assumptions!$F$30),H326,0)</f>
        <v>0</v>
      </c>
      <c r="I365" s="151">
        <f>+IF(YEAR(I$140)&lt;=YEAR(Assumptions!$F$30),I326,0)</f>
        <v>0</v>
      </c>
      <c r="J365" s="151">
        <f>+IF(YEAR(J$140)&lt;=YEAR(Assumptions!$F$30),J326,0)</f>
        <v>0</v>
      </c>
      <c r="K365" s="151">
        <f>+IF(YEAR(K$140)&lt;=YEAR(Assumptions!$F$30),K326,0)</f>
        <v>0</v>
      </c>
      <c r="L365" s="151">
        <f>+IF(YEAR(L$140)&lt;=YEAR(Assumptions!$F$30),L326,0)</f>
        <v>0</v>
      </c>
      <c r="M365" s="151">
        <f>+IF(YEAR(M$140)&lt;=YEAR(Assumptions!$F$30),M326,0)</f>
        <v>0</v>
      </c>
      <c r="N365" s="151">
        <f>+IF(YEAR(N$140)&lt;=YEAR(Assumptions!$F$30),N326,0)</f>
        <v>0</v>
      </c>
      <c r="O365" s="151">
        <f>+IF(YEAR(O$140)&lt;=YEAR(Assumptions!$F$30),O326,0)</f>
        <v>0</v>
      </c>
      <c r="P365" s="151">
        <f ca="1">+IF(YEAR(P$140)&lt;=YEAR(Assumptions!$F$30),P326,0)</f>
        <v>574176248.68193352</v>
      </c>
      <c r="Q365" s="151">
        <f>+IF(YEAR(Q$140)&lt;=YEAR(Assumptions!$F$30),Q326,0)</f>
        <v>0</v>
      </c>
      <c r="R365" s="151">
        <f>+IF(YEAR(R$140)&lt;=YEAR(Assumptions!$F$30),R326,0)</f>
        <v>0</v>
      </c>
      <c r="S365" s="151">
        <f>+IF(YEAR(S$140)&lt;=YEAR(Assumptions!$F$30),S326,0)</f>
        <v>0</v>
      </c>
      <c r="T365" s="151">
        <f>+IF(YEAR(T$140)&lt;=YEAR(Assumptions!$F$30),T326,0)</f>
        <v>0</v>
      </c>
      <c r="U365" s="151">
        <f>+IF(YEAR(U$140)&lt;=YEAR(Assumptions!$F$30),U326,0)</f>
        <v>0</v>
      </c>
      <c r="V365" s="151">
        <f>+IF(YEAR(V$140)&lt;=YEAR(Assumptions!$F$30),V326,0)</f>
        <v>0</v>
      </c>
      <c r="W365" s="151">
        <f>+IF(YEAR(W$140)&lt;=YEAR(Assumptions!$F$30),W326,0)</f>
        <v>0</v>
      </c>
      <c r="X365" s="151">
        <f>+IF(YEAR(X$140)&lt;=YEAR(Assumptions!$F$30),X326,0)</f>
        <v>0</v>
      </c>
      <c r="Y365" s="151">
        <f>+IF(YEAR(Y$140)&lt;=YEAR(Assumptions!$F$30),Y326,0)</f>
        <v>0</v>
      </c>
      <c r="Z365" s="151">
        <f>+IF(YEAR(Z$140)&lt;=YEAR(Assumptions!$F$30),Z326,0)</f>
        <v>0</v>
      </c>
    </row>
    <row r="366" spans="2:26" ht="15.5">
      <c r="B366" s="33" t="s">
        <v>397</v>
      </c>
      <c r="D366" s="48"/>
      <c r="E366" s="48"/>
      <c r="F366" s="151">
        <f>-F394*Assumptions!$M$192</f>
        <v>0</v>
      </c>
      <c r="G366" s="151">
        <f>-G394*Assumptions!$M$192</f>
        <v>0</v>
      </c>
      <c r="H366" s="151">
        <f>-H394*Assumptions!$M$192</f>
        <v>0</v>
      </c>
      <c r="I366" s="151">
        <f>-I394*Assumptions!$M$192</f>
        <v>0</v>
      </c>
      <c r="J366" s="151">
        <f>-J394*Assumptions!$M$192</f>
        <v>0</v>
      </c>
      <c r="K366" s="151">
        <f>-K394*Assumptions!$M$192</f>
        <v>0</v>
      </c>
      <c r="L366" s="151">
        <f>-L394*Assumptions!$M$192</f>
        <v>0</v>
      </c>
      <c r="M366" s="151">
        <f>-M394*Assumptions!$M$192</f>
        <v>0</v>
      </c>
      <c r="N366" s="151">
        <f>-N394*Assumptions!$M$192</f>
        <v>0</v>
      </c>
      <c r="O366" s="151">
        <f>-O394*Assumptions!$M$192</f>
        <v>0</v>
      </c>
      <c r="P366" s="151">
        <f ca="1">-P394*Assumptions!$M$192</f>
        <v>-74478370.251267269</v>
      </c>
      <c r="Q366" s="151">
        <f>-Q394*Assumptions!$M$192</f>
        <v>0</v>
      </c>
      <c r="R366" s="151">
        <f>-R394*Assumptions!$M$192</f>
        <v>0</v>
      </c>
      <c r="S366" s="151">
        <f>-S394*Assumptions!$M$192</f>
        <v>0</v>
      </c>
      <c r="T366" s="151">
        <f>-T394*Assumptions!$M$192</f>
        <v>0</v>
      </c>
      <c r="U366" s="151">
        <f>-U394*Assumptions!$M$192</f>
        <v>0</v>
      </c>
      <c r="V366" s="151">
        <f>-V394*Assumptions!$M$192</f>
        <v>0</v>
      </c>
      <c r="W366" s="151">
        <f>-W394*Assumptions!$M$192</f>
        <v>0</v>
      </c>
      <c r="X366" s="151">
        <f>-X394*Assumptions!$M$192</f>
        <v>0</v>
      </c>
      <c r="Y366" s="151">
        <f>-Y394*Assumptions!$M$192</f>
        <v>0</v>
      </c>
      <c r="Z366" s="151">
        <f>-Z394*Assumptions!$M$192</f>
        <v>0</v>
      </c>
    </row>
    <row r="367" spans="2:26" ht="15.5">
      <c r="B367" s="138" t="s">
        <v>389</v>
      </c>
      <c r="C367" s="138"/>
      <c r="D367" s="139">
        <f t="shared" ref="D367" ca="1" si="620">+SUM(F367:Z367)</f>
        <v>431395150.09108627</v>
      </c>
      <c r="E367" s="139"/>
      <c r="F367" s="139">
        <f t="shared" ref="F367:Z367" ca="1" si="621">+SUM(F360:F366)</f>
        <v>-62857885.033285916</v>
      </c>
      <c r="G367" s="139">
        <f t="shared" ca="1" si="621"/>
        <v>-162385036.82123646</v>
      </c>
      <c r="H367" s="139">
        <f t="shared" ca="1" si="621"/>
        <v>-74272759.727640957</v>
      </c>
      <c r="I367" s="139">
        <f t="shared" ca="1" si="621"/>
        <v>13334593.452630492</v>
      </c>
      <c r="J367" s="139">
        <f t="shared" ca="1" si="621"/>
        <v>29205328.9003626</v>
      </c>
      <c r="K367" s="139">
        <f t="shared" ca="1" si="621"/>
        <v>29388302.007856824</v>
      </c>
      <c r="L367" s="139">
        <f t="shared" ca="1" si="621"/>
        <v>31514092.714733601</v>
      </c>
      <c r="M367" s="139">
        <f t="shared" ca="1" si="621"/>
        <v>31659850.608250093</v>
      </c>
      <c r="N367" s="139">
        <f t="shared" ca="1" si="621"/>
        <v>31853449.408631399</v>
      </c>
      <c r="O367" s="139">
        <f t="shared" ca="1" si="621"/>
        <v>32050721.282819808</v>
      </c>
      <c r="P367" s="139">
        <f t="shared" ca="1" si="621"/>
        <v>531904493.29796475</v>
      </c>
      <c r="Q367" s="139">
        <f t="shared" ca="1" si="621"/>
        <v>0</v>
      </c>
      <c r="R367" s="139">
        <f t="shared" ca="1" si="621"/>
        <v>0</v>
      </c>
      <c r="S367" s="139">
        <f t="shared" ca="1" si="621"/>
        <v>0</v>
      </c>
      <c r="T367" s="139">
        <f t="shared" ca="1" si="621"/>
        <v>0</v>
      </c>
      <c r="U367" s="139">
        <f t="shared" ca="1" si="621"/>
        <v>0</v>
      </c>
      <c r="V367" s="139">
        <f t="shared" ca="1" si="621"/>
        <v>0</v>
      </c>
      <c r="W367" s="139">
        <f t="shared" ca="1" si="621"/>
        <v>0</v>
      </c>
      <c r="X367" s="139">
        <f t="shared" ca="1" si="621"/>
        <v>0</v>
      </c>
      <c r="Y367" s="139">
        <f t="shared" ca="1" si="621"/>
        <v>0</v>
      </c>
      <c r="Z367" s="139">
        <f t="shared" ca="1" si="621"/>
        <v>0</v>
      </c>
    </row>
    <row r="368" spans="2:26" ht="15.5">
      <c r="B368" s="119"/>
    </row>
    <row r="369" spans="2:26" ht="15.5">
      <c r="B369" s="226" t="s">
        <v>402</v>
      </c>
      <c r="C369" s="226"/>
      <c r="D369" s="227">
        <f ca="1">+IRR(F367:Z367)</f>
        <v>0.12202157632605748</v>
      </c>
    </row>
    <row r="370" spans="2:26" ht="15.5">
      <c r="B370" s="119"/>
      <c r="D370" s="108"/>
    </row>
    <row r="371" spans="2:26" ht="15.5">
      <c r="B371" s="148" t="s">
        <v>388</v>
      </c>
      <c r="F371" s="148">
        <f>+F359</f>
        <v>0</v>
      </c>
      <c r="G371" s="148">
        <f t="shared" ref="G371:Z371" si="622">+G359</f>
        <v>1</v>
      </c>
      <c r="H371" s="148">
        <f t="shared" si="622"/>
        <v>2</v>
      </c>
      <c r="I371" s="148">
        <f t="shared" si="622"/>
        <v>3</v>
      </c>
      <c r="J371" s="148">
        <f t="shared" si="622"/>
        <v>4</v>
      </c>
      <c r="K371" s="148">
        <f t="shared" si="622"/>
        <v>5</v>
      </c>
      <c r="L371" s="148">
        <f t="shared" si="622"/>
        <v>6</v>
      </c>
      <c r="M371" s="148">
        <f t="shared" si="622"/>
        <v>7</v>
      </c>
      <c r="N371" s="148">
        <f t="shared" si="622"/>
        <v>8</v>
      </c>
      <c r="O371" s="148">
        <f t="shared" si="622"/>
        <v>9</v>
      </c>
      <c r="P371" s="148">
        <f t="shared" si="622"/>
        <v>10</v>
      </c>
      <c r="Q371" s="148">
        <f t="shared" si="622"/>
        <v>11</v>
      </c>
      <c r="R371" s="148">
        <f t="shared" si="622"/>
        <v>12</v>
      </c>
      <c r="S371" s="148">
        <f t="shared" si="622"/>
        <v>13</v>
      </c>
      <c r="T371" s="148">
        <f t="shared" si="622"/>
        <v>14</v>
      </c>
      <c r="U371" s="148">
        <f t="shared" si="622"/>
        <v>15</v>
      </c>
      <c r="V371" s="148">
        <f t="shared" si="622"/>
        <v>16</v>
      </c>
      <c r="W371" s="148">
        <f t="shared" si="622"/>
        <v>17</v>
      </c>
      <c r="X371" s="148">
        <f t="shared" si="622"/>
        <v>18</v>
      </c>
      <c r="Y371" s="148">
        <f t="shared" si="622"/>
        <v>19</v>
      </c>
      <c r="Z371" s="148">
        <f t="shared" si="622"/>
        <v>20</v>
      </c>
    </row>
    <row r="372" spans="2:26" ht="15.5">
      <c r="B372" s="33" t="s">
        <v>380</v>
      </c>
      <c r="D372" s="48"/>
      <c r="E372" s="48"/>
      <c r="F372" s="34">
        <f ca="1">+F360</f>
        <v>-62857885.033285916</v>
      </c>
      <c r="G372" s="34">
        <f t="shared" ref="G372:Z372" ca="1" si="623">+G360</f>
        <v>-162385036.82123646</v>
      </c>
      <c r="H372" s="34">
        <f t="shared" ca="1" si="623"/>
        <v>-74272759.727640957</v>
      </c>
      <c r="I372" s="34">
        <f t="shared" ca="1" si="623"/>
        <v>0</v>
      </c>
      <c r="J372" s="34">
        <f t="shared" ca="1" si="623"/>
        <v>0</v>
      </c>
      <c r="K372" s="34">
        <f t="shared" ca="1" si="623"/>
        <v>0</v>
      </c>
      <c r="L372" s="34">
        <f t="shared" ca="1" si="623"/>
        <v>0</v>
      </c>
      <c r="M372" s="34">
        <f t="shared" ca="1" si="623"/>
        <v>0</v>
      </c>
      <c r="N372" s="34">
        <f t="shared" ca="1" si="623"/>
        <v>0</v>
      </c>
      <c r="O372" s="34">
        <f t="shared" ca="1" si="623"/>
        <v>0</v>
      </c>
      <c r="P372" s="34">
        <f t="shared" ca="1" si="623"/>
        <v>0</v>
      </c>
      <c r="Q372" s="34">
        <f t="shared" ca="1" si="623"/>
        <v>0</v>
      </c>
      <c r="R372" s="34">
        <f t="shared" ca="1" si="623"/>
        <v>0</v>
      </c>
      <c r="S372" s="34">
        <f t="shared" ca="1" si="623"/>
        <v>0</v>
      </c>
      <c r="T372" s="34">
        <f t="shared" ca="1" si="623"/>
        <v>0</v>
      </c>
      <c r="U372" s="34">
        <f t="shared" ca="1" si="623"/>
        <v>0</v>
      </c>
      <c r="V372" s="34">
        <f t="shared" ca="1" si="623"/>
        <v>0</v>
      </c>
      <c r="W372" s="34">
        <f t="shared" ca="1" si="623"/>
        <v>0</v>
      </c>
      <c r="X372" s="34">
        <f t="shared" ca="1" si="623"/>
        <v>0</v>
      </c>
      <c r="Y372" s="34">
        <f t="shared" ca="1" si="623"/>
        <v>0</v>
      </c>
      <c r="Z372" s="34">
        <f t="shared" ca="1" si="623"/>
        <v>0</v>
      </c>
    </row>
    <row r="373" spans="2:26" ht="15.5">
      <c r="B373" s="33" t="s">
        <v>398</v>
      </c>
      <c r="D373" s="48"/>
      <c r="E373" s="48"/>
      <c r="F373" s="151">
        <f ca="1">-F372*Assumptions!$M$192</f>
        <v>13200155.856990041</v>
      </c>
      <c r="G373" s="151">
        <f ca="1">-G372*Assumptions!$M$192</f>
        <v>34100857.732459657</v>
      </c>
      <c r="H373" s="151">
        <f ca="1">-H372*Assumptions!$M$192</f>
        <v>15597279.542804601</v>
      </c>
      <c r="I373" s="151">
        <f ca="1">-I372*Assumptions!$M$192</f>
        <v>0</v>
      </c>
      <c r="J373" s="151">
        <f ca="1">-J372*Assumptions!$M$192</f>
        <v>0</v>
      </c>
      <c r="K373" s="151">
        <f ca="1">-K372*Assumptions!$M$192</f>
        <v>0</v>
      </c>
      <c r="L373" s="151">
        <f ca="1">-L372*Assumptions!$M$192</f>
        <v>0</v>
      </c>
      <c r="M373" s="151">
        <f ca="1">-M372*Assumptions!$M$192</f>
        <v>0</v>
      </c>
      <c r="N373" s="151">
        <f ca="1">-N372*Assumptions!$M$192</f>
        <v>0</v>
      </c>
      <c r="O373" s="151">
        <f ca="1">-O372*Assumptions!$M$192</f>
        <v>0</v>
      </c>
      <c r="P373" s="151">
        <f ca="1">-P372*Assumptions!$M$192</f>
        <v>0</v>
      </c>
      <c r="Q373" s="151">
        <f ca="1">-Q372*Assumptions!$M$192</f>
        <v>0</v>
      </c>
      <c r="R373" s="151">
        <f ca="1">-R372*Assumptions!$M$192</f>
        <v>0</v>
      </c>
      <c r="S373" s="151">
        <f ca="1">-S372*Assumptions!$M$192</f>
        <v>0</v>
      </c>
      <c r="T373" s="151">
        <f ca="1">-T372*Assumptions!$M$192</f>
        <v>0</v>
      </c>
      <c r="U373" s="151">
        <f ca="1">-U372*Assumptions!$M$192</f>
        <v>0</v>
      </c>
      <c r="V373" s="151">
        <f ca="1">-V372*Assumptions!$M$192</f>
        <v>0</v>
      </c>
      <c r="W373" s="151">
        <f ca="1">-W372*Assumptions!$M$192</f>
        <v>0</v>
      </c>
      <c r="X373" s="151">
        <f ca="1">-X372*Assumptions!$M$192</f>
        <v>0</v>
      </c>
      <c r="Y373" s="151">
        <f ca="1">-Y372*Assumptions!$M$192</f>
        <v>0</v>
      </c>
      <c r="Z373" s="151">
        <f ca="1">-Z372*Assumptions!$M$192</f>
        <v>0</v>
      </c>
    </row>
    <row r="374" spans="2:26" ht="15.5">
      <c r="B374" s="33" t="s">
        <v>399</v>
      </c>
      <c r="D374" s="48"/>
      <c r="E374" s="48"/>
      <c r="F374" s="151">
        <f ca="1">IFERROR(-IF(YEAR(F357)&lt;MIN(YEAR(Assumptions!$F$30),2026),(OFFSET('Phase I Pro Forma'!F373,0,-10)),IF(YEAR(F357)=MIN(YEAR(Assumptions!$F$30),2026),SUM('Phase I Pro Forma'!$E$373:F$373)-SUM('Phase I Pro Forma'!$E$374:E$374),0)),0)</f>
        <v>0</v>
      </c>
      <c r="G374" s="151">
        <f ca="1">IFERROR(-IF(YEAR(G357)&lt;MIN(YEAR(Assumptions!$F$30),2026),(OFFSET('Phase I Pro Forma'!G373,0,-10)),IF(YEAR(G357)=MIN(YEAR(Assumptions!$F$30),2026),SUM('Phase I Pro Forma'!$E$373:G$373)-SUM('Phase I Pro Forma'!$E$374:F$374),0)),0)</f>
        <v>0</v>
      </c>
      <c r="H374" s="151">
        <f ca="1">IFERROR(-IF(YEAR(H357)&lt;MIN(YEAR(Assumptions!$F$30),2026),(OFFSET('Phase I Pro Forma'!H373,0,-10)),IF(YEAR(H357)=MIN(YEAR(Assumptions!$F$30),2026),SUM('Phase I Pro Forma'!$E$373:H$373)-SUM('Phase I Pro Forma'!$E$374:G$374),0)),0)</f>
        <v>0</v>
      </c>
      <c r="I374" s="151">
        <f ca="1">IFERROR(-IF(YEAR(I357)&lt;MIN(YEAR(Assumptions!$F$30),2026),(OFFSET('Phase I Pro Forma'!I373,0,-10)),IF(YEAR(I357)=MIN(YEAR(Assumptions!$F$30),2026),SUM('Phase I Pro Forma'!$E$373:I$373)-SUM('Phase I Pro Forma'!$E$374:H$374),0)),0)</f>
        <v>0</v>
      </c>
      <c r="J374" s="151">
        <f ca="1">IFERROR(-IF(YEAR(J357)&lt;MIN(YEAR(Assumptions!$F$30),2026),(OFFSET('Phase I Pro Forma'!J373,0,-10)),IF(YEAR(J357)=MIN(YEAR(Assumptions!$F$30),2026),SUM('Phase I Pro Forma'!$E$373:J$373)-SUM('Phase I Pro Forma'!$E$374:I$374),0)),0)</f>
        <v>0</v>
      </c>
      <c r="K374" s="151">
        <f ca="1">IFERROR(-IF(YEAR(K357)&lt;MIN(YEAR(Assumptions!$F$30),2026),(OFFSET('Phase I Pro Forma'!K373,0,-10)),IF(YEAR(K357)=MIN(YEAR(Assumptions!$F$30),2026),SUM('Phase I Pro Forma'!$E$373:K$373)-SUM('Phase I Pro Forma'!$E$374:J$374),0)),0)</f>
        <v>-62898293.132254295</v>
      </c>
      <c r="L374" s="151">
        <f ca="1">IFERROR(-IF(YEAR(L357)&lt;MIN(YEAR(Assumptions!$F$30),2026),(OFFSET('Phase I Pro Forma'!L373,0,-10)),IF(YEAR(L357)=MIN(YEAR(Assumptions!$F$30),2026),SUM('Phase I Pro Forma'!$E$373:L$373)-SUM('Phase I Pro Forma'!$E$374:K$374),0)),0)</f>
        <v>0</v>
      </c>
      <c r="M374" s="151">
        <f ca="1">IFERROR(-IF(YEAR(M357)&lt;MIN(YEAR(Assumptions!$F$30),2026),(OFFSET('Phase I Pro Forma'!M373,0,-10)),IF(YEAR(M357)=MIN(YEAR(Assumptions!$F$30),2026),SUM('Phase I Pro Forma'!$E$373:M$373)-SUM('Phase I Pro Forma'!$E$374:L$374),0)),0)</f>
        <v>0</v>
      </c>
      <c r="N374" s="151">
        <f ca="1">IFERROR(-IF(YEAR(N357)&lt;MIN(YEAR(Assumptions!$F$30),2026),(OFFSET('Phase I Pro Forma'!N373,0,-10)),IF(YEAR(N357)=MIN(YEAR(Assumptions!$F$30),2026),SUM('Phase I Pro Forma'!$E$373:N$373)-SUM('Phase I Pro Forma'!$E$374:M$374),0)),0)</f>
        <v>0</v>
      </c>
      <c r="O374" s="151">
        <f ca="1">IFERROR(-IF(YEAR(O357)&lt;MIN(YEAR(Assumptions!$F$30),2026),(OFFSET('Phase I Pro Forma'!O373,0,-10)),IF(YEAR(O357)=MIN(YEAR(Assumptions!$F$30),2026),SUM('Phase I Pro Forma'!$E$373:O$373)-SUM('Phase I Pro Forma'!$E$374:N$374),0)),0)</f>
        <v>0</v>
      </c>
      <c r="P374" s="151">
        <f ca="1">IFERROR(-IF(YEAR(P357)&lt;MIN(YEAR(Assumptions!$F$30),2026),(OFFSET('Phase I Pro Forma'!P373,0,-10)),IF(YEAR(P357)=MIN(YEAR(Assumptions!$F$30),2026),SUM('Phase I Pro Forma'!$E$373:P$373)-SUM('Phase I Pro Forma'!$E$374:O$374),0)),0)</f>
        <v>0</v>
      </c>
      <c r="Q374" s="151">
        <f ca="1">IFERROR(-IF(YEAR(Q357)&lt;MIN(YEAR(Assumptions!$F$30),2026),(OFFSET('Phase I Pro Forma'!Q373,0,-10)),IF(YEAR(Q357)=MIN(YEAR(Assumptions!$F$30),2026),SUM('Phase I Pro Forma'!$E$373:Q$373)-SUM('Phase I Pro Forma'!$E$374:P$374),0)),0)</f>
        <v>0</v>
      </c>
      <c r="R374" s="151">
        <f ca="1">IFERROR(-IF(YEAR(R357)&lt;MIN(YEAR(Assumptions!$F$30),2026),(OFFSET('Phase I Pro Forma'!R373,0,-10)),IF(YEAR(R357)=MIN(YEAR(Assumptions!$F$30),2026),SUM('Phase I Pro Forma'!$E$373:R$373)-SUM('Phase I Pro Forma'!$E$374:Q$374),0)),0)</f>
        <v>0</v>
      </c>
      <c r="S374" s="151">
        <f ca="1">IFERROR(-IF(YEAR(S357)&lt;MIN(YEAR(Assumptions!$F$30),2026),(OFFSET('Phase I Pro Forma'!S373,0,-10)),IF(YEAR(S357)=MIN(YEAR(Assumptions!$F$30),2026),SUM('Phase I Pro Forma'!$E$373:S$373)-SUM('Phase I Pro Forma'!$E$374:R$374),0)),0)</f>
        <v>0</v>
      </c>
      <c r="T374" s="151">
        <f ca="1">IFERROR(-IF(YEAR(T357)&lt;MIN(YEAR(Assumptions!$F$30),2026),(OFFSET('Phase I Pro Forma'!T373,0,-10)),IF(YEAR(T357)=MIN(YEAR(Assumptions!$F$30),2026),SUM('Phase I Pro Forma'!$E$373:T$373)-SUM('Phase I Pro Forma'!$E$374:S$374),0)),0)</f>
        <v>0</v>
      </c>
      <c r="U374" s="151">
        <f ca="1">IFERROR(-IF(YEAR(U357)&lt;MIN(YEAR(Assumptions!$F$30),2026),(OFFSET('Phase I Pro Forma'!U373,0,-10)),IF(YEAR(U357)=MIN(YEAR(Assumptions!$F$30),2026),SUM('Phase I Pro Forma'!$E$373:U$373)-SUM('Phase I Pro Forma'!$E$374:T$374),0)),0)</f>
        <v>0</v>
      </c>
      <c r="V374" s="151">
        <f ca="1">IFERROR(-IF(YEAR(V357)&lt;MIN(YEAR(Assumptions!$F$30),2026),(OFFSET('Phase I Pro Forma'!V373,0,-10)),IF(YEAR(V357)=MIN(YEAR(Assumptions!$F$30),2026),SUM('Phase I Pro Forma'!$E$373:V$373)-SUM('Phase I Pro Forma'!$E$374:U$374),0)),0)</f>
        <v>0</v>
      </c>
      <c r="W374" s="151">
        <f ca="1">IFERROR(-IF(YEAR(W357)&lt;MIN(YEAR(Assumptions!$F$30),2026),(OFFSET('Phase I Pro Forma'!W373,0,-10)),IF(YEAR(W357)=MIN(YEAR(Assumptions!$F$30),2026),SUM('Phase I Pro Forma'!$E$373:W$373)-SUM('Phase I Pro Forma'!$E$374:V$374),0)),0)</f>
        <v>0</v>
      </c>
      <c r="X374" s="151">
        <f ca="1">IFERROR(-IF(YEAR(X357)&lt;MIN(YEAR(Assumptions!$F$30),2026),(OFFSET('Phase I Pro Forma'!X373,0,-10)),IF(YEAR(X357)=MIN(YEAR(Assumptions!$F$30),2026),SUM('Phase I Pro Forma'!$E$373:X$373)-SUM('Phase I Pro Forma'!$E$374:W$374),0)),0)</f>
        <v>0</v>
      </c>
      <c r="Y374" s="151">
        <f ca="1">IFERROR(-IF(YEAR(Y357)&lt;MIN(YEAR(Assumptions!$F$30),2026),(OFFSET('Phase I Pro Forma'!Y373,0,-10)),IF(YEAR(Y357)=MIN(YEAR(Assumptions!$F$30),2026),SUM('Phase I Pro Forma'!$E$373:Y$373)-SUM('Phase I Pro Forma'!$E$374:X$374),0)),0)</f>
        <v>0</v>
      </c>
      <c r="Z374" s="151">
        <f ca="1">IFERROR(-IF(YEAR(Z357)&lt;MIN(YEAR(Assumptions!$F$30),2026),(OFFSET('Phase I Pro Forma'!Z373,0,-10)),IF(YEAR(Z357)=MIN(YEAR(Assumptions!$F$30),2026),SUM('Phase I Pro Forma'!$E$373:Z$373)-SUM('Phase I Pro Forma'!$E$374:Y$374),0)),0)</f>
        <v>0</v>
      </c>
    </row>
    <row r="375" spans="2:26" ht="15.5">
      <c r="B375" s="33" t="s">
        <v>400</v>
      </c>
      <c r="D375" s="48"/>
      <c r="E375" s="48"/>
      <c r="F375" s="151">
        <f>+IF(YEAR(F357)=MIN(YEAR(Assumptions!$F$30),2026),SUM('Phase I Pro Forma'!$F$385:$Z$385),0)</f>
        <v>0</v>
      </c>
      <c r="G375" s="151">
        <f>+IF(YEAR(G357)=MIN(YEAR(Assumptions!$F$30),2026),SUM('Phase I Pro Forma'!$F$385:$Z$385),0)</f>
        <v>0</v>
      </c>
      <c r="H375" s="151">
        <f>+IF(YEAR(H357)=MIN(YEAR(Assumptions!$F$30),2026),SUM('Phase I Pro Forma'!$F$385:$Z$385),0)</f>
        <v>0</v>
      </c>
      <c r="I375" s="151">
        <f>+IF(YEAR(I357)=MIN(YEAR(Assumptions!$F$30),2026),SUM('Phase I Pro Forma'!$F$385:$Z$385),0)</f>
        <v>0</v>
      </c>
      <c r="J375" s="151">
        <f>+IF(YEAR(J357)=MIN(YEAR(Assumptions!$F$30),2026),SUM('Phase I Pro Forma'!$F$385:$Z$385),0)</f>
        <v>0</v>
      </c>
      <c r="K375" s="151">
        <f ca="1">+IF(YEAR(K357)=MIN(YEAR(Assumptions!$F$30),2026),SUM('Phase I Pro Forma'!$F$385:$Z$385),0)</f>
        <v>9434743.969838148</v>
      </c>
      <c r="L375" s="151">
        <f>+IF(YEAR(L357)=MIN(YEAR(Assumptions!$F$30),2026),SUM('Phase I Pro Forma'!$F$385:$Z$385),0)</f>
        <v>0</v>
      </c>
      <c r="M375" s="151">
        <f>+IF(YEAR(M357)=MIN(YEAR(Assumptions!$F$30),2026),SUM('Phase I Pro Forma'!$F$385:$Z$385),0)</f>
        <v>0</v>
      </c>
      <c r="N375" s="151">
        <f>+IF(YEAR(N357)=MIN(YEAR(Assumptions!$F$30),2026),SUM('Phase I Pro Forma'!$F$385:$Z$385),0)</f>
        <v>0</v>
      </c>
      <c r="O375" s="151">
        <f>+IF(YEAR(O357)=MIN(YEAR(Assumptions!$F$30),2026),SUM('Phase I Pro Forma'!$F$385:$Z$385),0)</f>
        <v>0</v>
      </c>
      <c r="P375" s="151">
        <f>+IF(YEAR(P357)=MIN(YEAR(Assumptions!$F$30),2026),SUM('Phase I Pro Forma'!$F$385:$Z$385),0)</f>
        <v>0</v>
      </c>
      <c r="Q375" s="151">
        <f>+IF(YEAR(Q357)=MIN(YEAR(Assumptions!$F$30),2026),SUM('Phase I Pro Forma'!$F$385:$Z$385),0)</f>
        <v>0</v>
      </c>
      <c r="R375" s="151">
        <f>+IF(YEAR(R357)=MIN(YEAR(Assumptions!$F$30),2026),SUM('Phase I Pro Forma'!$F$385:$Z$385),0)</f>
        <v>0</v>
      </c>
      <c r="S375" s="151">
        <f>+IF(YEAR(S357)=MIN(YEAR(Assumptions!$F$30),2026),SUM('Phase I Pro Forma'!$F$385:$Z$385),0)</f>
        <v>0</v>
      </c>
      <c r="T375" s="151">
        <f>+IF(YEAR(T357)=MIN(YEAR(Assumptions!$F$30),2026),SUM('Phase I Pro Forma'!$F$385:$Z$385),0)</f>
        <v>0</v>
      </c>
      <c r="U375" s="151">
        <f>+IF(YEAR(U357)=MIN(YEAR(Assumptions!$F$30),2026),SUM('Phase I Pro Forma'!$F$385:$Z$385),0)</f>
        <v>0</v>
      </c>
      <c r="V375" s="151">
        <f>+IF(YEAR(V357)=MIN(YEAR(Assumptions!$F$30),2026),SUM('Phase I Pro Forma'!$F$385:$Z$385),0)</f>
        <v>0</v>
      </c>
      <c r="W375" s="151">
        <f>+IF(YEAR(W357)=MIN(YEAR(Assumptions!$F$30),2026),SUM('Phase I Pro Forma'!$F$385:$Z$385),0)</f>
        <v>0</v>
      </c>
      <c r="X375" s="151">
        <f>+IF(YEAR(X357)=MIN(YEAR(Assumptions!$F$30),2026),SUM('Phase I Pro Forma'!$F$385:$Z$385),0)</f>
        <v>0</v>
      </c>
      <c r="Y375" s="151">
        <f>+IF(YEAR(Y357)=MIN(YEAR(Assumptions!$F$30),2026),SUM('Phase I Pro Forma'!$F$385:$Z$385),0)</f>
        <v>0</v>
      </c>
      <c r="Z375" s="151">
        <f>+IF(YEAR(Z357)=MIN(YEAR(Assumptions!$F$30),2026),SUM('Phase I Pro Forma'!$F$385:$Z$385),0)</f>
        <v>0</v>
      </c>
    </row>
    <row r="376" spans="2:26" ht="15.5">
      <c r="B376" s="33" t="s">
        <v>390</v>
      </c>
      <c r="D376" s="48"/>
      <c r="E376" s="48"/>
      <c r="F376" s="151">
        <f ca="1">+F363</f>
        <v>0</v>
      </c>
      <c r="G376" s="151">
        <f t="shared" ref="G376:Z376" ca="1" si="624">+G363</f>
        <v>0</v>
      </c>
      <c r="H376" s="151">
        <f t="shared" ca="1" si="624"/>
        <v>0</v>
      </c>
      <c r="I376" s="151">
        <f t="shared" ca="1" si="624"/>
        <v>-3544638.765889118</v>
      </c>
      <c r="J376" s="151">
        <f t="shared" ca="1" si="624"/>
        <v>-4725530.2573630167</v>
      </c>
      <c r="K376" s="151">
        <f t="shared" ca="1" si="624"/>
        <v>-4774168.6783424933</v>
      </c>
      <c r="L376" s="151">
        <f t="shared" ca="1" si="624"/>
        <v>-5339252.2839679653</v>
      </c>
      <c r="M376" s="151">
        <f t="shared" ca="1" si="624"/>
        <v>-5377998.0531305782</v>
      </c>
      <c r="N376" s="151">
        <f t="shared" ca="1" si="624"/>
        <v>-5429461.0253838366</v>
      </c>
      <c r="O376" s="151">
        <f t="shared" ca="1" si="624"/>
        <v>-5481900.3843453145</v>
      </c>
      <c r="P376" s="151">
        <f t="shared" ca="1" si="624"/>
        <v>-5523340.4511054605</v>
      </c>
      <c r="Q376" s="151">
        <f t="shared" si="624"/>
        <v>0</v>
      </c>
      <c r="R376" s="151">
        <f t="shared" si="624"/>
        <v>0</v>
      </c>
      <c r="S376" s="151">
        <f t="shared" si="624"/>
        <v>0</v>
      </c>
      <c r="T376" s="151">
        <f t="shared" si="624"/>
        <v>0</v>
      </c>
      <c r="U376" s="151">
        <f t="shared" si="624"/>
        <v>0</v>
      </c>
      <c r="V376" s="151">
        <f t="shared" si="624"/>
        <v>0</v>
      </c>
      <c r="W376" s="151">
        <f t="shared" si="624"/>
        <v>0</v>
      </c>
      <c r="X376" s="151">
        <f t="shared" si="624"/>
        <v>0</v>
      </c>
      <c r="Y376" s="151">
        <f t="shared" si="624"/>
        <v>0</v>
      </c>
      <c r="Z376" s="151">
        <f t="shared" si="624"/>
        <v>0</v>
      </c>
    </row>
    <row r="377" spans="2:26" ht="15.5">
      <c r="B377" s="33" t="s">
        <v>391</v>
      </c>
      <c r="D377" s="48"/>
      <c r="E377" s="48"/>
      <c r="F377" s="151">
        <f ca="1">+F364</f>
        <v>0</v>
      </c>
      <c r="G377" s="151">
        <f t="shared" ref="G377:Z377" ca="1" si="625">+G364</f>
        <v>0</v>
      </c>
      <c r="H377" s="151">
        <f t="shared" ca="1" si="625"/>
        <v>0</v>
      </c>
      <c r="I377" s="151">
        <f t="shared" ca="1" si="625"/>
        <v>16879232.218519609</v>
      </c>
      <c r="J377" s="151">
        <f t="shared" ca="1" si="625"/>
        <v>33930859.157725617</v>
      </c>
      <c r="K377" s="151">
        <f t="shared" ca="1" si="625"/>
        <v>34162470.686199315</v>
      </c>
      <c r="L377" s="151">
        <f t="shared" ca="1" si="625"/>
        <v>36853344.998701565</v>
      </c>
      <c r="M377" s="151">
        <f t="shared" ca="1" si="625"/>
        <v>37037848.661380671</v>
      </c>
      <c r="N377" s="151">
        <f t="shared" ca="1" si="625"/>
        <v>37282910.434015237</v>
      </c>
      <c r="O377" s="151">
        <f t="shared" ca="1" si="625"/>
        <v>37532621.667165123</v>
      </c>
      <c r="P377" s="151">
        <f t="shared" ca="1" si="625"/>
        <v>37729955.318403922</v>
      </c>
      <c r="Q377" s="151">
        <f t="shared" si="625"/>
        <v>0</v>
      </c>
      <c r="R377" s="151">
        <f t="shared" si="625"/>
        <v>0</v>
      </c>
      <c r="S377" s="151">
        <f t="shared" si="625"/>
        <v>0</v>
      </c>
      <c r="T377" s="151">
        <f t="shared" si="625"/>
        <v>0</v>
      </c>
      <c r="U377" s="151">
        <f t="shared" si="625"/>
        <v>0</v>
      </c>
      <c r="V377" s="151">
        <f t="shared" si="625"/>
        <v>0</v>
      </c>
      <c r="W377" s="151">
        <f t="shared" si="625"/>
        <v>0</v>
      </c>
      <c r="X377" s="151">
        <f t="shared" si="625"/>
        <v>0</v>
      </c>
      <c r="Y377" s="151">
        <f t="shared" si="625"/>
        <v>0</v>
      </c>
      <c r="Z377" s="151">
        <f t="shared" si="625"/>
        <v>0</v>
      </c>
    </row>
    <row r="378" spans="2:26" ht="15.5">
      <c r="B378" s="33" t="s">
        <v>385</v>
      </c>
      <c r="D378" s="48"/>
      <c r="E378" s="48"/>
      <c r="F378" s="151">
        <f>+F365</f>
        <v>0</v>
      </c>
      <c r="G378" s="151">
        <f t="shared" ref="G378:Z378" si="626">+G365</f>
        <v>0</v>
      </c>
      <c r="H378" s="151">
        <f t="shared" si="626"/>
        <v>0</v>
      </c>
      <c r="I378" s="151">
        <f t="shared" si="626"/>
        <v>0</v>
      </c>
      <c r="J378" s="151">
        <f t="shared" si="626"/>
        <v>0</v>
      </c>
      <c r="K378" s="151">
        <f t="shared" si="626"/>
        <v>0</v>
      </c>
      <c r="L378" s="151">
        <f t="shared" si="626"/>
        <v>0</v>
      </c>
      <c r="M378" s="151">
        <f t="shared" si="626"/>
        <v>0</v>
      </c>
      <c r="N378" s="151">
        <f t="shared" si="626"/>
        <v>0</v>
      </c>
      <c r="O378" s="151">
        <f t="shared" si="626"/>
        <v>0</v>
      </c>
      <c r="P378" s="151">
        <f t="shared" ca="1" si="626"/>
        <v>574176248.68193352</v>
      </c>
      <c r="Q378" s="151">
        <f t="shared" si="626"/>
        <v>0</v>
      </c>
      <c r="R378" s="151">
        <f t="shared" si="626"/>
        <v>0</v>
      </c>
      <c r="S378" s="151">
        <f t="shared" si="626"/>
        <v>0</v>
      </c>
      <c r="T378" s="151">
        <f t="shared" si="626"/>
        <v>0</v>
      </c>
      <c r="U378" s="151">
        <f t="shared" si="626"/>
        <v>0</v>
      </c>
      <c r="V378" s="151">
        <f t="shared" si="626"/>
        <v>0</v>
      </c>
      <c r="W378" s="151">
        <f t="shared" si="626"/>
        <v>0</v>
      </c>
      <c r="X378" s="151">
        <f t="shared" si="626"/>
        <v>0</v>
      </c>
      <c r="Y378" s="151">
        <f t="shared" si="626"/>
        <v>0</v>
      </c>
      <c r="Z378" s="151">
        <f t="shared" si="626"/>
        <v>0</v>
      </c>
    </row>
    <row r="379" spans="2:26" ht="15.5">
      <c r="B379" s="33" t="s">
        <v>397</v>
      </c>
      <c r="D379" s="48"/>
      <c r="E379" s="48"/>
      <c r="F379" s="151">
        <f>+IF(F359&gt;=10,0,F366)</f>
        <v>0</v>
      </c>
      <c r="G379" s="151">
        <f t="shared" ref="G379:Z379" si="627">+IF(G359&gt;=10,0,G366)</f>
        <v>0</v>
      </c>
      <c r="H379" s="151">
        <f t="shared" si="627"/>
        <v>0</v>
      </c>
      <c r="I379" s="151">
        <f t="shared" si="627"/>
        <v>0</v>
      </c>
      <c r="J379" s="151">
        <f t="shared" si="627"/>
        <v>0</v>
      </c>
      <c r="K379" s="151">
        <f t="shared" si="627"/>
        <v>0</v>
      </c>
      <c r="L379" s="151">
        <f t="shared" si="627"/>
        <v>0</v>
      </c>
      <c r="M379" s="151">
        <f t="shared" si="627"/>
        <v>0</v>
      </c>
      <c r="N379" s="151">
        <f t="shared" si="627"/>
        <v>0</v>
      </c>
      <c r="O379" s="151">
        <f t="shared" si="627"/>
        <v>0</v>
      </c>
      <c r="P379" s="151">
        <f t="shared" si="627"/>
        <v>0</v>
      </c>
      <c r="Q379" s="151">
        <f t="shared" si="627"/>
        <v>0</v>
      </c>
      <c r="R379" s="151">
        <f t="shared" si="627"/>
        <v>0</v>
      </c>
      <c r="S379" s="151">
        <f t="shared" si="627"/>
        <v>0</v>
      </c>
      <c r="T379" s="151">
        <f t="shared" si="627"/>
        <v>0</v>
      </c>
      <c r="U379" s="151">
        <f t="shared" si="627"/>
        <v>0</v>
      </c>
      <c r="V379" s="151">
        <f t="shared" si="627"/>
        <v>0</v>
      </c>
      <c r="W379" s="151">
        <f t="shared" si="627"/>
        <v>0</v>
      </c>
      <c r="X379" s="151">
        <f t="shared" si="627"/>
        <v>0</v>
      </c>
      <c r="Y379" s="151">
        <f t="shared" si="627"/>
        <v>0</v>
      </c>
      <c r="Z379" s="151">
        <f t="shared" si="627"/>
        <v>0</v>
      </c>
    </row>
    <row r="380" spans="2:26" ht="15.5">
      <c r="B380" s="138" t="s">
        <v>388</v>
      </c>
      <c r="C380" s="138"/>
      <c r="D380" s="139">
        <f t="shared" ref="D380" ca="1" si="628">+SUM(F380:Z380)</f>
        <v>515308264.31219161</v>
      </c>
      <c r="E380" s="139"/>
      <c r="F380" s="139">
        <f t="shared" ref="F380:Z380" ca="1" si="629">+SUM(F372:F379)</f>
        <v>-49657729.176295877</v>
      </c>
      <c r="G380" s="139">
        <f t="shared" ca="1" si="629"/>
        <v>-128284179.0887768</v>
      </c>
      <c r="H380" s="139">
        <f t="shared" ca="1" si="629"/>
        <v>-58675480.184836358</v>
      </c>
      <c r="I380" s="139">
        <f t="shared" ca="1" si="629"/>
        <v>13334593.452630492</v>
      </c>
      <c r="J380" s="139">
        <f t="shared" ca="1" si="629"/>
        <v>29205328.9003626</v>
      </c>
      <c r="K380" s="139">
        <f t="shared" ca="1" si="629"/>
        <v>-24075247.154559322</v>
      </c>
      <c r="L380" s="139">
        <f t="shared" ca="1" si="629"/>
        <v>31514092.714733601</v>
      </c>
      <c r="M380" s="139">
        <f t="shared" ca="1" si="629"/>
        <v>31659850.608250093</v>
      </c>
      <c r="N380" s="139">
        <f t="shared" ca="1" si="629"/>
        <v>31853449.408631399</v>
      </c>
      <c r="O380" s="139">
        <f t="shared" ca="1" si="629"/>
        <v>32050721.282819808</v>
      </c>
      <c r="P380" s="139">
        <f t="shared" ca="1" si="629"/>
        <v>606382863.54923201</v>
      </c>
      <c r="Q380" s="139">
        <f t="shared" ca="1" si="629"/>
        <v>0</v>
      </c>
      <c r="R380" s="139">
        <f t="shared" ca="1" si="629"/>
        <v>0</v>
      </c>
      <c r="S380" s="139">
        <f t="shared" ca="1" si="629"/>
        <v>0</v>
      </c>
      <c r="T380" s="139">
        <f t="shared" ca="1" si="629"/>
        <v>0</v>
      </c>
      <c r="U380" s="139">
        <f t="shared" ca="1" si="629"/>
        <v>0</v>
      </c>
      <c r="V380" s="139">
        <f t="shared" ca="1" si="629"/>
        <v>0</v>
      </c>
      <c r="W380" s="139">
        <f t="shared" ca="1" si="629"/>
        <v>0</v>
      </c>
      <c r="X380" s="139">
        <f t="shared" ca="1" si="629"/>
        <v>0</v>
      </c>
      <c r="Y380" s="139">
        <f t="shared" ca="1" si="629"/>
        <v>0</v>
      </c>
      <c r="Z380" s="139">
        <f t="shared" ca="1" si="629"/>
        <v>0</v>
      </c>
    </row>
    <row r="382" spans="2:26" ht="15.5">
      <c r="B382" s="190" t="s">
        <v>403</v>
      </c>
      <c r="C382" s="190"/>
      <c r="D382" s="191">
        <f ca="1">+IRR(F380:Z380)</f>
        <v>0.15199749007516372</v>
      </c>
    </row>
    <row r="383" spans="2:26" ht="15.5">
      <c r="B383" s="194" t="s">
        <v>404</v>
      </c>
      <c r="C383" s="193"/>
      <c r="D383" s="228">
        <f ca="1">+D382/(1-Assumptions!$M$192)</f>
        <v>0.1924018861710933</v>
      </c>
    </row>
    <row r="385" spans="2:26">
      <c r="B385" s="41" t="s">
        <v>401</v>
      </c>
      <c r="F385" s="151">
        <f ca="1">IFERROR(IF(YEAR(F357)&lt;=YEAR(Assumptions!$F$30),10%*(OFFSET('Phase I Pro Forma'!F373,0,-5))+5%*(OFFSET('Phase I Pro Forma'!F373,0,-7)),0),0)</f>
        <v>0</v>
      </c>
      <c r="G385" s="151">
        <f ca="1">IFERROR(IF(YEAR(G357)&lt;=YEAR(Assumptions!$F$30),10%*(OFFSET('Phase I Pro Forma'!G373,0,-5))+5%*(OFFSET('Phase I Pro Forma'!G373,0,-7)),0),0)</f>
        <v>0</v>
      </c>
      <c r="H385" s="151">
        <f ca="1">IFERROR(IF(YEAR(H357)&lt;=YEAR(Assumptions!$F$30),10%*(OFFSET('Phase I Pro Forma'!H373,0,-5))+5%*(OFFSET('Phase I Pro Forma'!H373,0,-7)),0),0)</f>
        <v>0</v>
      </c>
      <c r="I385" s="151">
        <f ca="1">IFERROR(IF(YEAR(I357)&lt;=YEAR(Assumptions!$F$30),10%*(OFFSET('Phase I Pro Forma'!I373,0,-5))+5%*(OFFSET('Phase I Pro Forma'!I373,0,-7)),0),0)</f>
        <v>0</v>
      </c>
      <c r="J385" s="151">
        <f ca="1">IFERROR(IF(YEAR(J357)&lt;=YEAR(Assumptions!$F$30),10%*(OFFSET('Phase I Pro Forma'!J373,0,-5))+5%*(OFFSET('Phase I Pro Forma'!J373,0,-7)),0),0)</f>
        <v>0</v>
      </c>
      <c r="K385" s="151">
        <f ca="1">IFERROR(IF(YEAR(K357)&lt;=YEAR(Assumptions!$F$30),10%*(OFFSET('Phase I Pro Forma'!K373,0,-5))+5%*(OFFSET('Phase I Pro Forma'!K373,0,-7)),0),0)</f>
        <v>1320015.5856990041</v>
      </c>
      <c r="L385" s="151">
        <f ca="1">IFERROR(IF(YEAR(L357)&lt;=YEAR(Assumptions!$F$30),10%*(OFFSET('Phase I Pro Forma'!L373,0,-5))+5%*(OFFSET('Phase I Pro Forma'!L373,0,-7)),0),0)</f>
        <v>3410085.7732459661</v>
      </c>
      <c r="M385" s="151">
        <f ca="1">IFERROR(IF(YEAR(M357)&lt;=YEAR(Assumptions!$F$30),10%*(OFFSET('Phase I Pro Forma'!M373,0,-5))+5%*(OFFSET('Phase I Pro Forma'!M373,0,-7)),0),0)</f>
        <v>2219735.7471299623</v>
      </c>
      <c r="N385" s="151">
        <f ca="1">IFERROR(IF(YEAR(N357)&lt;=YEAR(Assumptions!$F$30),10%*(OFFSET('Phase I Pro Forma'!N373,0,-5))+5%*(OFFSET('Phase I Pro Forma'!N373,0,-7)),0),0)</f>
        <v>1705042.886622983</v>
      </c>
      <c r="O385" s="151">
        <f ca="1">IFERROR(IF(YEAR(O357)&lt;=YEAR(Assumptions!$F$30),10%*(OFFSET('Phase I Pro Forma'!O373,0,-5))+5%*(OFFSET('Phase I Pro Forma'!O373,0,-7)),0),0)</f>
        <v>779863.97714023013</v>
      </c>
      <c r="P385" s="151">
        <f ca="1">IFERROR(IF(YEAR(P357)&lt;=YEAR(Assumptions!$F$30),10%*(OFFSET('Phase I Pro Forma'!P373,0,-5))+5%*(OFFSET('Phase I Pro Forma'!P373,0,-7)),0),0)</f>
        <v>0</v>
      </c>
      <c r="Q385" s="151">
        <f ca="1">IFERROR(IF(YEAR(Q357)&lt;=YEAR(Assumptions!$F$30),10%*(OFFSET('Phase I Pro Forma'!Q373,0,-5))+5%*(OFFSET('Phase I Pro Forma'!Q373,0,-7)),0),0)</f>
        <v>0</v>
      </c>
      <c r="R385" s="151">
        <f ca="1">IFERROR(IF(YEAR(R357)&lt;=YEAR(Assumptions!$F$30),10%*(OFFSET('Phase I Pro Forma'!R373,0,-5))+5%*(OFFSET('Phase I Pro Forma'!R373,0,-7)),0),0)</f>
        <v>0</v>
      </c>
      <c r="S385" s="151">
        <f ca="1">IFERROR(IF(YEAR(S357)&lt;=YEAR(Assumptions!$F$30),10%*(OFFSET('Phase I Pro Forma'!S373,0,-5))+5%*(OFFSET('Phase I Pro Forma'!S373,0,-7)),0),0)</f>
        <v>0</v>
      </c>
      <c r="T385" s="151">
        <f ca="1">IFERROR(IF(YEAR(T357)&lt;=YEAR(Assumptions!$F$30),10%*(OFFSET('Phase I Pro Forma'!T373,0,-5))+5%*(OFFSET('Phase I Pro Forma'!T373,0,-7)),0),0)</f>
        <v>0</v>
      </c>
      <c r="U385" s="151">
        <f ca="1">IFERROR(IF(YEAR(U357)&lt;=YEAR(Assumptions!$F$30),10%*(OFFSET('Phase I Pro Forma'!U373,0,-5))+5%*(OFFSET('Phase I Pro Forma'!U373,0,-7)),0),0)</f>
        <v>0</v>
      </c>
      <c r="V385" s="151">
        <f ca="1">IFERROR(IF(YEAR(V357)&lt;=YEAR(Assumptions!$F$30),10%*(OFFSET('Phase I Pro Forma'!V373,0,-5))+5%*(OFFSET('Phase I Pro Forma'!V373,0,-7)),0),0)</f>
        <v>0</v>
      </c>
      <c r="W385" s="151">
        <f ca="1">IFERROR(IF(YEAR(W357)&lt;=YEAR(Assumptions!$F$30),10%*(OFFSET('Phase I Pro Forma'!W373,0,-5))+5%*(OFFSET('Phase I Pro Forma'!W373,0,-7)),0),0)</f>
        <v>0</v>
      </c>
      <c r="X385" s="151">
        <f ca="1">IFERROR(IF(YEAR(X357)&lt;=YEAR(Assumptions!$F$30),10%*(OFFSET('Phase I Pro Forma'!X373,0,-5))+5%*(OFFSET('Phase I Pro Forma'!X373,0,-7)),0),0)</f>
        <v>0</v>
      </c>
      <c r="Y385" s="151">
        <f ca="1">IFERROR(IF(YEAR(Y357)&lt;=YEAR(Assumptions!$F$30),10%*(OFFSET('Phase I Pro Forma'!Y373,0,-5))+5%*(OFFSET('Phase I Pro Forma'!Y373,0,-7)),0),0)</f>
        <v>0</v>
      </c>
      <c r="Z385" s="151">
        <f ca="1">IFERROR(IF(YEAR(Z357)&lt;=YEAR(Assumptions!$F$30),10%*(OFFSET('Phase I Pro Forma'!Z373,0,-5))+5%*(OFFSET('Phase I Pro Forma'!Z373,0,-7)),0),0)</f>
        <v>0</v>
      </c>
    </row>
    <row r="387" spans="2:26" ht="15.5">
      <c r="B387" s="148" t="s">
        <v>381</v>
      </c>
    </row>
    <row r="388" spans="2:26" ht="15.5">
      <c r="B388" s="33" t="s">
        <v>382</v>
      </c>
      <c r="D388" s="48">
        <f ca="1">+SUM(F388:Z388)</f>
        <v>2444231242.9691792</v>
      </c>
      <c r="E388" s="48"/>
      <c r="F388" s="34">
        <v>0</v>
      </c>
      <c r="G388" s="34">
        <f ca="1">+F395</f>
        <v>62857885.033285916</v>
      </c>
      <c r="H388" s="34">
        <f t="shared" ref="H388:Z388" ca="1" si="630">+G395</f>
        <v>225242921.85452238</v>
      </c>
      <c r="I388" s="34">
        <f t="shared" ca="1" si="630"/>
        <v>299515681.58216345</v>
      </c>
      <c r="J388" s="34">
        <f t="shared" ca="1" si="630"/>
        <v>299515681.58216333</v>
      </c>
      <c r="K388" s="34">
        <f t="shared" ca="1" si="630"/>
        <v>288087347.45949972</v>
      </c>
      <c r="L388" s="34">
        <f t="shared" ca="1" si="630"/>
        <v>276659013.33683622</v>
      </c>
      <c r="M388" s="34">
        <f t="shared" ca="1" si="630"/>
        <v>265230679.21417248</v>
      </c>
      <c r="N388" s="34">
        <f t="shared" ca="1" si="630"/>
        <v>253802345.09150884</v>
      </c>
      <c r="O388" s="34">
        <f t="shared" ca="1" si="630"/>
        <v>242374010.96884534</v>
      </c>
      <c r="P388" s="34">
        <f t="shared" ca="1" si="630"/>
        <v>230945676.8461816</v>
      </c>
      <c r="Q388" s="34">
        <f t="shared" ca="1" si="630"/>
        <v>0</v>
      </c>
      <c r="R388" s="34">
        <f t="shared" ca="1" si="630"/>
        <v>0</v>
      </c>
      <c r="S388" s="34">
        <f t="shared" ca="1" si="630"/>
        <v>0</v>
      </c>
      <c r="T388" s="34">
        <f t="shared" ca="1" si="630"/>
        <v>0</v>
      </c>
      <c r="U388" s="34">
        <f t="shared" ca="1" si="630"/>
        <v>0</v>
      </c>
      <c r="V388" s="34">
        <f t="shared" ca="1" si="630"/>
        <v>0</v>
      </c>
      <c r="W388" s="34">
        <f t="shared" ca="1" si="630"/>
        <v>0</v>
      </c>
      <c r="X388" s="34">
        <f t="shared" ca="1" si="630"/>
        <v>0</v>
      </c>
      <c r="Y388" s="34">
        <f t="shared" ca="1" si="630"/>
        <v>0</v>
      </c>
      <c r="Z388" s="34">
        <f t="shared" ca="1" si="630"/>
        <v>0</v>
      </c>
    </row>
    <row r="389" spans="2:26" ht="15.5">
      <c r="B389" s="33" t="s">
        <v>380</v>
      </c>
      <c r="D389" s="48">
        <f t="shared" ref="D389:D394" ca="1" si="631">+SUM(F389:Z389)</f>
        <v>299515681.58216345</v>
      </c>
      <c r="E389" s="48"/>
      <c r="F389" s="151">
        <f ca="1">-F360</f>
        <v>62857885.033285916</v>
      </c>
      <c r="G389" s="151">
        <f t="shared" ref="G389:Z389" ca="1" si="632">-G360</f>
        <v>162385036.82123646</v>
      </c>
      <c r="H389" s="151">
        <f t="shared" ca="1" si="632"/>
        <v>74272759.727640957</v>
      </c>
      <c r="I389" s="151">
        <f t="shared" ca="1" si="632"/>
        <v>0</v>
      </c>
      <c r="J389" s="151">
        <f t="shared" ca="1" si="632"/>
        <v>0</v>
      </c>
      <c r="K389" s="151">
        <f t="shared" ca="1" si="632"/>
        <v>0</v>
      </c>
      <c r="L389" s="151">
        <f t="shared" ca="1" si="632"/>
        <v>0</v>
      </c>
      <c r="M389" s="151">
        <f t="shared" ca="1" si="632"/>
        <v>0</v>
      </c>
      <c r="N389" s="151">
        <f t="shared" ca="1" si="632"/>
        <v>0</v>
      </c>
      <c r="O389" s="151">
        <f t="shared" ca="1" si="632"/>
        <v>0</v>
      </c>
      <c r="P389" s="151">
        <f t="shared" ca="1" si="632"/>
        <v>0</v>
      </c>
      <c r="Q389" s="151">
        <f t="shared" ca="1" si="632"/>
        <v>0</v>
      </c>
      <c r="R389" s="151">
        <f t="shared" ca="1" si="632"/>
        <v>0</v>
      </c>
      <c r="S389" s="151">
        <f t="shared" ca="1" si="632"/>
        <v>0</v>
      </c>
      <c r="T389" s="151">
        <f t="shared" ca="1" si="632"/>
        <v>0</v>
      </c>
      <c r="U389" s="151">
        <f t="shared" ca="1" si="632"/>
        <v>0</v>
      </c>
      <c r="V389" s="151">
        <f t="shared" ca="1" si="632"/>
        <v>0</v>
      </c>
      <c r="W389" s="151">
        <f t="shared" ca="1" si="632"/>
        <v>0</v>
      </c>
      <c r="X389" s="151">
        <f t="shared" ca="1" si="632"/>
        <v>0</v>
      </c>
      <c r="Y389" s="151">
        <f t="shared" ca="1" si="632"/>
        <v>0</v>
      </c>
      <c r="Z389" s="151">
        <f t="shared" ca="1" si="632"/>
        <v>0</v>
      </c>
    </row>
    <row r="390" spans="2:26" ht="15.5">
      <c r="B390" s="33" t="s">
        <v>233</v>
      </c>
      <c r="D390" s="48">
        <f t="shared" ca="1" si="631"/>
        <v>271409243.14211106</v>
      </c>
      <c r="E390" s="48"/>
      <c r="F390" s="151">
        <f ca="1">IF(F357&lt;=Assumptions!$F$30,F321,0)</f>
        <v>0</v>
      </c>
      <c r="G390" s="151">
        <f ca="1">IF(G357&lt;=Assumptions!$F$30,G321,0)</f>
        <v>0</v>
      </c>
      <c r="H390" s="151">
        <f ca="1">IF(H357&lt;=Assumptions!$F$30,H321,0)</f>
        <v>0</v>
      </c>
      <c r="I390" s="151">
        <f ca="1">IF(I357&lt;=Assumptions!$F$30,I321,0)</f>
        <v>16879232.218519609</v>
      </c>
      <c r="J390" s="151">
        <f ca="1">IF(J357&lt;=Assumptions!$F$30,J321,0)</f>
        <v>33930859.157725617</v>
      </c>
      <c r="K390" s="151">
        <f ca="1">IF(K357&lt;=Assumptions!$F$30,K321,0)</f>
        <v>34162470.686199315</v>
      </c>
      <c r="L390" s="151">
        <f ca="1">IF(L357&lt;=Assumptions!$F$30,L321,0)</f>
        <v>36853344.998701565</v>
      </c>
      <c r="M390" s="151">
        <f ca="1">IF(M357&lt;=Assumptions!$F$30,M321,0)</f>
        <v>37037848.661380671</v>
      </c>
      <c r="N390" s="151">
        <f ca="1">IF(N357&lt;=Assumptions!$F$30,N321,0)</f>
        <v>37282910.434015237</v>
      </c>
      <c r="O390" s="151">
        <f ca="1">IF(O357&lt;=Assumptions!$F$30,O321,0)</f>
        <v>37532621.667165123</v>
      </c>
      <c r="P390" s="151">
        <f ca="1">IF(P357&lt;=Assumptions!$F$30,P321,0)</f>
        <v>37729955.318403922</v>
      </c>
      <c r="Q390" s="151">
        <f>IF(Q357&lt;=Assumptions!$F$30,Q321,0)</f>
        <v>0</v>
      </c>
      <c r="R390" s="151">
        <f>IF(R357&lt;=Assumptions!$F$30,R321,0)</f>
        <v>0</v>
      </c>
      <c r="S390" s="151">
        <f>IF(S357&lt;=Assumptions!$F$30,S321,0)</f>
        <v>0</v>
      </c>
      <c r="T390" s="151">
        <f>IF(T357&lt;=Assumptions!$F$30,T321,0)</f>
        <v>0</v>
      </c>
      <c r="U390" s="151">
        <f>IF(U357&lt;=Assumptions!$F$30,U321,0)</f>
        <v>0</v>
      </c>
      <c r="V390" s="151">
        <f>IF(V357&lt;=Assumptions!$F$30,V321,0)</f>
        <v>0</v>
      </c>
      <c r="W390" s="151">
        <f>IF(W357&lt;=Assumptions!$F$30,W321,0)</f>
        <v>0</v>
      </c>
      <c r="X390" s="151">
        <f>IF(X357&lt;=Assumptions!$F$30,X321,0)</f>
        <v>0</v>
      </c>
      <c r="Y390" s="151">
        <f>IF(Y357&lt;=Assumptions!$F$30,Y321,0)</f>
        <v>0</v>
      </c>
      <c r="Z390" s="151">
        <f>IF(Z357&lt;=Assumptions!$F$30,Z321,0)</f>
        <v>0</v>
      </c>
    </row>
    <row r="391" spans="2:26" ht="15.5">
      <c r="B391" s="33" t="s">
        <v>392</v>
      </c>
      <c r="D391" s="48">
        <f t="shared" si="631"/>
        <v>-79998338.858645439</v>
      </c>
      <c r="E391" s="48"/>
      <c r="F391" s="151">
        <f>-IF(AND(F357&gt;Assumptions!$F$26,F357&lt;=Assumptions!$F$30),Budget!$H$82*Assumptions!$M$194/Assumptions!$M$193,0)</f>
        <v>0</v>
      </c>
      <c r="G391" s="151">
        <f>-IF(AND(G357&gt;Assumptions!$F$26,G357&lt;=Assumptions!$F$30),Budget!$H$82*Assumptions!$M$194/Assumptions!$M$193,0)</f>
        <v>0</v>
      </c>
      <c r="H391" s="151">
        <f>-IF(AND(H357&gt;Assumptions!$F$26,H357&lt;=Assumptions!$F$30),Budget!$H$82*Assumptions!$M$194/Assumptions!$M$193,0)</f>
        <v>0</v>
      </c>
      <c r="I391" s="151">
        <f>-IF(AND(I357&gt;Assumptions!$F$26,I357&lt;=Assumptions!$F$30),Budget!$H$82*Assumptions!$M$194/Assumptions!$M$193,0)</f>
        <v>0</v>
      </c>
      <c r="J391" s="151">
        <f>-IF(AND(J357&gt;Assumptions!$F$26,J357&lt;=Assumptions!$F$30),Budget!$H$82*Assumptions!$M$194/Assumptions!$M$193,0)</f>
        <v>-11428334.122663634</v>
      </c>
      <c r="K391" s="151">
        <f>-IF(AND(K357&gt;Assumptions!$F$26,K357&lt;=Assumptions!$F$30),Budget!$H$82*Assumptions!$M$194/Assumptions!$M$193,0)</f>
        <v>-11428334.122663634</v>
      </c>
      <c r="L391" s="151">
        <f>-IF(AND(L357&gt;Assumptions!$F$26,L357&lt;=Assumptions!$F$30),Budget!$H$82*Assumptions!$M$194/Assumptions!$M$193,0)</f>
        <v>-11428334.122663634</v>
      </c>
      <c r="M391" s="151">
        <f>-IF(AND(M357&gt;Assumptions!$F$26,M357&lt;=Assumptions!$F$30),Budget!$H$82*Assumptions!$M$194/Assumptions!$M$193,0)</f>
        <v>-11428334.122663634</v>
      </c>
      <c r="N391" s="151">
        <f>-IF(AND(N357&gt;Assumptions!$F$26,N357&lt;=Assumptions!$F$30),Budget!$H$82*Assumptions!$M$194/Assumptions!$M$193,0)</f>
        <v>-11428334.122663634</v>
      </c>
      <c r="O391" s="151">
        <f>-IF(AND(O357&gt;Assumptions!$F$26,O357&lt;=Assumptions!$F$30),Budget!$H$82*Assumptions!$M$194/Assumptions!$M$193,0)</f>
        <v>-11428334.122663634</v>
      </c>
      <c r="P391" s="151">
        <f>-IF(AND(P357&gt;Assumptions!$F$26,P357&lt;=Assumptions!$F$30),Budget!$H$82*Assumptions!$M$194/Assumptions!$M$193,0)</f>
        <v>-11428334.122663634</v>
      </c>
      <c r="Q391" s="151">
        <f>-IF(AND(Q357&gt;Assumptions!$F$26,Q357&lt;=Assumptions!$F$30),Budget!$H$82*Assumptions!$M$194/Assumptions!$M$193,0)</f>
        <v>0</v>
      </c>
      <c r="R391" s="151">
        <f>-IF(AND(R357&gt;Assumptions!$F$26,R357&lt;=Assumptions!$F$30),Budget!$H$82*Assumptions!$M$194/Assumptions!$M$193,0)</f>
        <v>0</v>
      </c>
      <c r="S391" s="151">
        <f>-IF(AND(S357&gt;Assumptions!$F$26,S357&lt;=Assumptions!$F$30),Budget!$H$82*Assumptions!$M$194/Assumptions!$M$193,0)</f>
        <v>0</v>
      </c>
      <c r="T391" s="151">
        <f>-IF(AND(T357&gt;Assumptions!$F$26,T357&lt;=Assumptions!$F$30),Budget!$H$82*Assumptions!$M$194/Assumptions!$M$193,0)</f>
        <v>0</v>
      </c>
      <c r="U391" s="151">
        <f>-IF(AND(U357&gt;Assumptions!$F$26,U357&lt;=Assumptions!$F$30),Budget!$H$82*Assumptions!$M$194/Assumptions!$M$193,0)</f>
        <v>0</v>
      </c>
      <c r="V391" s="151">
        <f>-IF(AND(V357&gt;Assumptions!$F$26,V357&lt;=Assumptions!$F$30),Budget!$H$82*Assumptions!$M$194/Assumptions!$M$193,0)</f>
        <v>0</v>
      </c>
      <c r="W391" s="151">
        <f>-IF(AND(W357&gt;Assumptions!$F$26,W357&lt;=Assumptions!$F$30),Budget!$H$82*Assumptions!$M$194/Assumptions!$M$193,0)</f>
        <v>0</v>
      </c>
      <c r="X391" s="151">
        <f>-IF(AND(X357&gt;Assumptions!$F$26,X357&lt;=Assumptions!$F$30),Budget!$H$82*Assumptions!$M$194/Assumptions!$M$193,0)</f>
        <v>0</v>
      </c>
      <c r="Y391" s="151">
        <f>-IF(AND(Y357&gt;Assumptions!$F$26,Y357&lt;=Assumptions!$F$30),Budget!$H$82*Assumptions!$M$194/Assumptions!$M$193,0)</f>
        <v>0</v>
      </c>
      <c r="Z391" s="151">
        <f>-IF(AND(Z357&gt;Assumptions!$F$26,Z357&lt;=Assumptions!$F$30),Budget!$H$82*Assumptions!$M$194/Assumptions!$M$193,0)</f>
        <v>0</v>
      </c>
    </row>
    <row r="392" spans="2:26" ht="15.5">
      <c r="B392" s="33" t="s">
        <v>383</v>
      </c>
      <c r="D392" s="48">
        <f t="shared" ca="1" si="631"/>
        <v>-271409243.14211106</v>
      </c>
      <c r="E392" s="48"/>
      <c r="F392" s="151">
        <f ca="1">-F364</f>
        <v>0</v>
      </c>
      <c r="G392" s="151">
        <f t="shared" ref="G392:Z392" ca="1" si="633">-G364</f>
        <v>0</v>
      </c>
      <c r="H392" s="151">
        <f t="shared" ca="1" si="633"/>
        <v>0</v>
      </c>
      <c r="I392" s="151">
        <f t="shared" ca="1" si="633"/>
        <v>-16879232.218519609</v>
      </c>
      <c r="J392" s="151">
        <f t="shared" ca="1" si="633"/>
        <v>-33930859.157725617</v>
      </c>
      <c r="K392" s="151">
        <f t="shared" ca="1" si="633"/>
        <v>-34162470.686199315</v>
      </c>
      <c r="L392" s="151">
        <f t="shared" ca="1" si="633"/>
        <v>-36853344.998701565</v>
      </c>
      <c r="M392" s="151">
        <f t="shared" ca="1" si="633"/>
        <v>-37037848.661380671</v>
      </c>
      <c r="N392" s="151">
        <f t="shared" ca="1" si="633"/>
        <v>-37282910.434015237</v>
      </c>
      <c r="O392" s="151">
        <f t="shared" ca="1" si="633"/>
        <v>-37532621.667165123</v>
      </c>
      <c r="P392" s="151">
        <f t="shared" ca="1" si="633"/>
        <v>-37729955.318403922</v>
      </c>
      <c r="Q392" s="151">
        <f t="shared" si="633"/>
        <v>0</v>
      </c>
      <c r="R392" s="151">
        <f t="shared" si="633"/>
        <v>0</v>
      </c>
      <c r="S392" s="151">
        <f t="shared" si="633"/>
        <v>0</v>
      </c>
      <c r="T392" s="151">
        <f t="shared" si="633"/>
        <v>0</v>
      </c>
      <c r="U392" s="151">
        <f t="shared" si="633"/>
        <v>0</v>
      </c>
      <c r="V392" s="151">
        <f t="shared" si="633"/>
        <v>0</v>
      </c>
      <c r="W392" s="151">
        <f t="shared" si="633"/>
        <v>0</v>
      </c>
      <c r="X392" s="151">
        <f t="shared" si="633"/>
        <v>0</v>
      </c>
      <c r="Y392" s="151">
        <f t="shared" si="633"/>
        <v>0</v>
      </c>
      <c r="Z392" s="151">
        <f t="shared" si="633"/>
        <v>0</v>
      </c>
    </row>
    <row r="393" spans="2:26" ht="15.5">
      <c r="B393" s="33" t="s">
        <v>385</v>
      </c>
      <c r="D393" s="48">
        <f t="shared" ca="1" si="631"/>
        <v>-574176248.68193352</v>
      </c>
      <c r="E393" s="48"/>
      <c r="F393" s="151">
        <f t="shared" ref="F393:Z393" si="634">-F365</f>
        <v>0</v>
      </c>
      <c r="G393" s="151">
        <f t="shared" si="634"/>
        <v>0</v>
      </c>
      <c r="H393" s="151">
        <f t="shared" si="634"/>
        <v>0</v>
      </c>
      <c r="I393" s="151">
        <f t="shared" si="634"/>
        <v>0</v>
      </c>
      <c r="J393" s="151">
        <f t="shared" si="634"/>
        <v>0</v>
      </c>
      <c r="K393" s="151">
        <f t="shared" si="634"/>
        <v>0</v>
      </c>
      <c r="L393" s="151">
        <f t="shared" si="634"/>
        <v>0</v>
      </c>
      <c r="M393" s="151">
        <f t="shared" si="634"/>
        <v>0</v>
      </c>
      <c r="N393" s="151">
        <f t="shared" si="634"/>
        <v>0</v>
      </c>
      <c r="O393" s="151">
        <f t="shared" si="634"/>
        <v>0</v>
      </c>
      <c r="P393" s="151">
        <f t="shared" ca="1" si="634"/>
        <v>-574176248.68193352</v>
      </c>
      <c r="Q393" s="151">
        <f t="shared" si="634"/>
        <v>0</v>
      </c>
      <c r="R393" s="151">
        <f t="shared" si="634"/>
        <v>0</v>
      </c>
      <c r="S393" s="151">
        <f t="shared" si="634"/>
        <v>0</v>
      </c>
      <c r="T393" s="151">
        <f t="shared" si="634"/>
        <v>0</v>
      </c>
      <c r="U393" s="151">
        <f t="shared" si="634"/>
        <v>0</v>
      </c>
      <c r="V393" s="151">
        <f t="shared" si="634"/>
        <v>0</v>
      </c>
      <c r="W393" s="151">
        <f t="shared" si="634"/>
        <v>0</v>
      </c>
      <c r="X393" s="151">
        <f t="shared" si="634"/>
        <v>0</v>
      </c>
      <c r="Y393" s="151">
        <f t="shared" si="634"/>
        <v>0</v>
      </c>
      <c r="Z393" s="151">
        <f t="shared" si="634"/>
        <v>0</v>
      </c>
    </row>
    <row r="394" spans="2:26" ht="15.5">
      <c r="B394" s="33" t="s">
        <v>396</v>
      </c>
      <c r="D394" s="48">
        <f t="shared" ca="1" si="631"/>
        <v>354658905.95841557</v>
      </c>
      <c r="E394" s="48"/>
      <c r="F394" s="151">
        <f>-IF(YEAR(F357)=YEAR(Assumptions!$F$30),SUM(F388:F393),0)</f>
        <v>0</v>
      </c>
      <c r="G394" s="151">
        <f>-IF(YEAR(G357)=YEAR(Assumptions!$F$30),SUM(G388:G393),0)</f>
        <v>0</v>
      </c>
      <c r="H394" s="151">
        <f>-IF(YEAR(H357)=YEAR(Assumptions!$F$30),SUM(H388:H393),0)</f>
        <v>0</v>
      </c>
      <c r="I394" s="151">
        <f>-IF(YEAR(I357)=YEAR(Assumptions!$F$30),SUM(I388:I393),0)</f>
        <v>0</v>
      </c>
      <c r="J394" s="151">
        <f>-IF(YEAR(J357)=YEAR(Assumptions!$F$30),SUM(J388:J393),0)</f>
        <v>0</v>
      </c>
      <c r="K394" s="151">
        <f>-IF(YEAR(K357)=YEAR(Assumptions!$F$30),SUM(K388:K393),0)</f>
        <v>0</v>
      </c>
      <c r="L394" s="151">
        <f>-IF(YEAR(L357)=YEAR(Assumptions!$F$30),SUM(L388:L393),0)</f>
        <v>0</v>
      </c>
      <c r="M394" s="151">
        <f>-IF(YEAR(M357)=YEAR(Assumptions!$F$30),SUM(M388:M393),0)</f>
        <v>0</v>
      </c>
      <c r="N394" s="151">
        <f>-IF(YEAR(N357)=YEAR(Assumptions!$F$30),SUM(N388:N393),0)</f>
        <v>0</v>
      </c>
      <c r="O394" s="151">
        <f>-IF(YEAR(O357)=YEAR(Assumptions!$F$30),SUM(O388:O393),0)</f>
        <v>0</v>
      </c>
      <c r="P394" s="151">
        <f ca="1">-IF(YEAR(P357)=YEAR(Assumptions!$F$30),SUM(P388:P393),0)</f>
        <v>354658905.95841557</v>
      </c>
      <c r="Q394" s="151">
        <f>-IF(YEAR(Q357)=YEAR(Assumptions!$F$30),SUM(Q388:Q393),0)</f>
        <v>0</v>
      </c>
      <c r="R394" s="151">
        <f>-IF(YEAR(R357)=YEAR(Assumptions!$F$30),SUM(R388:R393),0)</f>
        <v>0</v>
      </c>
      <c r="S394" s="151">
        <f>-IF(YEAR(S357)=YEAR(Assumptions!$F$30),SUM(S388:S393),0)</f>
        <v>0</v>
      </c>
      <c r="T394" s="151">
        <f>-IF(YEAR(T357)=YEAR(Assumptions!$F$30),SUM(T388:T393),0)</f>
        <v>0</v>
      </c>
      <c r="U394" s="151">
        <f>-IF(YEAR(U357)=YEAR(Assumptions!$F$30),SUM(U388:U393),0)</f>
        <v>0</v>
      </c>
      <c r="V394" s="151">
        <f>-IF(YEAR(V357)=YEAR(Assumptions!$F$30),SUM(V388:V393),0)</f>
        <v>0</v>
      </c>
      <c r="W394" s="151">
        <f>-IF(YEAR(W357)=YEAR(Assumptions!$F$30),SUM(W388:W393),0)</f>
        <v>0</v>
      </c>
      <c r="X394" s="151">
        <f>-IF(YEAR(X357)=YEAR(Assumptions!$F$30),SUM(X388:X393),0)</f>
        <v>0</v>
      </c>
      <c r="Y394" s="151">
        <f>-IF(YEAR(Y357)=YEAR(Assumptions!$F$30),SUM(Y388:Y393),0)</f>
        <v>0</v>
      </c>
      <c r="Z394" s="151">
        <f>-IF(YEAR(Z357)=YEAR(Assumptions!$F$30),SUM(Z388:Z393),0)</f>
        <v>0</v>
      </c>
    </row>
    <row r="395" spans="2:26" ht="15.5">
      <c r="B395" s="137" t="s">
        <v>384</v>
      </c>
      <c r="C395" s="137"/>
      <c r="D395" s="36">
        <f t="shared" ref="D395" ca="1" si="635">+SUM(F395:Z395)</f>
        <v>2444231242.9691792</v>
      </c>
      <c r="E395" s="129"/>
      <c r="F395" s="129">
        <f ca="1">+SUM(F388:F394)</f>
        <v>62857885.033285916</v>
      </c>
      <c r="G395" s="129">
        <f t="shared" ref="G395:Z395" ca="1" si="636">+SUM(G388:G394)</f>
        <v>225242921.85452238</v>
      </c>
      <c r="H395" s="129">
        <f t="shared" ca="1" si="636"/>
        <v>299515681.58216333</v>
      </c>
      <c r="I395" s="129">
        <f t="shared" ca="1" si="636"/>
        <v>299515681.58216345</v>
      </c>
      <c r="J395" s="129">
        <f t="shared" ca="1" si="636"/>
        <v>288087347.45949972</v>
      </c>
      <c r="K395" s="129">
        <f t="shared" ca="1" si="636"/>
        <v>276659013.3368361</v>
      </c>
      <c r="L395" s="129">
        <f t="shared" ca="1" si="636"/>
        <v>265230679.2141726</v>
      </c>
      <c r="M395" s="129">
        <f t="shared" ca="1" si="636"/>
        <v>253802345.09150884</v>
      </c>
      <c r="N395" s="129">
        <f t="shared" ca="1" si="636"/>
        <v>242374010.96884522</v>
      </c>
      <c r="O395" s="129">
        <f t="shared" ca="1" si="636"/>
        <v>230945676.84618172</v>
      </c>
      <c r="P395" s="129">
        <f t="shared" ca="1" si="636"/>
        <v>0</v>
      </c>
      <c r="Q395" s="129">
        <f t="shared" ca="1" si="636"/>
        <v>0</v>
      </c>
      <c r="R395" s="129">
        <f t="shared" ca="1" si="636"/>
        <v>0</v>
      </c>
      <c r="S395" s="129">
        <f t="shared" ca="1" si="636"/>
        <v>0</v>
      </c>
      <c r="T395" s="129">
        <f t="shared" ca="1" si="636"/>
        <v>0</v>
      </c>
      <c r="U395" s="129">
        <f t="shared" ca="1" si="636"/>
        <v>0</v>
      </c>
      <c r="V395" s="129">
        <f t="shared" ca="1" si="636"/>
        <v>0</v>
      </c>
      <c r="W395" s="129">
        <f t="shared" ca="1" si="636"/>
        <v>0</v>
      </c>
      <c r="X395" s="129">
        <f t="shared" ca="1" si="636"/>
        <v>0</v>
      </c>
      <c r="Y395" s="129">
        <f t="shared" ca="1" si="636"/>
        <v>0</v>
      </c>
      <c r="Z395" s="129">
        <f t="shared" ca="1" si="636"/>
        <v>0</v>
      </c>
    </row>
    <row r="397" spans="2:26" ht="15.5">
      <c r="B397" s="37" t="s">
        <v>579</v>
      </c>
      <c r="C397" s="38"/>
      <c r="D397" s="38"/>
      <c r="E397" s="38"/>
      <c r="F397" s="136">
        <f>+F357</f>
        <v>44561</v>
      </c>
      <c r="G397" s="136">
        <f t="shared" ref="G397:Z397" si="637">+G357</f>
        <v>44926</v>
      </c>
      <c r="H397" s="136">
        <f t="shared" si="637"/>
        <v>45291</v>
      </c>
      <c r="I397" s="136">
        <f t="shared" si="637"/>
        <v>45657</v>
      </c>
      <c r="J397" s="136">
        <f t="shared" si="637"/>
        <v>46022</v>
      </c>
      <c r="K397" s="136">
        <f t="shared" si="637"/>
        <v>46387</v>
      </c>
      <c r="L397" s="136">
        <f t="shared" si="637"/>
        <v>46752</v>
      </c>
      <c r="M397" s="136">
        <f t="shared" si="637"/>
        <v>47118</v>
      </c>
      <c r="N397" s="136">
        <f t="shared" si="637"/>
        <v>47483</v>
      </c>
      <c r="O397" s="136">
        <f t="shared" si="637"/>
        <v>47848</v>
      </c>
      <c r="P397" s="136">
        <f t="shared" si="637"/>
        <v>48213</v>
      </c>
      <c r="Q397" s="136">
        <f t="shared" si="637"/>
        <v>48579</v>
      </c>
      <c r="R397" s="136">
        <f t="shared" si="637"/>
        <v>48944</v>
      </c>
      <c r="S397" s="136">
        <f t="shared" si="637"/>
        <v>49309</v>
      </c>
      <c r="T397" s="136">
        <f t="shared" si="637"/>
        <v>49674</v>
      </c>
      <c r="U397" s="136">
        <f t="shared" si="637"/>
        <v>50040</v>
      </c>
      <c r="V397" s="136">
        <f t="shared" si="637"/>
        <v>50405</v>
      </c>
      <c r="W397" s="136">
        <f t="shared" si="637"/>
        <v>50770</v>
      </c>
      <c r="X397" s="136">
        <f t="shared" si="637"/>
        <v>51135</v>
      </c>
      <c r="Y397" s="136">
        <f t="shared" si="637"/>
        <v>51501</v>
      </c>
      <c r="Z397" s="136">
        <f t="shared" si="637"/>
        <v>51866</v>
      </c>
    </row>
    <row r="398" spans="2:26" ht="15.5">
      <c r="B398" s="119"/>
    </row>
    <row r="399" spans="2:26" ht="15.5">
      <c r="B399" s="148" t="s">
        <v>589</v>
      </c>
      <c r="F399" s="148">
        <v>0</v>
      </c>
      <c r="G399" s="148">
        <f>+F399+1</f>
        <v>1</v>
      </c>
      <c r="H399" s="148">
        <f t="shared" ref="H399" si="638">+G399+1</f>
        <v>2</v>
      </c>
      <c r="I399" s="148">
        <f t="shared" ref="I399" si="639">+H399+1</f>
        <v>3</v>
      </c>
      <c r="J399" s="148">
        <f t="shared" ref="J399" si="640">+I399+1</f>
        <v>4</v>
      </c>
      <c r="K399" s="148">
        <f t="shared" ref="K399" si="641">+J399+1</f>
        <v>5</v>
      </c>
      <c r="L399" s="148">
        <f t="shared" ref="L399" si="642">+K399+1</f>
        <v>6</v>
      </c>
      <c r="M399" s="148">
        <f t="shared" ref="M399" si="643">+L399+1</f>
        <v>7</v>
      </c>
      <c r="N399" s="148">
        <f t="shared" ref="N399" si="644">+M399+1</f>
        <v>8</v>
      </c>
      <c r="O399" s="148">
        <f t="shared" ref="O399" si="645">+N399+1</f>
        <v>9</v>
      </c>
      <c r="P399" s="148">
        <f t="shared" ref="P399" si="646">+O399+1</f>
        <v>10</v>
      </c>
      <c r="Q399" s="148">
        <f t="shared" ref="Q399" si="647">+P399+1</f>
        <v>11</v>
      </c>
      <c r="R399" s="148">
        <f t="shared" ref="R399" si="648">+Q399+1</f>
        <v>12</v>
      </c>
      <c r="S399" s="148">
        <f t="shared" ref="S399" si="649">+R399+1</f>
        <v>13</v>
      </c>
      <c r="T399" s="148">
        <f t="shared" ref="T399" si="650">+S399+1</f>
        <v>14</v>
      </c>
      <c r="U399" s="148">
        <f t="shared" ref="U399" si="651">+T399+1</f>
        <v>15</v>
      </c>
      <c r="V399" s="148">
        <f t="shared" ref="V399" si="652">+U399+1</f>
        <v>16</v>
      </c>
      <c r="W399" s="148">
        <f t="shared" ref="W399" si="653">+V399+1</f>
        <v>17</v>
      </c>
      <c r="X399" s="148">
        <f t="shared" ref="X399" si="654">+W399+1</f>
        <v>18</v>
      </c>
      <c r="Y399" s="148">
        <f t="shared" ref="Y399" si="655">+X399+1</f>
        <v>19</v>
      </c>
      <c r="Z399" s="148">
        <f t="shared" ref="Z399" si="656">+Y399+1</f>
        <v>20</v>
      </c>
    </row>
    <row r="400" spans="2:26" ht="15.5">
      <c r="B400" s="33" t="s">
        <v>380</v>
      </c>
      <c r="D400" s="48"/>
      <c r="E400" s="48"/>
      <c r="F400" s="34">
        <f ca="1">+F$307</f>
        <v>-62857885.033285916</v>
      </c>
      <c r="G400" s="34">
        <f t="shared" ref="G400:Z400" ca="1" si="657">+G$307</f>
        <v>-24631104.335272372</v>
      </c>
      <c r="H400" s="34">
        <f t="shared" ca="1" si="657"/>
        <v>0</v>
      </c>
      <c r="I400" s="34">
        <f t="shared" ca="1" si="657"/>
        <v>0</v>
      </c>
      <c r="J400" s="34">
        <f t="shared" ca="1" si="657"/>
        <v>0</v>
      </c>
      <c r="K400" s="34">
        <f t="shared" ca="1" si="657"/>
        <v>0</v>
      </c>
      <c r="L400" s="34">
        <f t="shared" ca="1" si="657"/>
        <v>0</v>
      </c>
      <c r="M400" s="34">
        <f t="shared" ca="1" si="657"/>
        <v>0</v>
      </c>
      <c r="N400" s="34">
        <f t="shared" ca="1" si="657"/>
        <v>0</v>
      </c>
      <c r="O400" s="34">
        <f t="shared" ca="1" si="657"/>
        <v>0</v>
      </c>
      <c r="P400" s="34">
        <f t="shared" ca="1" si="657"/>
        <v>0</v>
      </c>
      <c r="Q400" s="34">
        <f t="shared" ca="1" si="657"/>
        <v>0</v>
      </c>
      <c r="R400" s="34">
        <f t="shared" ca="1" si="657"/>
        <v>0</v>
      </c>
      <c r="S400" s="34">
        <f t="shared" ca="1" si="657"/>
        <v>0</v>
      </c>
      <c r="T400" s="34">
        <f t="shared" ca="1" si="657"/>
        <v>0</v>
      </c>
      <c r="U400" s="34">
        <f t="shared" ca="1" si="657"/>
        <v>0</v>
      </c>
      <c r="V400" s="34">
        <f t="shared" ca="1" si="657"/>
        <v>0</v>
      </c>
      <c r="W400" s="34">
        <f t="shared" ca="1" si="657"/>
        <v>0</v>
      </c>
      <c r="X400" s="34">
        <f t="shared" ca="1" si="657"/>
        <v>0</v>
      </c>
      <c r="Y400" s="34">
        <f t="shared" ca="1" si="657"/>
        <v>0</v>
      </c>
      <c r="Z400" s="34">
        <f t="shared" ca="1" si="657"/>
        <v>0</v>
      </c>
    </row>
    <row r="401" spans="2:26" ht="15.5">
      <c r="B401" s="33" t="s">
        <v>398</v>
      </c>
      <c r="D401" s="48"/>
      <c r="E401" s="48"/>
      <c r="F401" s="151">
        <v>0</v>
      </c>
      <c r="G401" s="151">
        <v>0</v>
      </c>
      <c r="H401" s="151">
        <v>0</v>
      </c>
      <c r="I401" s="151">
        <v>0</v>
      </c>
      <c r="J401" s="151">
        <v>0</v>
      </c>
      <c r="K401" s="151">
        <v>0</v>
      </c>
      <c r="L401" s="151">
        <v>0</v>
      </c>
      <c r="M401" s="151">
        <v>0</v>
      </c>
      <c r="N401" s="151">
        <v>0</v>
      </c>
      <c r="O401" s="151">
        <v>0</v>
      </c>
      <c r="P401" s="151">
        <v>0</v>
      </c>
      <c r="Q401" s="151">
        <v>0</v>
      </c>
      <c r="R401" s="151">
        <v>0</v>
      </c>
      <c r="S401" s="151">
        <v>0</v>
      </c>
      <c r="T401" s="151">
        <v>0</v>
      </c>
      <c r="U401" s="151">
        <v>0</v>
      </c>
      <c r="V401" s="151">
        <v>0</v>
      </c>
      <c r="W401" s="151">
        <v>0</v>
      </c>
      <c r="X401" s="151">
        <v>0</v>
      </c>
      <c r="Y401" s="151">
        <v>0</v>
      </c>
      <c r="Z401" s="151">
        <v>0</v>
      </c>
    </row>
    <row r="402" spans="2:26" ht="15.5">
      <c r="B402" s="33" t="s">
        <v>399</v>
      </c>
      <c r="D402" s="48"/>
      <c r="E402" s="48"/>
      <c r="F402" s="151">
        <v>0</v>
      </c>
      <c r="G402" s="151">
        <v>0</v>
      </c>
      <c r="H402" s="151">
        <v>0</v>
      </c>
      <c r="I402" s="151">
        <v>0</v>
      </c>
      <c r="J402" s="151">
        <v>0</v>
      </c>
      <c r="K402" s="151">
        <v>0</v>
      </c>
      <c r="L402" s="151">
        <v>0</v>
      </c>
      <c r="M402" s="151">
        <v>0</v>
      </c>
      <c r="N402" s="151">
        <v>0</v>
      </c>
      <c r="O402" s="151">
        <v>0</v>
      </c>
      <c r="P402" s="151">
        <v>0</v>
      </c>
      <c r="Q402" s="151">
        <v>0</v>
      </c>
      <c r="R402" s="151">
        <v>0</v>
      </c>
      <c r="S402" s="151">
        <v>0</v>
      </c>
      <c r="T402" s="151">
        <v>0</v>
      </c>
      <c r="U402" s="151">
        <v>0</v>
      </c>
      <c r="V402" s="151">
        <v>0</v>
      </c>
      <c r="W402" s="151">
        <v>0</v>
      </c>
      <c r="X402" s="151">
        <v>0</v>
      </c>
      <c r="Y402" s="151">
        <v>0</v>
      </c>
      <c r="Z402" s="151">
        <v>0</v>
      </c>
    </row>
    <row r="403" spans="2:26" ht="15.5">
      <c r="B403" s="33" t="s">
        <v>584</v>
      </c>
      <c r="D403" s="48"/>
      <c r="E403" s="48"/>
      <c r="F403" s="151">
        <f ca="1">-SUM(F430:F431)*Assumptions!$M$192</f>
        <v>0</v>
      </c>
      <c r="G403" s="151">
        <f ca="1">-SUM(G430:G431)*Assumptions!$M$192</f>
        <v>0</v>
      </c>
      <c r="H403" s="151">
        <f ca="1">-SUM(H430:H431)*Assumptions!$M$192</f>
        <v>0</v>
      </c>
      <c r="I403" s="151">
        <f ca="1">-SUM(I430:I431)*Assumptions!$M$192</f>
        <v>796502.72176882415</v>
      </c>
      <c r="J403" s="151">
        <f ca="1">-SUM(J430:J431)*Assumptions!$M$192</f>
        <v>-434648.08455975988</v>
      </c>
      <c r="K403" s="151">
        <f ca="1">-SUM(K430:K431)*Assumptions!$M$192</f>
        <v>-536812.67585947749</v>
      </c>
      <c r="L403" s="151">
        <f ca="1">-SUM(L430:L431)*Assumptions!$M$192</f>
        <v>-1158901.6528760067</v>
      </c>
      <c r="M403" s="151">
        <f ca="1">-SUM(M430:M431)*Assumptions!$M$192</f>
        <v>-1258358.1425700937</v>
      </c>
      <c r="N403" s="151">
        <f ca="1">-SUM(N430:N431)*Assumptions!$M$192</f>
        <v>-1374478.0321893739</v>
      </c>
      <c r="O403" s="151">
        <f ca="1">-SUM(O430:O431)*Assumptions!$M$192</f>
        <v>-1495777.0081456639</v>
      </c>
      <c r="P403" s="151">
        <f ca="1">-SUM(P430:P431)*Assumptions!$M$192</f>
        <v>-1610552.5670052855</v>
      </c>
      <c r="Q403" s="151">
        <f>-SUM(Q430:Q431)*Assumptions!$M$192</f>
        <v>0</v>
      </c>
      <c r="R403" s="151">
        <f>-SUM(R430:R431)*Assumptions!$M$192</f>
        <v>0</v>
      </c>
      <c r="S403" s="151">
        <f>-SUM(S430:S431)*Assumptions!$M$192</f>
        <v>0</v>
      </c>
      <c r="T403" s="151">
        <f>-SUM(T430:T431)*Assumptions!$M$192</f>
        <v>0</v>
      </c>
      <c r="U403" s="151">
        <f>-SUM(U430:U431)*Assumptions!$M$192</f>
        <v>0</v>
      </c>
      <c r="V403" s="151">
        <f>-SUM(V430:V431)*Assumptions!$M$192</f>
        <v>0</v>
      </c>
      <c r="W403" s="151">
        <f>-SUM(W430:W431)*Assumptions!$M$192</f>
        <v>0</v>
      </c>
      <c r="X403" s="151">
        <f>-SUM(X430:X431)*Assumptions!$M$192</f>
        <v>0</v>
      </c>
      <c r="Y403" s="151">
        <f>-SUM(Y430:Y431)*Assumptions!$M$192</f>
        <v>0</v>
      </c>
      <c r="Z403" s="151">
        <f>-SUM(Z430:Z431)*Assumptions!$M$192</f>
        <v>0</v>
      </c>
    </row>
    <row r="404" spans="2:26" ht="15.5">
      <c r="B404" s="33" t="s">
        <v>586</v>
      </c>
      <c r="D404" s="48"/>
      <c r="E404" s="48"/>
      <c r="F404" s="151">
        <f ca="1">+IF(YEAR(F$140)&lt;=YEAR(Assumptions!$F$30),F267+F222+F152,0)</f>
        <v>0</v>
      </c>
      <c r="G404" s="151">
        <f ca="1">+IF(YEAR(G$140)&lt;=YEAR(Assumptions!$F$30),G267+G222+G152,0)</f>
        <v>0</v>
      </c>
      <c r="H404" s="151">
        <f ca="1">+IF(YEAR(H$140)&lt;=YEAR(Assumptions!$F$30),H267+H222+H152,0)</f>
        <v>0</v>
      </c>
      <c r="I404" s="151">
        <f ca="1">+IF(YEAR(I$140)&lt;=YEAR(Assumptions!$F$30),I267+I222+I152,0)</f>
        <v>-10655194.626098109</v>
      </c>
      <c r="J404" s="151">
        <f ca="1">+IF(YEAR(J$140)&lt;=YEAR(Assumptions!$F$30),J267+J222+J152,0)</f>
        <v>9576755.7472895402</v>
      </c>
      <c r="K404" s="151">
        <f ca="1">+IF(YEAR(K$140)&lt;=YEAR(Assumptions!$F$30),K267+K222+K152,0)</f>
        <v>9808367.275763236</v>
      </c>
      <c r="L404" s="151">
        <f ca="1">+IF(YEAR(L$140)&lt;=YEAR(Assumptions!$F$30),L267+L222+L152,0)</f>
        <v>12499241.588265486</v>
      </c>
      <c r="M404" s="151">
        <f ca="1">+IF(YEAR(M$140)&lt;=YEAR(Assumptions!$F$30),M267+M222+M152,0)</f>
        <v>12683745.250944594</v>
      </c>
      <c r="N404" s="151">
        <f ca="1">+IF(YEAR(N$140)&lt;=YEAR(Assumptions!$F$30),N267+N222+N152,0)</f>
        <v>12928807.02357916</v>
      </c>
      <c r="O404" s="151">
        <f ca="1">+IF(YEAR(O$140)&lt;=YEAR(Assumptions!$F$30),O267+O222+O152,0)</f>
        <v>13178518.25672905</v>
      </c>
      <c r="P404" s="151">
        <f ca="1">+IF(YEAR(P$140)&lt;=YEAR(Assumptions!$F$30),P267+P222+P152,0)</f>
        <v>13375851.907967847</v>
      </c>
      <c r="Q404" s="151">
        <f>+IF(YEAR(Q$140)&lt;=YEAR(Assumptions!$F$30),Q267+Q222+Q152,0)</f>
        <v>0</v>
      </c>
      <c r="R404" s="151">
        <f>+IF(YEAR(R$140)&lt;=YEAR(Assumptions!$F$30),R267+R222+R152,0)</f>
        <v>0</v>
      </c>
      <c r="S404" s="151">
        <f>+IF(YEAR(S$140)&lt;=YEAR(Assumptions!$F$30),S267+S222+S152,0)</f>
        <v>0</v>
      </c>
      <c r="T404" s="151">
        <f>+IF(YEAR(T$140)&lt;=YEAR(Assumptions!$F$30),T267+T222+T152,0)</f>
        <v>0</v>
      </c>
      <c r="U404" s="151">
        <f>+IF(YEAR(U$140)&lt;=YEAR(Assumptions!$F$30),U267+U222+U152,0)</f>
        <v>0</v>
      </c>
      <c r="V404" s="151">
        <f>+IF(YEAR(V$140)&lt;=YEAR(Assumptions!$F$30),V267+V222+V152,0)</f>
        <v>0</v>
      </c>
      <c r="W404" s="151">
        <f>+IF(YEAR(W$140)&lt;=YEAR(Assumptions!$F$30),W267+W222+W152,0)</f>
        <v>0</v>
      </c>
      <c r="X404" s="151">
        <f>+IF(YEAR(X$140)&lt;=YEAR(Assumptions!$F$30),X267+X222+X152,0)</f>
        <v>0</v>
      </c>
      <c r="Y404" s="151">
        <f>+IF(YEAR(Y$140)&lt;=YEAR(Assumptions!$F$30),Y267+Y222+Y152,0)</f>
        <v>0</v>
      </c>
      <c r="Z404" s="151">
        <f>+IF(YEAR(Z$140)&lt;=YEAR(Assumptions!$F$30),Z267+Z222+Z152,0)</f>
        <v>0</v>
      </c>
    </row>
    <row r="405" spans="2:26" ht="15.5">
      <c r="B405" s="33" t="s">
        <v>585</v>
      </c>
      <c r="D405" s="48"/>
      <c r="E405" s="48"/>
      <c r="F405" s="151">
        <f>-IF(YEAR(F$140)&lt;=YEAR(Assumptions!$F$30),F433,0)</f>
        <v>0</v>
      </c>
      <c r="G405" s="151">
        <f>-IF(YEAR(G$140)&lt;=YEAR(Assumptions!$F$30),G433,0)</f>
        <v>0</v>
      </c>
      <c r="H405" s="151">
        <f>-IF(YEAR(H$140)&lt;=YEAR(Assumptions!$F$30),H433,0)</f>
        <v>0</v>
      </c>
      <c r="I405" s="151">
        <f ca="1">-IF(YEAR(I$140)&lt;=YEAR(Assumptions!$F$30),I433,0)</f>
        <v>82322952.138226867</v>
      </c>
      <c r="J405" s="151">
        <f>-IF(YEAR(J$140)&lt;=YEAR(Assumptions!$F$30),J433,0)</f>
        <v>0</v>
      </c>
      <c r="K405" s="151">
        <f>-IF(YEAR(K$140)&lt;=YEAR(Assumptions!$F$30),K433,0)</f>
        <v>0</v>
      </c>
      <c r="L405" s="151">
        <f>-IF(YEAR(L$140)&lt;=YEAR(Assumptions!$F$30),L433,0)</f>
        <v>0</v>
      </c>
      <c r="M405" s="151">
        <f>-IF(YEAR(M$140)&lt;=YEAR(Assumptions!$F$30),M433,0)</f>
        <v>0</v>
      </c>
      <c r="N405" s="151">
        <f>-IF(YEAR(N$140)&lt;=YEAR(Assumptions!$F$30),N433,0)</f>
        <v>0</v>
      </c>
      <c r="O405" s="151">
        <f>-IF(YEAR(O$140)&lt;=YEAR(Assumptions!$F$30),O433,0)</f>
        <v>0</v>
      </c>
      <c r="P405" s="151">
        <f ca="1">-IF(YEAR(P$140)&lt;=YEAR(Assumptions!$F$30),P433,0)</f>
        <v>293246901.79444385</v>
      </c>
      <c r="Q405" s="151">
        <f>-IF(YEAR(Q$140)&lt;=YEAR(Assumptions!$F$30),Q433,0)</f>
        <v>0</v>
      </c>
      <c r="R405" s="151">
        <f>-IF(YEAR(R$140)&lt;=YEAR(Assumptions!$F$30),R433,0)</f>
        <v>0</v>
      </c>
      <c r="S405" s="151">
        <f>-IF(YEAR(S$140)&lt;=YEAR(Assumptions!$F$30),S433,0)</f>
        <v>0</v>
      </c>
      <c r="T405" s="151">
        <f>-IF(YEAR(T$140)&lt;=YEAR(Assumptions!$F$30),T433,0)</f>
        <v>0</v>
      </c>
      <c r="U405" s="151">
        <f>-IF(YEAR(U$140)&lt;=YEAR(Assumptions!$F$30),U433,0)</f>
        <v>0</v>
      </c>
      <c r="V405" s="151">
        <f>-IF(YEAR(V$140)&lt;=YEAR(Assumptions!$F$30),V433,0)</f>
        <v>0</v>
      </c>
      <c r="W405" s="151">
        <f>-IF(YEAR(W$140)&lt;=YEAR(Assumptions!$F$30),W433,0)</f>
        <v>0</v>
      </c>
      <c r="X405" s="151">
        <f>-IF(YEAR(X$140)&lt;=YEAR(Assumptions!$F$30),X433,0)</f>
        <v>0</v>
      </c>
      <c r="Y405" s="151">
        <f>-IF(YEAR(Y$140)&lt;=YEAR(Assumptions!$F$30),Y433,0)</f>
        <v>0</v>
      </c>
      <c r="Z405" s="151">
        <f>-IF(YEAR(Z$140)&lt;=YEAR(Assumptions!$F$30),Z433,0)</f>
        <v>0</v>
      </c>
    </row>
    <row r="406" spans="2:26" ht="15.5">
      <c r="B406" s="33" t="s">
        <v>397</v>
      </c>
      <c r="D406" s="48"/>
      <c r="E406" s="48"/>
      <c r="F406" s="151">
        <f>-F434*Assumptions!$M$192</f>
        <v>0</v>
      </c>
      <c r="G406" s="151">
        <f>-G434*Assumptions!$M$192</f>
        <v>0</v>
      </c>
      <c r="H406" s="151">
        <f>-H434*Assumptions!$M$192</f>
        <v>0</v>
      </c>
      <c r="I406" s="151">
        <f>-I434*Assumptions!$M$192</f>
        <v>0</v>
      </c>
      <c r="J406" s="151">
        <f>-J434*Assumptions!$M$192</f>
        <v>0</v>
      </c>
      <c r="K406" s="151">
        <f>-K434*Assumptions!$M$192</f>
        <v>0</v>
      </c>
      <c r="L406" s="151">
        <f>-L434*Assumptions!$M$192</f>
        <v>0</v>
      </c>
      <c r="M406" s="151">
        <f>-M434*Assumptions!$M$192</f>
        <v>0</v>
      </c>
      <c r="N406" s="151">
        <f>-N434*Assumptions!$M$192</f>
        <v>0</v>
      </c>
      <c r="O406" s="151">
        <f>-O434*Assumptions!$M$192</f>
        <v>0</v>
      </c>
      <c r="P406" s="151">
        <f ca="1">-P434*Assumptions!$M$192</f>
        <v>-68837135.526159346</v>
      </c>
      <c r="Q406" s="151">
        <f>-Q434*Assumptions!$M$192</f>
        <v>0</v>
      </c>
      <c r="R406" s="151">
        <f>-R434*Assumptions!$M$192</f>
        <v>0</v>
      </c>
      <c r="S406" s="151">
        <f>-S434*Assumptions!$M$192</f>
        <v>0</v>
      </c>
      <c r="T406" s="151">
        <f>-T434*Assumptions!$M$192</f>
        <v>0</v>
      </c>
      <c r="U406" s="151">
        <f>-U434*Assumptions!$M$192</f>
        <v>0</v>
      </c>
      <c r="V406" s="151">
        <f>-V434*Assumptions!$M$192</f>
        <v>0</v>
      </c>
      <c r="W406" s="151">
        <f>-W434*Assumptions!$M$192</f>
        <v>0</v>
      </c>
      <c r="X406" s="151">
        <f>-X434*Assumptions!$M$192</f>
        <v>0</v>
      </c>
      <c r="Y406" s="151">
        <f>-Y434*Assumptions!$M$192</f>
        <v>0</v>
      </c>
      <c r="Z406" s="151">
        <f>-Z434*Assumptions!$M$192</f>
        <v>0</v>
      </c>
    </row>
    <row r="407" spans="2:26" ht="15.5">
      <c r="B407" s="138" t="s">
        <v>389</v>
      </c>
      <c r="C407" s="138"/>
      <c r="D407" s="139">
        <f t="shared" ref="D407" ca="1" si="658">+SUM(F407:Z407)</f>
        <v>285566796.02095699</v>
      </c>
      <c r="E407" s="139"/>
      <c r="F407" s="139">
        <f t="shared" ref="F407:Z407" ca="1" si="659">+SUM(F400:F406)</f>
        <v>-62857885.033285916</v>
      </c>
      <c r="G407" s="139">
        <f t="shared" ca="1" si="659"/>
        <v>-24631104.335272372</v>
      </c>
      <c r="H407" s="139">
        <f t="shared" ca="1" si="659"/>
        <v>0</v>
      </c>
      <c r="I407" s="139">
        <f t="shared" ca="1" si="659"/>
        <v>72464260.233897582</v>
      </c>
      <c r="J407" s="139">
        <f t="shared" ca="1" si="659"/>
        <v>9142107.6627297811</v>
      </c>
      <c r="K407" s="139">
        <f t="shared" ca="1" si="659"/>
        <v>9271554.5999037586</v>
      </c>
      <c r="L407" s="139">
        <f t="shared" ca="1" si="659"/>
        <v>11340339.93538948</v>
      </c>
      <c r="M407" s="139">
        <f t="shared" ca="1" si="659"/>
        <v>11425387.108374501</v>
      </c>
      <c r="N407" s="139">
        <f t="shared" ca="1" si="659"/>
        <v>11554328.991389785</v>
      </c>
      <c r="O407" s="139">
        <f t="shared" ca="1" si="659"/>
        <v>11682741.248583386</v>
      </c>
      <c r="P407" s="139">
        <f t="shared" ca="1" si="659"/>
        <v>236175065.60924709</v>
      </c>
      <c r="Q407" s="139">
        <f t="shared" ca="1" si="659"/>
        <v>0</v>
      </c>
      <c r="R407" s="139">
        <f t="shared" ca="1" si="659"/>
        <v>0</v>
      </c>
      <c r="S407" s="139">
        <f t="shared" ca="1" si="659"/>
        <v>0</v>
      </c>
      <c r="T407" s="139">
        <f t="shared" ca="1" si="659"/>
        <v>0</v>
      </c>
      <c r="U407" s="139">
        <f t="shared" ca="1" si="659"/>
        <v>0</v>
      </c>
      <c r="V407" s="139">
        <f t="shared" ca="1" si="659"/>
        <v>0</v>
      </c>
      <c r="W407" s="139">
        <f t="shared" ca="1" si="659"/>
        <v>0</v>
      </c>
      <c r="X407" s="139">
        <f t="shared" ca="1" si="659"/>
        <v>0</v>
      </c>
      <c r="Y407" s="139">
        <f t="shared" ca="1" si="659"/>
        <v>0</v>
      </c>
      <c r="Z407" s="139">
        <f t="shared" ca="1" si="659"/>
        <v>0</v>
      </c>
    </row>
    <row r="408" spans="2:26" ht="15.5">
      <c r="B408" s="119"/>
    </row>
    <row r="409" spans="2:26" ht="15.5">
      <c r="B409" s="226" t="s">
        <v>587</v>
      </c>
      <c r="C409" s="226"/>
      <c r="D409" s="227">
        <f ca="1">+IRR(F407:Z407)</f>
        <v>0.23790173922546276</v>
      </c>
      <c r="F409" s="544"/>
      <c r="G409" s="34"/>
    </row>
    <row r="410" spans="2:26" ht="15.5">
      <c r="B410" s="119"/>
      <c r="D410" s="108"/>
    </row>
    <row r="411" spans="2:26" ht="15.5">
      <c r="B411" s="148" t="s">
        <v>588</v>
      </c>
      <c r="F411" s="148">
        <f>+F399</f>
        <v>0</v>
      </c>
      <c r="G411" s="148">
        <f t="shared" ref="G411:Z411" si="660">+G399</f>
        <v>1</v>
      </c>
      <c r="H411" s="148">
        <f t="shared" si="660"/>
        <v>2</v>
      </c>
      <c r="I411" s="148">
        <f t="shared" si="660"/>
        <v>3</v>
      </c>
      <c r="J411" s="148">
        <f t="shared" si="660"/>
        <v>4</v>
      </c>
      <c r="K411" s="148">
        <f t="shared" si="660"/>
        <v>5</v>
      </c>
      <c r="L411" s="148">
        <f t="shared" si="660"/>
        <v>6</v>
      </c>
      <c r="M411" s="148">
        <f t="shared" si="660"/>
        <v>7</v>
      </c>
      <c r="N411" s="148">
        <f t="shared" si="660"/>
        <v>8</v>
      </c>
      <c r="O411" s="148">
        <f t="shared" si="660"/>
        <v>9</v>
      </c>
      <c r="P411" s="148">
        <f t="shared" si="660"/>
        <v>10</v>
      </c>
      <c r="Q411" s="148">
        <f t="shared" si="660"/>
        <v>11</v>
      </c>
      <c r="R411" s="148">
        <f t="shared" si="660"/>
        <v>12</v>
      </c>
      <c r="S411" s="148">
        <f t="shared" si="660"/>
        <v>13</v>
      </c>
      <c r="T411" s="148">
        <f t="shared" si="660"/>
        <v>14</v>
      </c>
      <c r="U411" s="148">
        <f t="shared" si="660"/>
        <v>15</v>
      </c>
      <c r="V411" s="148">
        <f t="shared" si="660"/>
        <v>16</v>
      </c>
      <c r="W411" s="148">
        <f t="shared" si="660"/>
        <v>17</v>
      </c>
      <c r="X411" s="148">
        <f t="shared" si="660"/>
        <v>18</v>
      </c>
      <c r="Y411" s="148">
        <f t="shared" si="660"/>
        <v>19</v>
      </c>
      <c r="Z411" s="148">
        <f t="shared" si="660"/>
        <v>20</v>
      </c>
    </row>
    <row r="412" spans="2:26" ht="15.5">
      <c r="B412" s="33" t="s">
        <v>380</v>
      </c>
      <c r="D412" s="48"/>
      <c r="E412" s="48"/>
      <c r="F412" s="34">
        <f ca="1">+F400</f>
        <v>-62857885.033285916</v>
      </c>
      <c r="G412" s="34">
        <f t="shared" ref="G412:Z412" ca="1" si="661">+G400</f>
        <v>-24631104.335272372</v>
      </c>
      <c r="H412" s="34">
        <f t="shared" ca="1" si="661"/>
        <v>0</v>
      </c>
      <c r="I412" s="34">
        <f t="shared" ca="1" si="661"/>
        <v>0</v>
      </c>
      <c r="J412" s="34">
        <f t="shared" ca="1" si="661"/>
        <v>0</v>
      </c>
      <c r="K412" s="34">
        <f t="shared" ca="1" si="661"/>
        <v>0</v>
      </c>
      <c r="L412" s="34">
        <f t="shared" ca="1" si="661"/>
        <v>0</v>
      </c>
      <c r="M412" s="34">
        <f t="shared" ca="1" si="661"/>
        <v>0</v>
      </c>
      <c r="N412" s="34">
        <f t="shared" ca="1" si="661"/>
        <v>0</v>
      </c>
      <c r="O412" s="34">
        <f t="shared" ca="1" si="661"/>
        <v>0</v>
      </c>
      <c r="P412" s="34">
        <f t="shared" ca="1" si="661"/>
        <v>0</v>
      </c>
      <c r="Q412" s="34">
        <f t="shared" ca="1" si="661"/>
        <v>0</v>
      </c>
      <c r="R412" s="34">
        <f t="shared" ca="1" si="661"/>
        <v>0</v>
      </c>
      <c r="S412" s="34">
        <f t="shared" ca="1" si="661"/>
        <v>0</v>
      </c>
      <c r="T412" s="34">
        <f t="shared" ca="1" si="661"/>
        <v>0</v>
      </c>
      <c r="U412" s="34">
        <f t="shared" ca="1" si="661"/>
        <v>0</v>
      </c>
      <c r="V412" s="34">
        <f t="shared" ca="1" si="661"/>
        <v>0</v>
      </c>
      <c r="W412" s="34">
        <f t="shared" ca="1" si="661"/>
        <v>0</v>
      </c>
      <c r="X412" s="34">
        <f t="shared" ca="1" si="661"/>
        <v>0</v>
      </c>
      <c r="Y412" s="34">
        <f t="shared" ca="1" si="661"/>
        <v>0</v>
      </c>
      <c r="Z412" s="34">
        <f t="shared" ca="1" si="661"/>
        <v>0</v>
      </c>
    </row>
    <row r="413" spans="2:26" ht="15.5">
      <c r="B413" s="33" t="s">
        <v>398</v>
      </c>
      <c r="D413" s="48"/>
      <c r="E413" s="48"/>
      <c r="F413" s="151">
        <f ca="1">-F412*Assumptions!$M$192</f>
        <v>13200155.856990041</v>
      </c>
      <c r="G413" s="151">
        <f ca="1">-G412*Assumptions!$M$192</f>
        <v>5172531.9104071977</v>
      </c>
      <c r="H413" s="151">
        <f ca="1">-H412*Assumptions!$M$192</f>
        <v>0</v>
      </c>
      <c r="I413" s="151">
        <f ca="1">-I412*Assumptions!$M$192</f>
        <v>0</v>
      </c>
      <c r="J413" s="151">
        <f ca="1">-J412*Assumptions!$M$192</f>
        <v>0</v>
      </c>
      <c r="K413" s="151">
        <f ca="1">-K412*Assumptions!$M$192</f>
        <v>0</v>
      </c>
      <c r="L413" s="151">
        <f ca="1">-L412*Assumptions!$M$192</f>
        <v>0</v>
      </c>
      <c r="M413" s="151">
        <f ca="1">-M412*Assumptions!$M$192</f>
        <v>0</v>
      </c>
      <c r="N413" s="151">
        <f ca="1">-N412*Assumptions!$M$192</f>
        <v>0</v>
      </c>
      <c r="O413" s="151">
        <f ca="1">-O412*Assumptions!$M$192</f>
        <v>0</v>
      </c>
      <c r="P413" s="151">
        <f ca="1">-P412*Assumptions!$M$192</f>
        <v>0</v>
      </c>
      <c r="Q413" s="151">
        <f ca="1">-Q412*Assumptions!$M$192</f>
        <v>0</v>
      </c>
      <c r="R413" s="151">
        <f ca="1">-R412*Assumptions!$M$192</f>
        <v>0</v>
      </c>
      <c r="S413" s="151">
        <f ca="1">-S412*Assumptions!$M$192</f>
        <v>0</v>
      </c>
      <c r="T413" s="151">
        <f ca="1">-T412*Assumptions!$M$192</f>
        <v>0</v>
      </c>
      <c r="U413" s="151">
        <f ca="1">-U412*Assumptions!$M$192</f>
        <v>0</v>
      </c>
      <c r="V413" s="151">
        <f ca="1">-V412*Assumptions!$M$192</f>
        <v>0</v>
      </c>
      <c r="W413" s="151">
        <f ca="1">-W412*Assumptions!$M$192</f>
        <v>0</v>
      </c>
      <c r="X413" s="151">
        <f ca="1">-X412*Assumptions!$M$192</f>
        <v>0</v>
      </c>
      <c r="Y413" s="151">
        <f ca="1">-Y412*Assumptions!$M$192</f>
        <v>0</v>
      </c>
      <c r="Z413" s="151">
        <f ca="1">-Z412*Assumptions!$M$192</f>
        <v>0</v>
      </c>
    </row>
    <row r="414" spans="2:26" ht="15.5">
      <c r="B414" s="33" t="s">
        <v>399</v>
      </c>
      <c r="D414" s="48"/>
      <c r="E414" s="48"/>
      <c r="F414" s="151">
        <f ca="1">IFERROR(-IF(YEAR(F397)&lt;MIN(YEAR(Assumptions!$F$30),2026),(OFFSET('Phase I Pro Forma'!F413,0,-10)),IF(YEAR(F397)=MIN(YEAR(Assumptions!$F$30),2026),SUM('Phase I Pro Forma'!$E$413:F$413)-SUM('Phase I Pro Forma'!$E$414:E$414),0)),0)</f>
        <v>0</v>
      </c>
      <c r="G414" s="151">
        <f ca="1">IFERROR(-IF(YEAR(G397)&lt;MIN(YEAR(Assumptions!$F$30),2026),(OFFSET('Phase I Pro Forma'!G413,0,-10)),IF(YEAR(G397)=MIN(YEAR(Assumptions!$F$30),2026),SUM('Phase I Pro Forma'!$E$413:G$413)-SUM('Phase I Pro Forma'!$E$414:F$414),0)),0)</f>
        <v>0</v>
      </c>
      <c r="H414" s="151">
        <f ca="1">IFERROR(-IF(YEAR(H397)&lt;MIN(YEAR(Assumptions!$F$30),2026),(OFFSET('Phase I Pro Forma'!H413,0,-10)),IF(YEAR(H397)=MIN(YEAR(Assumptions!$F$30),2026),SUM('Phase I Pro Forma'!$E$413:H$413)-SUM('Phase I Pro Forma'!$E$414:G$414),0)),0)</f>
        <v>0</v>
      </c>
      <c r="I414" s="151">
        <f ca="1">IFERROR(-IF(YEAR(I397)&lt;MIN(YEAR(Assumptions!$F$30),2026),(OFFSET('Phase I Pro Forma'!I413,0,-10)),IF(YEAR(I397)=MIN(YEAR(Assumptions!$F$30),2026),SUM('Phase I Pro Forma'!$E$413:I$413)-SUM('Phase I Pro Forma'!$E$414:H$414),0)),0)</f>
        <v>0</v>
      </c>
      <c r="J414" s="151">
        <f ca="1">IFERROR(-IF(YEAR(J397)&lt;MIN(YEAR(Assumptions!$F$30),2026),(OFFSET('Phase I Pro Forma'!J413,0,-10)),IF(YEAR(J397)=MIN(YEAR(Assumptions!$F$30),2026),SUM('Phase I Pro Forma'!$E$413:J$413)-SUM('Phase I Pro Forma'!$E$414:I$414),0)),0)</f>
        <v>0</v>
      </c>
      <c r="K414" s="151">
        <f ca="1">IFERROR(-IF(YEAR(K397)&lt;MIN(YEAR(Assumptions!$F$30),2026),(OFFSET('Phase I Pro Forma'!K413,0,-10)),IF(YEAR(K397)=MIN(YEAR(Assumptions!$F$30),2026),SUM('Phase I Pro Forma'!$E$413:K$413)-SUM('Phase I Pro Forma'!$E$414:J$414),0)),0)</f>
        <v>-18372687.76739724</v>
      </c>
      <c r="L414" s="151">
        <f ca="1">IFERROR(-IF(YEAR(L397)&lt;MIN(YEAR(Assumptions!$F$30),2026),(OFFSET('Phase I Pro Forma'!L413,0,-10)),IF(YEAR(L397)=MIN(YEAR(Assumptions!$F$30),2026),SUM('Phase I Pro Forma'!$E$413:L$413)-SUM('Phase I Pro Forma'!$E$414:K$414),0)),0)</f>
        <v>0</v>
      </c>
      <c r="M414" s="151">
        <f ca="1">IFERROR(-IF(YEAR(M397)&lt;MIN(YEAR(Assumptions!$F$30),2026),(OFFSET('Phase I Pro Forma'!M413,0,-10)),IF(YEAR(M397)=MIN(YEAR(Assumptions!$F$30),2026),SUM('Phase I Pro Forma'!$E$413:M$413)-SUM('Phase I Pro Forma'!$E$414:L$414),0)),0)</f>
        <v>0</v>
      </c>
      <c r="N414" s="151">
        <f ca="1">IFERROR(-IF(YEAR(N397)&lt;MIN(YEAR(Assumptions!$F$30),2026),(OFFSET('Phase I Pro Forma'!N413,0,-10)),IF(YEAR(N397)=MIN(YEAR(Assumptions!$F$30),2026),SUM('Phase I Pro Forma'!$E$413:N$413)-SUM('Phase I Pro Forma'!$E$414:M$414),0)),0)</f>
        <v>0</v>
      </c>
      <c r="O414" s="151">
        <f ca="1">IFERROR(-IF(YEAR(O397)&lt;MIN(YEAR(Assumptions!$F$30),2026),(OFFSET('Phase I Pro Forma'!O413,0,-10)),IF(YEAR(O397)=MIN(YEAR(Assumptions!$F$30),2026),SUM('Phase I Pro Forma'!$E$413:O$413)-SUM('Phase I Pro Forma'!$E$414:N$414),0)),0)</f>
        <v>0</v>
      </c>
      <c r="P414" s="151">
        <f ca="1">IFERROR(-IF(YEAR(P397)&lt;MIN(YEAR(Assumptions!$F$30),2026),(OFFSET('Phase I Pro Forma'!P413,0,-10)),IF(YEAR(P397)=MIN(YEAR(Assumptions!$F$30),2026),SUM('Phase I Pro Forma'!$E$413:P$413)-SUM('Phase I Pro Forma'!$E$414:O$414),0)),0)</f>
        <v>0</v>
      </c>
      <c r="Q414" s="151">
        <f ca="1">IFERROR(-IF(YEAR(Q397)&lt;MIN(YEAR(Assumptions!$F$30),2026),(OFFSET('Phase I Pro Forma'!Q413,0,-10)),IF(YEAR(Q397)=MIN(YEAR(Assumptions!$F$30),2026),SUM('Phase I Pro Forma'!$E$413:Q$413)-SUM('Phase I Pro Forma'!$E$414:P$414),0)),0)</f>
        <v>0</v>
      </c>
      <c r="R414" s="151">
        <f ca="1">IFERROR(-IF(YEAR(R397)&lt;MIN(YEAR(Assumptions!$F$30),2026),(OFFSET('Phase I Pro Forma'!R413,0,-10)),IF(YEAR(R397)=MIN(YEAR(Assumptions!$F$30),2026),SUM('Phase I Pro Forma'!$E$413:R$413)-SUM('Phase I Pro Forma'!$E$414:Q$414),0)),0)</f>
        <v>0</v>
      </c>
      <c r="S414" s="151">
        <f ca="1">IFERROR(-IF(YEAR(S397)&lt;MIN(YEAR(Assumptions!$F$30),2026),(OFFSET('Phase I Pro Forma'!S413,0,-10)),IF(YEAR(S397)=MIN(YEAR(Assumptions!$F$30),2026),SUM('Phase I Pro Forma'!$E$413:S$413)-SUM('Phase I Pro Forma'!$E$414:R$414),0)),0)</f>
        <v>0</v>
      </c>
      <c r="T414" s="151">
        <f ca="1">IFERROR(-IF(YEAR(T397)&lt;MIN(YEAR(Assumptions!$F$30),2026),(OFFSET('Phase I Pro Forma'!T413,0,-10)),IF(YEAR(T397)=MIN(YEAR(Assumptions!$F$30),2026),SUM('Phase I Pro Forma'!$E$413:T$413)-SUM('Phase I Pro Forma'!$E$414:S$414),0)),0)</f>
        <v>0</v>
      </c>
      <c r="U414" s="151">
        <f ca="1">IFERROR(-IF(YEAR(U397)&lt;MIN(YEAR(Assumptions!$F$30),2026),(OFFSET('Phase I Pro Forma'!U413,0,-10)),IF(YEAR(U397)=MIN(YEAR(Assumptions!$F$30),2026),SUM('Phase I Pro Forma'!$E$413:U$413)-SUM('Phase I Pro Forma'!$E$414:T$414),0)),0)</f>
        <v>0</v>
      </c>
      <c r="V414" s="151">
        <f ca="1">IFERROR(-IF(YEAR(V397)&lt;MIN(YEAR(Assumptions!$F$30),2026),(OFFSET('Phase I Pro Forma'!V413,0,-10)),IF(YEAR(V397)=MIN(YEAR(Assumptions!$F$30),2026),SUM('Phase I Pro Forma'!$E$413:V$413)-SUM('Phase I Pro Forma'!$E$414:U$414),0)),0)</f>
        <v>0</v>
      </c>
      <c r="W414" s="151">
        <f ca="1">IFERROR(-IF(YEAR(W397)&lt;MIN(YEAR(Assumptions!$F$30),2026),(OFFSET('Phase I Pro Forma'!W413,0,-10)),IF(YEAR(W397)=MIN(YEAR(Assumptions!$F$30),2026),SUM('Phase I Pro Forma'!$E$413:W$413)-SUM('Phase I Pro Forma'!$E$414:V$414),0)),0)</f>
        <v>0</v>
      </c>
      <c r="X414" s="151">
        <f ca="1">IFERROR(-IF(YEAR(X397)&lt;MIN(YEAR(Assumptions!$F$30),2026),(OFFSET('Phase I Pro Forma'!X413,0,-10)),IF(YEAR(X397)=MIN(YEAR(Assumptions!$F$30),2026),SUM('Phase I Pro Forma'!$E$413:X$413)-SUM('Phase I Pro Forma'!$E$414:W$414),0)),0)</f>
        <v>0</v>
      </c>
      <c r="Y414" s="151">
        <f ca="1">IFERROR(-IF(YEAR(Y397)&lt;MIN(YEAR(Assumptions!$F$30),2026),(OFFSET('Phase I Pro Forma'!Y413,0,-10)),IF(YEAR(Y397)=MIN(YEAR(Assumptions!$F$30),2026),SUM('Phase I Pro Forma'!$E$413:Y$413)-SUM('Phase I Pro Forma'!$E$414:X$414),0)),0)</f>
        <v>0</v>
      </c>
      <c r="Z414" s="151">
        <f ca="1">IFERROR(-IF(YEAR(Z397)&lt;MIN(YEAR(Assumptions!$F$30),2026),(OFFSET('Phase I Pro Forma'!Z413,0,-10)),IF(YEAR(Z397)=MIN(YEAR(Assumptions!$F$30),2026),SUM('Phase I Pro Forma'!$E$413:Z$413)-SUM('Phase I Pro Forma'!$E$414:Y$414),0)),0)</f>
        <v>0</v>
      </c>
    </row>
    <row r="415" spans="2:26" ht="15.5">
      <c r="B415" s="33" t="s">
        <v>400</v>
      </c>
      <c r="D415" s="48"/>
      <c r="E415" s="48"/>
      <c r="F415" s="151">
        <f>+IF(YEAR(F397)=MIN(YEAR(Assumptions!$F$30),2026),SUM('Phase I Pro Forma'!$F$425:$Z$425),0)</f>
        <v>0</v>
      </c>
      <c r="G415" s="151">
        <f>+IF(YEAR(G397)=MIN(YEAR(Assumptions!$F$30),2026),SUM('Phase I Pro Forma'!$F$425:$Z$425),0)</f>
        <v>0</v>
      </c>
      <c r="H415" s="151">
        <f>+IF(YEAR(H397)=MIN(YEAR(Assumptions!$F$30),2026),SUM('Phase I Pro Forma'!$F$425:$Z$425),0)</f>
        <v>0</v>
      </c>
      <c r="I415" s="151">
        <f>+IF(YEAR(I397)=MIN(YEAR(Assumptions!$F$30),2026),SUM('Phase I Pro Forma'!$F$425:$Z$425),0)</f>
        <v>0</v>
      </c>
      <c r="J415" s="151">
        <f>+IF(YEAR(J397)=MIN(YEAR(Assumptions!$F$30),2026),SUM('Phase I Pro Forma'!$F$425:$Z$425),0)</f>
        <v>0</v>
      </c>
      <c r="K415" s="151">
        <f ca="1">+IF(YEAR(K397)=MIN(YEAR(Assumptions!$F$30),2026),SUM('Phase I Pro Forma'!$F$425:$Z$425),0)</f>
        <v>2755903.165109586</v>
      </c>
      <c r="L415" s="151">
        <f>+IF(YEAR(L397)=MIN(YEAR(Assumptions!$F$30),2026),SUM('Phase I Pro Forma'!$F$425:$Z$425),0)</f>
        <v>0</v>
      </c>
      <c r="M415" s="151">
        <f>+IF(YEAR(M397)=MIN(YEAR(Assumptions!$F$30),2026),SUM('Phase I Pro Forma'!$F$425:$Z$425),0)</f>
        <v>0</v>
      </c>
      <c r="N415" s="151">
        <f>+IF(YEAR(N397)=MIN(YEAR(Assumptions!$F$30),2026),SUM('Phase I Pro Forma'!$F$425:$Z$425),0)</f>
        <v>0</v>
      </c>
      <c r="O415" s="151">
        <f>+IF(YEAR(O397)=MIN(YEAR(Assumptions!$F$30),2026),SUM('Phase I Pro Forma'!$F$425:$Z$425),0)</f>
        <v>0</v>
      </c>
      <c r="P415" s="151">
        <f>+IF(YEAR(P397)=MIN(YEAR(Assumptions!$F$30),2026),SUM('Phase I Pro Forma'!$F$425:$Z$425),0)</f>
        <v>0</v>
      </c>
      <c r="Q415" s="151">
        <f>+IF(YEAR(Q397)=MIN(YEAR(Assumptions!$F$30),2026),SUM('Phase I Pro Forma'!$F$425:$Z$425),0)</f>
        <v>0</v>
      </c>
      <c r="R415" s="151">
        <f>+IF(YEAR(R397)=MIN(YEAR(Assumptions!$F$30),2026),SUM('Phase I Pro Forma'!$F$425:$Z$425),0)</f>
        <v>0</v>
      </c>
      <c r="S415" s="151">
        <f>+IF(YEAR(S397)=MIN(YEAR(Assumptions!$F$30),2026),SUM('Phase I Pro Forma'!$F$425:$Z$425),0)</f>
        <v>0</v>
      </c>
      <c r="T415" s="151">
        <f>+IF(YEAR(T397)=MIN(YEAR(Assumptions!$F$30),2026),SUM('Phase I Pro Forma'!$F$425:$Z$425),0)</f>
        <v>0</v>
      </c>
      <c r="U415" s="151">
        <f>+IF(YEAR(U397)=MIN(YEAR(Assumptions!$F$30),2026),SUM('Phase I Pro Forma'!$F$425:$Z$425),0)</f>
        <v>0</v>
      </c>
      <c r="V415" s="151">
        <f>+IF(YEAR(V397)=MIN(YEAR(Assumptions!$F$30),2026),SUM('Phase I Pro Forma'!$F$425:$Z$425),0)</f>
        <v>0</v>
      </c>
      <c r="W415" s="151">
        <f>+IF(YEAR(W397)=MIN(YEAR(Assumptions!$F$30),2026),SUM('Phase I Pro Forma'!$F$425:$Z$425),0)</f>
        <v>0</v>
      </c>
      <c r="X415" s="151">
        <f>+IF(YEAR(X397)=MIN(YEAR(Assumptions!$F$30),2026),SUM('Phase I Pro Forma'!$F$425:$Z$425),0)</f>
        <v>0</v>
      </c>
      <c r="Y415" s="151">
        <f>+IF(YEAR(Y397)=MIN(YEAR(Assumptions!$F$30),2026),SUM('Phase I Pro Forma'!$F$425:$Z$425),0)</f>
        <v>0</v>
      </c>
      <c r="Z415" s="151">
        <f>+IF(YEAR(Z397)=MIN(YEAR(Assumptions!$F$30),2026),SUM('Phase I Pro Forma'!$F$425:$Z$425),0)</f>
        <v>0</v>
      </c>
    </row>
    <row r="416" spans="2:26" ht="15.5">
      <c r="B416" s="33" t="s">
        <v>584</v>
      </c>
      <c r="D416" s="48"/>
      <c r="E416" s="48"/>
      <c r="F416" s="151">
        <f ca="1">+F403</f>
        <v>0</v>
      </c>
      <c r="G416" s="151">
        <f t="shared" ref="G416:Z416" ca="1" si="662">+G403</f>
        <v>0</v>
      </c>
      <c r="H416" s="151">
        <f t="shared" ca="1" si="662"/>
        <v>0</v>
      </c>
      <c r="I416" s="151">
        <f t="shared" ca="1" si="662"/>
        <v>796502.72176882415</v>
      </c>
      <c r="J416" s="151">
        <f t="shared" ca="1" si="662"/>
        <v>-434648.08455975988</v>
      </c>
      <c r="K416" s="151">
        <f t="shared" ca="1" si="662"/>
        <v>-536812.67585947749</v>
      </c>
      <c r="L416" s="151">
        <f t="shared" ca="1" si="662"/>
        <v>-1158901.6528760067</v>
      </c>
      <c r="M416" s="151">
        <f t="shared" ca="1" si="662"/>
        <v>-1258358.1425700937</v>
      </c>
      <c r="N416" s="151">
        <f t="shared" ca="1" si="662"/>
        <v>-1374478.0321893739</v>
      </c>
      <c r="O416" s="151">
        <f t="shared" ca="1" si="662"/>
        <v>-1495777.0081456639</v>
      </c>
      <c r="P416" s="151">
        <f t="shared" ca="1" si="662"/>
        <v>-1610552.5670052855</v>
      </c>
      <c r="Q416" s="151">
        <f t="shared" si="662"/>
        <v>0</v>
      </c>
      <c r="R416" s="151">
        <f t="shared" si="662"/>
        <v>0</v>
      </c>
      <c r="S416" s="151">
        <f t="shared" si="662"/>
        <v>0</v>
      </c>
      <c r="T416" s="151">
        <f t="shared" si="662"/>
        <v>0</v>
      </c>
      <c r="U416" s="151">
        <f t="shared" si="662"/>
        <v>0</v>
      </c>
      <c r="V416" s="151">
        <f t="shared" si="662"/>
        <v>0</v>
      </c>
      <c r="W416" s="151">
        <f t="shared" si="662"/>
        <v>0</v>
      </c>
      <c r="X416" s="151">
        <f t="shared" si="662"/>
        <v>0</v>
      </c>
      <c r="Y416" s="151">
        <f t="shared" si="662"/>
        <v>0</v>
      </c>
      <c r="Z416" s="151">
        <f t="shared" si="662"/>
        <v>0</v>
      </c>
    </row>
    <row r="417" spans="2:26" ht="15.5">
      <c r="B417" s="33" t="s">
        <v>586</v>
      </c>
      <c r="D417" s="48"/>
      <c r="E417" s="48"/>
      <c r="F417" s="151">
        <f ca="1">+F404</f>
        <v>0</v>
      </c>
      <c r="G417" s="151">
        <f t="shared" ref="G417:Z417" ca="1" si="663">+G404</f>
        <v>0</v>
      </c>
      <c r="H417" s="151">
        <f t="shared" ca="1" si="663"/>
        <v>0</v>
      </c>
      <c r="I417" s="151">
        <f t="shared" ca="1" si="663"/>
        <v>-10655194.626098109</v>
      </c>
      <c r="J417" s="151">
        <f t="shared" ca="1" si="663"/>
        <v>9576755.7472895402</v>
      </c>
      <c r="K417" s="151">
        <f t="shared" ca="1" si="663"/>
        <v>9808367.275763236</v>
      </c>
      <c r="L417" s="151">
        <f t="shared" ca="1" si="663"/>
        <v>12499241.588265486</v>
      </c>
      <c r="M417" s="151">
        <f t="shared" ca="1" si="663"/>
        <v>12683745.250944594</v>
      </c>
      <c r="N417" s="151">
        <f t="shared" ca="1" si="663"/>
        <v>12928807.02357916</v>
      </c>
      <c r="O417" s="151">
        <f t="shared" ca="1" si="663"/>
        <v>13178518.25672905</v>
      </c>
      <c r="P417" s="151">
        <f t="shared" ca="1" si="663"/>
        <v>13375851.907967847</v>
      </c>
      <c r="Q417" s="151">
        <f t="shared" si="663"/>
        <v>0</v>
      </c>
      <c r="R417" s="151">
        <f t="shared" si="663"/>
        <v>0</v>
      </c>
      <c r="S417" s="151">
        <f t="shared" si="663"/>
        <v>0</v>
      </c>
      <c r="T417" s="151">
        <f t="shared" si="663"/>
        <v>0</v>
      </c>
      <c r="U417" s="151">
        <f t="shared" si="663"/>
        <v>0</v>
      </c>
      <c r="V417" s="151">
        <f t="shared" si="663"/>
        <v>0</v>
      </c>
      <c r="W417" s="151">
        <f t="shared" si="663"/>
        <v>0</v>
      </c>
      <c r="X417" s="151">
        <f t="shared" si="663"/>
        <v>0</v>
      </c>
      <c r="Y417" s="151">
        <f t="shared" si="663"/>
        <v>0</v>
      </c>
      <c r="Z417" s="151">
        <f t="shared" si="663"/>
        <v>0</v>
      </c>
    </row>
    <row r="418" spans="2:26" ht="15.5">
      <c r="B418" s="33" t="s">
        <v>585</v>
      </c>
      <c r="D418" s="48"/>
      <c r="E418" s="48"/>
      <c r="F418" s="151">
        <f>-F273-F228-F159</f>
        <v>0</v>
      </c>
      <c r="G418" s="151">
        <f t="shared" ref="G418:Z418" si="664">+G405</f>
        <v>0</v>
      </c>
      <c r="H418" s="151">
        <f t="shared" si="664"/>
        <v>0</v>
      </c>
      <c r="I418" s="151">
        <f t="shared" ca="1" si="664"/>
        <v>82322952.138226867</v>
      </c>
      <c r="J418" s="151">
        <f t="shared" si="664"/>
        <v>0</v>
      </c>
      <c r="K418" s="151">
        <f t="shared" si="664"/>
        <v>0</v>
      </c>
      <c r="L418" s="151">
        <f t="shared" si="664"/>
        <v>0</v>
      </c>
      <c r="M418" s="151">
        <f t="shared" si="664"/>
        <v>0</v>
      </c>
      <c r="N418" s="151">
        <f t="shared" si="664"/>
        <v>0</v>
      </c>
      <c r="O418" s="151">
        <f t="shared" si="664"/>
        <v>0</v>
      </c>
      <c r="P418" s="151">
        <f t="shared" ca="1" si="664"/>
        <v>293246901.79444385</v>
      </c>
      <c r="Q418" s="151">
        <f t="shared" si="664"/>
        <v>0</v>
      </c>
      <c r="R418" s="151">
        <f t="shared" si="664"/>
        <v>0</v>
      </c>
      <c r="S418" s="151">
        <f t="shared" si="664"/>
        <v>0</v>
      </c>
      <c r="T418" s="151">
        <f t="shared" si="664"/>
        <v>0</v>
      </c>
      <c r="U418" s="151">
        <f t="shared" si="664"/>
        <v>0</v>
      </c>
      <c r="V418" s="151">
        <f t="shared" si="664"/>
        <v>0</v>
      </c>
      <c r="W418" s="151">
        <f t="shared" si="664"/>
        <v>0</v>
      </c>
      <c r="X418" s="151">
        <f t="shared" si="664"/>
        <v>0</v>
      </c>
      <c r="Y418" s="151">
        <f t="shared" si="664"/>
        <v>0</v>
      </c>
      <c r="Z418" s="151">
        <f t="shared" si="664"/>
        <v>0</v>
      </c>
    </row>
    <row r="419" spans="2:26" ht="15.5">
      <c r="B419" s="33" t="s">
        <v>397</v>
      </c>
      <c r="D419" s="48"/>
      <c r="E419" s="48"/>
      <c r="F419" s="151">
        <f>+IF(F399&gt;=10,0,F406)</f>
        <v>0</v>
      </c>
      <c r="G419" s="151">
        <f t="shared" ref="G419:Z419" si="665">+IF(G399&gt;=10,0,G406)</f>
        <v>0</v>
      </c>
      <c r="H419" s="151">
        <f t="shared" si="665"/>
        <v>0</v>
      </c>
      <c r="I419" s="151">
        <f t="shared" si="665"/>
        <v>0</v>
      </c>
      <c r="J419" s="151">
        <f t="shared" si="665"/>
        <v>0</v>
      </c>
      <c r="K419" s="151">
        <f t="shared" si="665"/>
        <v>0</v>
      </c>
      <c r="L419" s="151">
        <f t="shared" si="665"/>
        <v>0</v>
      </c>
      <c r="M419" s="151">
        <f t="shared" si="665"/>
        <v>0</v>
      </c>
      <c r="N419" s="151">
        <f t="shared" si="665"/>
        <v>0</v>
      </c>
      <c r="O419" s="151">
        <f t="shared" si="665"/>
        <v>0</v>
      </c>
      <c r="P419" s="151">
        <f t="shared" si="665"/>
        <v>0</v>
      </c>
      <c r="Q419" s="151">
        <f t="shared" si="665"/>
        <v>0</v>
      </c>
      <c r="R419" s="151">
        <f t="shared" si="665"/>
        <v>0</v>
      </c>
      <c r="S419" s="151">
        <f t="shared" si="665"/>
        <v>0</v>
      </c>
      <c r="T419" s="151">
        <f t="shared" si="665"/>
        <v>0</v>
      </c>
      <c r="U419" s="151">
        <f t="shared" si="665"/>
        <v>0</v>
      </c>
      <c r="V419" s="151">
        <f t="shared" si="665"/>
        <v>0</v>
      </c>
      <c r="W419" s="151">
        <f t="shared" si="665"/>
        <v>0</v>
      </c>
      <c r="X419" s="151">
        <f t="shared" si="665"/>
        <v>0</v>
      </c>
      <c r="Y419" s="151">
        <f t="shared" si="665"/>
        <v>0</v>
      </c>
      <c r="Z419" s="151">
        <f t="shared" si="665"/>
        <v>0</v>
      </c>
    </row>
    <row r="420" spans="2:26" ht="15.5">
      <c r="B420" s="138" t="s">
        <v>388</v>
      </c>
      <c r="C420" s="138"/>
      <c r="D420" s="139">
        <f t="shared" ref="D420" ca="1" si="666">+SUM(F420:Z420)</f>
        <v>357159834.71222591</v>
      </c>
      <c r="E420" s="139"/>
      <c r="F420" s="139">
        <f t="shared" ref="F420:Z420" ca="1" si="667">+SUM(F412:F419)</f>
        <v>-49657729.176295877</v>
      </c>
      <c r="G420" s="139">
        <f t="shared" ca="1" si="667"/>
        <v>-19458572.424865175</v>
      </c>
      <c r="H420" s="139">
        <f t="shared" ca="1" si="667"/>
        <v>0</v>
      </c>
      <c r="I420" s="139">
        <f t="shared" ca="1" si="667"/>
        <v>72464260.233897582</v>
      </c>
      <c r="J420" s="139">
        <f t="shared" ca="1" si="667"/>
        <v>9142107.6627297811</v>
      </c>
      <c r="K420" s="139">
        <f t="shared" ca="1" si="667"/>
        <v>-6345230.0023838952</v>
      </c>
      <c r="L420" s="139">
        <f t="shared" ca="1" si="667"/>
        <v>11340339.93538948</v>
      </c>
      <c r="M420" s="139">
        <f t="shared" ca="1" si="667"/>
        <v>11425387.108374501</v>
      </c>
      <c r="N420" s="139">
        <f t="shared" ca="1" si="667"/>
        <v>11554328.991389785</v>
      </c>
      <c r="O420" s="139">
        <f t="shared" ca="1" si="667"/>
        <v>11682741.248583386</v>
      </c>
      <c r="P420" s="139">
        <f t="shared" ca="1" si="667"/>
        <v>305012201.13540643</v>
      </c>
      <c r="Q420" s="139">
        <f t="shared" ca="1" si="667"/>
        <v>0</v>
      </c>
      <c r="R420" s="139">
        <f t="shared" ca="1" si="667"/>
        <v>0</v>
      </c>
      <c r="S420" s="139">
        <f t="shared" ca="1" si="667"/>
        <v>0</v>
      </c>
      <c r="T420" s="139">
        <f t="shared" ca="1" si="667"/>
        <v>0</v>
      </c>
      <c r="U420" s="139">
        <f t="shared" ca="1" si="667"/>
        <v>0</v>
      </c>
      <c r="V420" s="139">
        <f t="shared" ca="1" si="667"/>
        <v>0</v>
      </c>
      <c r="W420" s="139">
        <f t="shared" ca="1" si="667"/>
        <v>0</v>
      </c>
      <c r="X420" s="139">
        <f t="shared" ca="1" si="667"/>
        <v>0</v>
      </c>
      <c r="Y420" s="139">
        <f t="shared" ca="1" si="667"/>
        <v>0</v>
      </c>
      <c r="Z420" s="139">
        <f t="shared" ca="1" si="667"/>
        <v>0</v>
      </c>
    </row>
    <row r="422" spans="2:26" ht="15.5">
      <c r="B422" s="190" t="s">
        <v>581</v>
      </c>
      <c r="C422" s="190"/>
      <c r="D422" s="191">
        <f ca="1">+IRR(F420:Z420)</f>
        <v>0.29521855222839033</v>
      </c>
    </row>
    <row r="423" spans="2:26" ht="15.5">
      <c r="B423" s="194" t="s">
        <v>582</v>
      </c>
      <c r="C423" s="193"/>
      <c r="D423" s="228">
        <f ca="1">+D422/(1-Assumptions!$M$192)</f>
        <v>0.37369436990935484</v>
      </c>
    </row>
    <row r="425" spans="2:26">
      <c r="B425" s="41" t="s">
        <v>401</v>
      </c>
      <c r="F425" s="151">
        <f ca="1">IFERROR(IF(YEAR(F397)&lt;=YEAR(Assumptions!$F$30),10%*(OFFSET('Phase I Pro Forma'!F413,0,-5))+5%*(OFFSET('Phase I Pro Forma'!F413,0,-7)),0),0)</f>
        <v>0</v>
      </c>
      <c r="G425" s="151">
        <f ca="1">IFERROR(IF(YEAR(G397)&lt;=YEAR(Assumptions!$F$30),10%*(OFFSET('Phase I Pro Forma'!G413,0,-5))+5%*(OFFSET('Phase I Pro Forma'!G413,0,-7)),0),0)</f>
        <v>0</v>
      </c>
      <c r="H425" s="151">
        <f ca="1">IFERROR(IF(YEAR(H397)&lt;=YEAR(Assumptions!$F$30),10%*(OFFSET('Phase I Pro Forma'!H413,0,-5))+5%*(OFFSET('Phase I Pro Forma'!H413,0,-7)),0),0)</f>
        <v>0</v>
      </c>
      <c r="I425" s="151">
        <f ca="1">IFERROR(IF(YEAR(I397)&lt;=YEAR(Assumptions!$F$30),10%*(OFFSET('Phase I Pro Forma'!I413,0,-5))+5%*(OFFSET('Phase I Pro Forma'!I413,0,-7)),0),0)</f>
        <v>0</v>
      </c>
      <c r="J425" s="151">
        <f ca="1">IFERROR(IF(YEAR(J397)&lt;=YEAR(Assumptions!$F$30),10%*(OFFSET('Phase I Pro Forma'!J413,0,-5))+5%*(OFFSET('Phase I Pro Forma'!J413,0,-7)),0),0)</f>
        <v>0</v>
      </c>
      <c r="K425" s="151">
        <f ca="1">IFERROR(IF(YEAR(K397)&lt;=YEAR(Assumptions!$F$30),10%*(OFFSET('Phase I Pro Forma'!K413,0,-5))+5%*(OFFSET('Phase I Pro Forma'!K413,0,-7)),0),0)</f>
        <v>1320015.5856990041</v>
      </c>
      <c r="L425" s="151">
        <f ca="1">IFERROR(IF(YEAR(L397)&lt;=YEAR(Assumptions!$F$30),10%*(OFFSET('Phase I Pro Forma'!L413,0,-5))+5%*(OFFSET('Phase I Pro Forma'!L413,0,-7)),0),0)</f>
        <v>517253.1910407198</v>
      </c>
      <c r="M425" s="151">
        <f ca="1">IFERROR(IF(YEAR(M397)&lt;=YEAR(Assumptions!$F$30),10%*(OFFSET('Phase I Pro Forma'!M413,0,-5))+5%*(OFFSET('Phase I Pro Forma'!M413,0,-7)),0),0)</f>
        <v>660007.79284950206</v>
      </c>
      <c r="N425" s="151">
        <f ca="1">IFERROR(IF(YEAR(N397)&lt;=YEAR(Assumptions!$F$30),10%*(OFFSET('Phase I Pro Forma'!N413,0,-5))+5%*(OFFSET('Phase I Pro Forma'!N413,0,-7)),0),0)</f>
        <v>258626.5955203599</v>
      </c>
      <c r="O425" s="151">
        <f ca="1">IFERROR(IF(YEAR(O397)&lt;=YEAR(Assumptions!$F$30),10%*(OFFSET('Phase I Pro Forma'!O413,0,-5))+5%*(OFFSET('Phase I Pro Forma'!O413,0,-7)),0),0)</f>
        <v>0</v>
      </c>
      <c r="P425" s="151">
        <f ca="1">IFERROR(IF(YEAR(P397)&lt;=YEAR(Assumptions!$F$30),10%*(OFFSET('Phase I Pro Forma'!P413,0,-5))+5%*(OFFSET('Phase I Pro Forma'!P413,0,-7)),0),0)</f>
        <v>0</v>
      </c>
      <c r="Q425" s="151">
        <f ca="1">IFERROR(IF(YEAR(Q397)&lt;=YEAR(Assumptions!$F$30),10%*(OFFSET('Phase I Pro Forma'!Q413,0,-5))+5%*(OFFSET('Phase I Pro Forma'!Q413,0,-7)),0),0)</f>
        <v>0</v>
      </c>
      <c r="R425" s="151">
        <f ca="1">IFERROR(IF(YEAR(R397)&lt;=YEAR(Assumptions!$F$30),10%*(OFFSET('Phase I Pro Forma'!R413,0,-5))+5%*(OFFSET('Phase I Pro Forma'!R413,0,-7)),0),0)</f>
        <v>0</v>
      </c>
      <c r="S425" s="151">
        <f ca="1">IFERROR(IF(YEAR(S397)&lt;=YEAR(Assumptions!$F$30),10%*(OFFSET('Phase I Pro Forma'!S413,0,-5))+5%*(OFFSET('Phase I Pro Forma'!S413,0,-7)),0),0)</f>
        <v>0</v>
      </c>
      <c r="T425" s="151">
        <f ca="1">IFERROR(IF(YEAR(T397)&lt;=YEAR(Assumptions!$F$30),10%*(OFFSET('Phase I Pro Forma'!T413,0,-5))+5%*(OFFSET('Phase I Pro Forma'!T413,0,-7)),0),0)</f>
        <v>0</v>
      </c>
      <c r="U425" s="151">
        <f ca="1">IFERROR(IF(YEAR(U397)&lt;=YEAR(Assumptions!$F$30),10%*(OFFSET('Phase I Pro Forma'!U413,0,-5))+5%*(OFFSET('Phase I Pro Forma'!U413,0,-7)),0),0)</f>
        <v>0</v>
      </c>
      <c r="V425" s="151">
        <f ca="1">IFERROR(IF(YEAR(V397)&lt;=YEAR(Assumptions!$F$30),10%*(OFFSET('Phase I Pro Forma'!V413,0,-5))+5%*(OFFSET('Phase I Pro Forma'!V413,0,-7)),0),0)</f>
        <v>0</v>
      </c>
      <c r="W425" s="151">
        <f ca="1">IFERROR(IF(YEAR(W397)&lt;=YEAR(Assumptions!$F$30),10%*(OFFSET('Phase I Pro Forma'!W413,0,-5))+5%*(OFFSET('Phase I Pro Forma'!W413,0,-7)),0),0)</f>
        <v>0</v>
      </c>
      <c r="X425" s="151">
        <f ca="1">IFERROR(IF(YEAR(X397)&lt;=YEAR(Assumptions!$F$30),10%*(OFFSET('Phase I Pro Forma'!X413,0,-5))+5%*(OFFSET('Phase I Pro Forma'!X413,0,-7)),0),0)</f>
        <v>0</v>
      </c>
      <c r="Y425" s="151">
        <f ca="1">IFERROR(IF(YEAR(Y397)&lt;=YEAR(Assumptions!$F$30),10%*(OFFSET('Phase I Pro Forma'!Y413,0,-5))+5%*(OFFSET('Phase I Pro Forma'!Y413,0,-7)),0),0)</f>
        <v>0</v>
      </c>
      <c r="Z425" s="151">
        <f ca="1">IFERROR(IF(YEAR(Z397)&lt;=YEAR(Assumptions!$F$30),10%*(OFFSET('Phase I Pro Forma'!Z413,0,-5))+5%*(OFFSET('Phase I Pro Forma'!Z413,0,-7)),0),0)</f>
        <v>0</v>
      </c>
    </row>
    <row r="427" spans="2:26" ht="15.5">
      <c r="B427" s="148" t="s">
        <v>381</v>
      </c>
    </row>
    <row r="428" spans="2:26" ht="15.5">
      <c r="B428" s="33" t="s">
        <v>382</v>
      </c>
      <c r="D428" s="48">
        <f ca="1">+SUM(F428:Z428)</f>
        <v>173911338.37884861</v>
      </c>
      <c r="E428" s="48"/>
      <c r="F428" s="34">
        <v>0</v>
      </c>
      <c r="G428" s="34">
        <f ca="1">+F435</f>
        <v>62857885.033285916</v>
      </c>
      <c r="H428" s="34">
        <f t="shared" ref="H428" ca="1" si="668">+G435</f>
        <v>87488989.368558288</v>
      </c>
      <c r="I428" s="34">
        <f t="shared" ref="I428" ca="1" si="669">+H435</f>
        <v>87488989.368558347</v>
      </c>
      <c r="J428" s="34">
        <f t="shared" ref="J428" ca="1" si="670">+I435</f>
        <v>12028361.752768472</v>
      </c>
      <c r="K428" s="34">
        <f t="shared" ref="K428" ca="1" si="671">+J435</f>
        <v>4521358.7890968211</v>
      </c>
      <c r="L428" s="34">
        <f t="shared" ref="L428" ca="1" si="672">+K435</f>
        <v>-2730757.6492402572</v>
      </c>
      <c r="M428" s="34">
        <f t="shared" ref="M428" ca="1" si="673">+L435</f>
        <v>-9711419.9380962476</v>
      </c>
      <c r="N428" s="34">
        <f t="shared" ref="N428" ca="1" si="674">+M435</f>
        <v>-16402983.557754695</v>
      </c>
      <c r="O428" s="34">
        <f t="shared" ref="O428" ca="1" si="675">+N435</f>
        <v>-22786657.094717715</v>
      </c>
      <c r="P428" s="34">
        <f t="shared" ref="P428" ca="1" si="676">+O435</f>
        <v>-28842427.693610337</v>
      </c>
      <c r="Q428" s="34">
        <f t="shared" ref="Q428" ca="1" si="677">+P435</f>
        <v>0</v>
      </c>
      <c r="R428" s="34">
        <f t="shared" ref="R428" ca="1" si="678">+Q435</f>
        <v>0</v>
      </c>
      <c r="S428" s="34">
        <f t="shared" ref="S428" ca="1" si="679">+R435</f>
        <v>0</v>
      </c>
      <c r="T428" s="34">
        <f t="shared" ref="T428" ca="1" si="680">+S435</f>
        <v>0</v>
      </c>
      <c r="U428" s="34">
        <f t="shared" ref="U428" ca="1" si="681">+T435</f>
        <v>0</v>
      </c>
      <c r="V428" s="34">
        <f t="shared" ref="V428" ca="1" si="682">+U435</f>
        <v>0</v>
      </c>
      <c r="W428" s="34">
        <f t="shared" ref="W428" ca="1" si="683">+V435</f>
        <v>0</v>
      </c>
      <c r="X428" s="34">
        <f t="shared" ref="X428" ca="1" si="684">+W435</f>
        <v>0</v>
      </c>
      <c r="Y428" s="34">
        <f t="shared" ref="Y428" ca="1" si="685">+X435</f>
        <v>0</v>
      </c>
      <c r="Z428" s="34">
        <f t="shared" ref="Z428" ca="1" si="686">+Y435</f>
        <v>0</v>
      </c>
    </row>
    <row r="429" spans="2:26" ht="15.5">
      <c r="B429" s="33" t="s">
        <v>380</v>
      </c>
      <c r="D429" s="48">
        <f t="shared" ref="D429:D434" ca="1" si="687">+SUM(F429:Z429)</f>
        <v>87488989.368558288</v>
      </c>
      <c r="E429" s="48"/>
      <c r="F429" s="151">
        <f ca="1">-F400</f>
        <v>62857885.033285916</v>
      </c>
      <c r="G429" s="151">
        <f t="shared" ref="G429:Z429" ca="1" si="688">-G400</f>
        <v>24631104.335272372</v>
      </c>
      <c r="H429" s="151">
        <f t="shared" ca="1" si="688"/>
        <v>0</v>
      </c>
      <c r="I429" s="151">
        <f t="shared" ca="1" si="688"/>
        <v>0</v>
      </c>
      <c r="J429" s="151">
        <f t="shared" ca="1" si="688"/>
        <v>0</v>
      </c>
      <c r="K429" s="151">
        <f t="shared" ca="1" si="688"/>
        <v>0</v>
      </c>
      <c r="L429" s="151">
        <f t="shared" ca="1" si="688"/>
        <v>0</v>
      </c>
      <c r="M429" s="151">
        <f t="shared" ca="1" si="688"/>
        <v>0</v>
      </c>
      <c r="N429" s="151">
        <f t="shared" ca="1" si="688"/>
        <v>0</v>
      </c>
      <c r="O429" s="151">
        <f t="shared" ca="1" si="688"/>
        <v>0</v>
      </c>
      <c r="P429" s="151">
        <f t="shared" ca="1" si="688"/>
        <v>0</v>
      </c>
      <c r="Q429" s="151">
        <f t="shared" ca="1" si="688"/>
        <v>0</v>
      </c>
      <c r="R429" s="151">
        <f t="shared" ca="1" si="688"/>
        <v>0</v>
      </c>
      <c r="S429" s="151">
        <f t="shared" ca="1" si="688"/>
        <v>0</v>
      </c>
      <c r="T429" s="151">
        <f t="shared" ca="1" si="688"/>
        <v>0</v>
      </c>
      <c r="U429" s="151">
        <f t="shared" ca="1" si="688"/>
        <v>0</v>
      </c>
      <c r="V429" s="151">
        <f t="shared" ca="1" si="688"/>
        <v>0</v>
      </c>
      <c r="W429" s="151">
        <f t="shared" ca="1" si="688"/>
        <v>0</v>
      </c>
      <c r="X429" s="151">
        <f t="shared" ca="1" si="688"/>
        <v>0</v>
      </c>
      <c r="Y429" s="151">
        <f t="shared" ca="1" si="688"/>
        <v>0</v>
      </c>
      <c r="Z429" s="151">
        <f t="shared" ca="1" si="688"/>
        <v>0</v>
      </c>
    </row>
    <row r="430" spans="2:26" ht="15.5">
      <c r="B430" s="33" t="s">
        <v>580</v>
      </c>
      <c r="D430" s="48">
        <f t="shared" ca="1" si="687"/>
        <v>113679412.38929705</v>
      </c>
      <c r="E430" s="48"/>
      <c r="F430" s="151">
        <f ca="1">IF(F397&lt;=Assumptions!$F$30,F390-F146-F216-F261,0)</f>
        <v>0</v>
      </c>
      <c r="G430" s="151">
        <f ca="1">IF(G397&lt;=Assumptions!$F$30,G390-G146-G216-G261,0)</f>
        <v>0</v>
      </c>
      <c r="H430" s="151">
        <f ca="1">IF(H397&lt;=Assumptions!$F$30,H390-H146-H216-H261,0)</f>
        <v>0</v>
      </c>
      <c r="I430" s="151">
        <f ca="1">IF(I397&lt;=Assumptions!$F$30,I390-I146-I216-I261,0)</f>
        <v>-3792870.1036610678</v>
      </c>
      <c r="J430" s="151">
        <f ca="1">IF(J397&lt;=Assumptions!$F$30,J390-J146-J216-J261,0)</f>
        <v>13498086.906281538</v>
      </c>
      <c r="K430" s="151">
        <f ca="1">IF(K397&lt;=Assumptions!$F$30,K390-K146-K216-K261,0)</f>
        <v>13984584.960089717</v>
      </c>
      <c r="L430" s="151">
        <f ca="1">IF(L397&lt;=Assumptions!$F$30,L390-L146-L216-L261,0)</f>
        <v>16946913.422073189</v>
      </c>
      <c r="M430" s="151">
        <f ca="1">IF(M397&lt;=Assumptions!$F$30,M390-M146-M216-M261,0)</f>
        <v>17420515.753949795</v>
      </c>
      <c r="N430" s="151">
        <f ca="1">IF(N397&lt;=Assumptions!$F$30,N390-N146-N216-N261,0)</f>
        <v>17973467.6092797</v>
      </c>
      <c r="O430" s="151">
        <f ca="1">IF(O397&lt;=Assumptions!$F$30,O390-O146-O216-O261,0)</f>
        <v>18551081.780500121</v>
      </c>
      <c r="P430" s="151">
        <f ca="1">IF(P397&lt;=Assumptions!$F$30,P390-P146-P216-P261,0)</f>
        <v>19097632.060784042</v>
      </c>
      <c r="Q430" s="151">
        <f>IF(Q397&lt;=Assumptions!$F$30,Q390-Q146-Q216-Q261,0)</f>
        <v>0</v>
      </c>
      <c r="R430" s="151">
        <f>IF(R397&lt;=Assumptions!$F$30,R390-R146-R216-R261,0)</f>
        <v>0</v>
      </c>
      <c r="S430" s="151">
        <f>IF(S397&lt;=Assumptions!$F$30,S390-S146-S216-S261,0)</f>
        <v>0</v>
      </c>
      <c r="T430" s="151">
        <f>IF(T397&lt;=Assumptions!$F$30,T390-T146-T216-T261,0)</f>
        <v>0</v>
      </c>
      <c r="U430" s="151">
        <f>IF(U397&lt;=Assumptions!$F$30,U390-U146-U216-U261,0)</f>
        <v>0</v>
      </c>
      <c r="V430" s="151">
        <f>IF(V397&lt;=Assumptions!$F$30,V390-V146-V216-V261,0)</f>
        <v>0</v>
      </c>
      <c r="W430" s="151">
        <f>IF(W397&lt;=Assumptions!$F$30,W390-W146-W216-W261,0)</f>
        <v>0</v>
      </c>
      <c r="X430" s="151">
        <f>IF(X397&lt;=Assumptions!$F$30,X390-X146-X216-X261,0)</f>
        <v>0</v>
      </c>
      <c r="Y430" s="151">
        <f>IF(Y397&lt;=Assumptions!$F$30,Y390-Y146-Y216-Y261,0)</f>
        <v>0</v>
      </c>
      <c r="Z430" s="151">
        <f>IF(Z397&lt;=Assumptions!$F$30,Z390-Z146-Z216-Z261,0)</f>
        <v>0</v>
      </c>
    </row>
    <row r="431" spans="2:26" ht="15.5">
      <c r="B431" s="33" t="s">
        <v>392</v>
      </c>
      <c r="D431" s="48">
        <f t="shared" si="687"/>
        <v>-79998338.858645439</v>
      </c>
      <c r="E431" s="48"/>
      <c r="F431" s="151">
        <f>+F391</f>
        <v>0</v>
      </c>
      <c r="G431" s="151">
        <f t="shared" ref="G431:Z431" si="689">+G391</f>
        <v>0</v>
      </c>
      <c r="H431" s="151">
        <f t="shared" si="689"/>
        <v>0</v>
      </c>
      <c r="I431" s="151">
        <f t="shared" si="689"/>
        <v>0</v>
      </c>
      <c r="J431" s="151">
        <f t="shared" si="689"/>
        <v>-11428334.122663634</v>
      </c>
      <c r="K431" s="151">
        <f t="shared" si="689"/>
        <v>-11428334.122663634</v>
      </c>
      <c r="L431" s="151">
        <f t="shared" si="689"/>
        <v>-11428334.122663634</v>
      </c>
      <c r="M431" s="151">
        <f t="shared" si="689"/>
        <v>-11428334.122663634</v>
      </c>
      <c r="N431" s="151">
        <f t="shared" si="689"/>
        <v>-11428334.122663634</v>
      </c>
      <c r="O431" s="151">
        <f t="shared" si="689"/>
        <v>-11428334.122663634</v>
      </c>
      <c r="P431" s="151">
        <f t="shared" si="689"/>
        <v>-11428334.122663634</v>
      </c>
      <c r="Q431" s="151">
        <f t="shared" si="689"/>
        <v>0</v>
      </c>
      <c r="R431" s="151">
        <f t="shared" si="689"/>
        <v>0</v>
      </c>
      <c r="S431" s="151">
        <f t="shared" si="689"/>
        <v>0</v>
      </c>
      <c r="T431" s="151">
        <f t="shared" si="689"/>
        <v>0</v>
      </c>
      <c r="U431" s="151">
        <f t="shared" si="689"/>
        <v>0</v>
      </c>
      <c r="V431" s="151">
        <f t="shared" si="689"/>
        <v>0</v>
      </c>
      <c r="W431" s="151">
        <f t="shared" si="689"/>
        <v>0</v>
      </c>
      <c r="X431" s="151">
        <f t="shared" si="689"/>
        <v>0</v>
      </c>
      <c r="Y431" s="151">
        <f t="shared" si="689"/>
        <v>0</v>
      </c>
      <c r="Z431" s="151">
        <f t="shared" si="689"/>
        <v>0</v>
      </c>
    </row>
    <row r="432" spans="2:26" ht="15.5">
      <c r="B432" s="33" t="s">
        <v>586</v>
      </c>
      <c r="D432" s="48">
        <f t="shared" ca="1" si="687"/>
        <v>-73396092.424440816</v>
      </c>
      <c r="E432" s="48"/>
      <c r="F432" s="151">
        <f ca="1">-F404</f>
        <v>0</v>
      </c>
      <c r="G432" s="151">
        <f t="shared" ref="G432:Z432" ca="1" si="690">-G404</f>
        <v>0</v>
      </c>
      <c r="H432" s="151">
        <f t="shared" ca="1" si="690"/>
        <v>0</v>
      </c>
      <c r="I432" s="151">
        <f t="shared" ca="1" si="690"/>
        <v>10655194.626098109</v>
      </c>
      <c r="J432" s="151">
        <f t="shared" ca="1" si="690"/>
        <v>-9576755.7472895402</v>
      </c>
      <c r="K432" s="151">
        <f t="shared" ca="1" si="690"/>
        <v>-9808367.275763236</v>
      </c>
      <c r="L432" s="151">
        <f t="shared" ca="1" si="690"/>
        <v>-12499241.588265486</v>
      </c>
      <c r="M432" s="151">
        <f t="shared" ca="1" si="690"/>
        <v>-12683745.250944594</v>
      </c>
      <c r="N432" s="151">
        <f t="shared" ca="1" si="690"/>
        <v>-12928807.02357916</v>
      </c>
      <c r="O432" s="151">
        <f t="shared" ca="1" si="690"/>
        <v>-13178518.25672905</v>
      </c>
      <c r="P432" s="151">
        <f t="shared" ca="1" si="690"/>
        <v>-13375851.907967847</v>
      </c>
      <c r="Q432" s="151">
        <f t="shared" si="690"/>
        <v>0</v>
      </c>
      <c r="R432" s="151">
        <f t="shared" si="690"/>
        <v>0</v>
      </c>
      <c r="S432" s="151">
        <f t="shared" si="690"/>
        <v>0</v>
      </c>
      <c r="T432" s="151">
        <f t="shared" si="690"/>
        <v>0</v>
      </c>
      <c r="U432" s="151">
        <f t="shared" si="690"/>
        <v>0</v>
      </c>
      <c r="V432" s="151">
        <f t="shared" si="690"/>
        <v>0</v>
      </c>
      <c r="W432" s="151">
        <f t="shared" si="690"/>
        <v>0</v>
      </c>
      <c r="X432" s="151">
        <f t="shared" si="690"/>
        <v>0</v>
      </c>
      <c r="Y432" s="151">
        <f t="shared" si="690"/>
        <v>0</v>
      </c>
      <c r="Z432" s="151">
        <f t="shared" si="690"/>
        <v>0</v>
      </c>
    </row>
    <row r="433" spans="2:26" ht="15.5">
      <c r="B433" s="33" t="s">
        <v>583</v>
      </c>
      <c r="D433" s="48">
        <f t="shared" ca="1" si="687"/>
        <v>-375569853.93267071</v>
      </c>
      <c r="E433" s="48"/>
      <c r="F433" s="151">
        <f>-F273-F228-F159</f>
        <v>0</v>
      </c>
      <c r="G433" s="151">
        <f t="shared" ref="G433:Z433" si="691">-G273-G228-G159</f>
        <v>0</v>
      </c>
      <c r="H433" s="151">
        <f t="shared" si="691"/>
        <v>0</v>
      </c>
      <c r="I433" s="151">
        <f t="shared" ca="1" si="691"/>
        <v>-82322952.138226867</v>
      </c>
      <c r="J433" s="151">
        <f t="shared" si="691"/>
        <v>0</v>
      </c>
      <c r="K433" s="151">
        <f t="shared" si="691"/>
        <v>0</v>
      </c>
      <c r="L433" s="151">
        <f t="shared" si="691"/>
        <v>0</v>
      </c>
      <c r="M433" s="151">
        <f t="shared" si="691"/>
        <v>0</v>
      </c>
      <c r="N433" s="151">
        <f t="shared" si="691"/>
        <v>0</v>
      </c>
      <c r="O433" s="151">
        <f t="shared" si="691"/>
        <v>0</v>
      </c>
      <c r="P433" s="151">
        <f t="shared" ca="1" si="691"/>
        <v>-293246901.79444385</v>
      </c>
      <c r="Q433" s="151">
        <f t="shared" si="691"/>
        <v>0</v>
      </c>
      <c r="R433" s="151">
        <f t="shared" si="691"/>
        <v>0</v>
      </c>
      <c r="S433" s="151">
        <f t="shared" si="691"/>
        <v>0</v>
      </c>
      <c r="T433" s="151">
        <f t="shared" si="691"/>
        <v>0</v>
      </c>
      <c r="U433" s="151">
        <f t="shared" si="691"/>
        <v>0</v>
      </c>
      <c r="V433" s="151">
        <f t="shared" si="691"/>
        <v>0</v>
      </c>
      <c r="W433" s="151">
        <f t="shared" si="691"/>
        <v>0</v>
      </c>
      <c r="X433" s="151">
        <f t="shared" si="691"/>
        <v>0</v>
      </c>
      <c r="Y433" s="151">
        <f t="shared" si="691"/>
        <v>0</v>
      </c>
      <c r="Z433" s="151">
        <f t="shared" si="691"/>
        <v>0</v>
      </c>
    </row>
    <row r="434" spans="2:26" ht="15.5">
      <c r="B434" s="33" t="s">
        <v>396</v>
      </c>
      <c r="D434" s="48">
        <f t="shared" ca="1" si="687"/>
        <v>327795883.45790166</v>
      </c>
      <c r="E434" s="48"/>
      <c r="F434" s="151">
        <f>-IF(YEAR(F397)=YEAR(Assumptions!$F$30),SUM(F428:F433),0)</f>
        <v>0</v>
      </c>
      <c r="G434" s="151">
        <f>-IF(YEAR(G397)=YEAR(Assumptions!$F$30),SUM(G428:G433),0)</f>
        <v>0</v>
      </c>
      <c r="H434" s="151">
        <f>-IF(YEAR(H397)=YEAR(Assumptions!$F$30),SUM(H428:H433),0)</f>
        <v>0</v>
      </c>
      <c r="I434" s="151">
        <f>-IF(YEAR(I397)=YEAR(Assumptions!$F$30),SUM(I428:I433),0)</f>
        <v>0</v>
      </c>
      <c r="J434" s="151">
        <f>-IF(YEAR(J397)=YEAR(Assumptions!$F$30),SUM(J428:J433),0)</f>
        <v>0</v>
      </c>
      <c r="K434" s="151">
        <f>-IF(YEAR(K397)=YEAR(Assumptions!$F$30),SUM(K428:K433),0)</f>
        <v>0</v>
      </c>
      <c r="L434" s="151">
        <f>-IF(YEAR(L397)=YEAR(Assumptions!$F$30),SUM(L428:L433),0)</f>
        <v>0</v>
      </c>
      <c r="M434" s="151">
        <f>-IF(YEAR(M397)=YEAR(Assumptions!$F$30),SUM(M428:M433),0)</f>
        <v>0</v>
      </c>
      <c r="N434" s="151">
        <f>-IF(YEAR(N397)=YEAR(Assumptions!$F$30),SUM(N428:N433),0)</f>
        <v>0</v>
      </c>
      <c r="O434" s="151">
        <f>-IF(YEAR(O397)=YEAR(Assumptions!$F$30),SUM(O428:O433),0)</f>
        <v>0</v>
      </c>
      <c r="P434" s="151">
        <f ca="1">-IF(YEAR(P397)=YEAR(Assumptions!$F$30),SUM(P428:P433),0)</f>
        <v>327795883.4579016</v>
      </c>
      <c r="Q434" s="151">
        <f>-IF(YEAR(Q397)=YEAR(Assumptions!$F$30),SUM(Q428:Q433),0)</f>
        <v>0</v>
      </c>
      <c r="R434" s="151">
        <f>-IF(YEAR(R397)=YEAR(Assumptions!$F$30),SUM(R428:R433),0)</f>
        <v>0</v>
      </c>
      <c r="S434" s="151">
        <f>-IF(YEAR(S397)=YEAR(Assumptions!$F$30),SUM(S428:S433),0)</f>
        <v>0</v>
      </c>
      <c r="T434" s="151">
        <f>-IF(YEAR(T397)=YEAR(Assumptions!$F$30),SUM(T428:T433),0)</f>
        <v>0</v>
      </c>
      <c r="U434" s="151">
        <f>-IF(YEAR(U397)=YEAR(Assumptions!$F$30),SUM(U428:U433),0)</f>
        <v>0</v>
      </c>
      <c r="V434" s="151">
        <f>-IF(YEAR(V397)=YEAR(Assumptions!$F$30),SUM(V428:V433),0)</f>
        <v>0</v>
      </c>
      <c r="W434" s="151">
        <f>-IF(YEAR(W397)=YEAR(Assumptions!$F$30),SUM(W428:W433),0)</f>
        <v>0</v>
      </c>
      <c r="X434" s="151">
        <f>-IF(YEAR(X397)=YEAR(Assumptions!$F$30),SUM(X428:X433),0)</f>
        <v>0</v>
      </c>
      <c r="Y434" s="151">
        <f>-IF(YEAR(Y397)=YEAR(Assumptions!$F$30),SUM(Y428:Y433),0)</f>
        <v>0</v>
      </c>
      <c r="Z434" s="151">
        <f>-IF(YEAR(Z397)=YEAR(Assumptions!$F$30),SUM(Z428:Z433),0)</f>
        <v>0</v>
      </c>
    </row>
    <row r="435" spans="2:26" ht="15.5">
      <c r="B435" s="137" t="s">
        <v>384</v>
      </c>
      <c r="C435" s="137"/>
      <c r="D435" s="36">
        <f t="shared" ref="D435" ca="1" si="692">+SUM(F435:Z435)</f>
        <v>173911338.37884858</v>
      </c>
      <c r="E435" s="129"/>
      <c r="F435" s="129">
        <f ca="1">+SUM(F428:F434)</f>
        <v>62857885.033285916</v>
      </c>
      <c r="G435" s="129">
        <f t="shared" ref="G435:Z435" ca="1" si="693">+SUM(G428:G434)</f>
        <v>87488989.368558288</v>
      </c>
      <c r="H435" s="129">
        <f t="shared" ca="1" si="693"/>
        <v>87488989.368558288</v>
      </c>
      <c r="I435" s="129">
        <f t="shared" ca="1" si="693"/>
        <v>12028361.752768531</v>
      </c>
      <c r="J435" s="129">
        <f t="shared" ca="1" si="693"/>
        <v>4521358.789096836</v>
      </c>
      <c r="K435" s="129">
        <f t="shared" ca="1" si="693"/>
        <v>-2730757.6492403317</v>
      </c>
      <c r="L435" s="129">
        <f t="shared" ca="1" si="693"/>
        <v>-9711419.938096188</v>
      </c>
      <c r="M435" s="129">
        <f t="shared" ca="1" si="693"/>
        <v>-16402983.557754681</v>
      </c>
      <c r="N435" s="129">
        <f t="shared" ca="1" si="693"/>
        <v>-22786657.094717789</v>
      </c>
      <c r="O435" s="129">
        <f t="shared" ca="1" si="693"/>
        <v>-28842427.693610277</v>
      </c>
      <c r="P435" s="129">
        <f t="shared" ca="1" si="693"/>
        <v>0</v>
      </c>
      <c r="Q435" s="129">
        <f t="shared" ca="1" si="693"/>
        <v>0</v>
      </c>
      <c r="R435" s="129">
        <f t="shared" ca="1" si="693"/>
        <v>0</v>
      </c>
      <c r="S435" s="129">
        <f t="shared" ca="1" si="693"/>
        <v>0</v>
      </c>
      <c r="T435" s="129">
        <f t="shared" ca="1" si="693"/>
        <v>0</v>
      </c>
      <c r="U435" s="129">
        <f t="shared" ca="1" si="693"/>
        <v>0</v>
      </c>
      <c r="V435" s="129">
        <f t="shared" ca="1" si="693"/>
        <v>0</v>
      </c>
      <c r="W435" s="129">
        <f t="shared" ca="1" si="693"/>
        <v>0</v>
      </c>
      <c r="X435" s="129">
        <f t="shared" ca="1" si="693"/>
        <v>0</v>
      </c>
      <c r="Y435" s="129">
        <f t="shared" ca="1" si="693"/>
        <v>0</v>
      </c>
      <c r="Z435" s="129">
        <f t="shared" ca="1" si="693"/>
        <v>0</v>
      </c>
    </row>
  </sheetData>
  <phoneticPr fontId="79" type="noConversion"/>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2:XFA443"/>
  <sheetViews>
    <sheetView showGridLines="0" topLeftCell="B1" zoomScale="55" zoomScaleNormal="55" workbookViewId="0">
      <pane xSplit="4" ySplit="7" topLeftCell="F333" activePane="bottomRight" state="frozen"/>
      <selection activeCell="B1" sqref="B1"/>
      <selection pane="topRight" activeCell="F1" sqref="F1"/>
      <selection pane="bottomLeft" activeCell="B8" sqref="B8"/>
      <selection pane="bottomRight" activeCell="J353" sqref="J353"/>
    </sheetView>
  </sheetViews>
  <sheetFormatPr defaultColWidth="14.453125" defaultRowHeight="15.25"/>
  <cols>
    <col min="1" max="1" width="8.453125" style="41" customWidth="1"/>
    <col min="2" max="2" width="14.453125" style="41"/>
    <col min="3" max="3" width="23.36328125" style="41" customWidth="1"/>
    <col min="4" max="4" width="16.453125" style="41" bestFit="1" customWidth="1"/>
    <col min="5" max="5" width="14.81640625" style="41" customWidth="1"/>
    <col min="6" max="7" width="14.453125" style="41" customWidth="1"/>
    <col min="8" max="12" width="14.453125" style="41"/>
    <col min="13" max="13" width="15.6328125" style="41" bestFit="1" customWidth="1"/>
    <col min="14" max="16384" width="14.453125" style="41"/>
  </cols>
  <sheetData>
    <row r="2" spans="1:26" ht="15.5">
      <c r="B2" s="146" t="s">
        <v>243</v>
      </c>
      <c r="E2" s="146">
        <v>0</v>
      </c>
      <c r="F2" s="147">
        <f>+IF(F7&gt;=Assumptions!$G$26,'Phase II Pro Forma'!E2+1,'Phase II Pro Forma'!E2)</f>
        <v>0</v>
      </c>
      <c r="G2" s="147">
        <f>+IF(G7&gt;=Assumptions!$G$26,'Phase II Pro Forma'!F2+1,'Phase II Pro Forma'!F2)</f>
        <v>0</v>
      </c>
      <c r="H2" s="147">
        <f>+IF(H7&gt;=Assumptions!$G$26,'Phase II Pro Forma'!G2+1,'Phase II Pro Forma'!G2)</f>
        <v>0</v>
      </c>
      <c r="I2" s="147">
        <f>+IF(I7&gt;=Assumptions!$G$26,'Phase II Pro Forma'!H2+1,'Phase II Pro Forma'!H2)</f>
        <v>1</v>
      </c>
      <c r="J2" s="147">
        <f>+IF(J7&gt;=Assumptions!$G$26,'Phase II Pro Forma'!I2+1,'Phase II Pro Forma'!I2)</f>
        <v>2</v>
      </c>
      <c r="K2" s="147">
        <f>+IF(K7&gt;=Assumptions!$G$26,'Phase II Pro Forma'!J2+1,'Phase II Pro Forma'!J2)</f>
        <v>3</v>
      </c>
      <c r="L2" s="147">
        <f>+IF(L7&gt;=Assumptions!$G$26,'Phase II Pro Forma'!K2+1,'Phase II Pro Forma'!K2)</f>
        <v>4</v>
      </c>
      <c r="M2" s="147">
        <f>+IF(M7&gt;=Assumptions!$G$26,'Phase II Pro Forma'!L2+1,'Phase II Pro Forma'!L2)</f>
        <v>5</v>
      </c>
      <c r="N2" s="147">
        <f>+IF(N7&gt;=Assumptions!$G$26,'Phase II Pro Forma'!M2+1,'Phase II Pro Forma'!M2)</f>
        <v>6</v>
      </c>
      <c r="O2" s="147">
        <f>+IF(O7&gt;=Assumptions!$G$26,'Phase II Pro Forma'!N2+1,'Phase II Pro Forma'!N2)</f>
        <v>7</v>
      </c>
      <c r="P2" s="147">
        <f>+IF(P7&gt;=Assumptions!$G$26,'Phase II Pro Forma'!O2+1,'Phase II Pro Forma'!O2)</f>
        <v>8</v>
      </c>
      <c r="Q2" s="147">
        <f>+IF(Q7&gt;=Assumptions!$G$26,'Phase II Pro Forma'!P2+1,'Phase II Pro Forma'!P2)</f>
        <v>9</v>
      </c>
      <c r="R2" s="147">
        <f>+IF(R7&gt;=Assumptions!$G$26,'Phase II Pro Forma'!Q2+1,'Phase II Pro Forma'!Q2)</f>
        <v>10</v>
      </c>
      <c r="S2" s="147">
        <f>+IF(S7&gt;=Assumptions!$G$26,'Phase II Pro Forma'!R2+1,'Phase II Pro Forma'!R2)</f>
        <v>11</v>
      </c>
      <c r="T2" s="147">
        <f>+IF(T7&gt;=Assumptions!$G$26,'Phase II Pro Forma'!S2+1,'Phase II Pro Forma'!S2)</f>
        <v>12</v>
      </c>
      <c r="U2" s="147">
        <f>+IF(U7&gt;=Assumptions!$G$26,'Phase II Pro Forma'!T2+1,'Phase II Pro Forma'!T2)</f>
        <v>13</v>
      </c>
      <c r="V2" s="147">
        <f>+IF(V7&gt;=Assumptions!$G$26,'Phase II Pro Forma'!U2+1,'Phase II Pro Forma'!U2)</f>
        <v>14</v>
      </c>
      <c r="W2" s="147">
        <f>+IF(W7&gt;=Assumptions!$G$26,'Phase II Pro Forma'!V2+1,'Phase II Pro Forma'!V2)</f>
        <v>15</v>
      </c>
      <c r="X2" s="147">
        <f>+IF(X7&gt;=Assumptions!$G$26,'Phase II Pro Forma'!W2+1,'Phase II Pro Forma'!W2)</f>
        <v>16</v>
      </c>
      <c r="Y2" s="147">
        <f>+IF(Y7&gt;=Assumptions!$G$26,'Phase II Pro Forma'!X2+1,'Phase II Pro Forma'!X2)</f>
        <v>17</v>
      </c>
      <c r="Z2" s="147">
        <f>+IF(Z7&gt;=Assumptions!$G$26,'Phase II Pro Forma'!Y2+1,'Phase II Pro Forma'!Y2)</f>
        <v>18</v>
      </c>
    </row>
    <row r="3" spans="1:26" ht="15.5">
      <c r="B3" s="146" t="s">
        <v>261</v>
      </c>
      <c r="F3" s="147">
        <f>+IF(F7&gt;=Assumptions!$G$28,'Phase II Pro Forma'!E3+1,'Phase II Pro Forma'!E3)</f>
        <v>0</v>
      </c>
      <c r="G3" s="147">
        <f>+IF(G7&gt;=Assumptions!$G$28,'Phase II Pro Forma'!F3+1,'Phase II Pro Forma'!F3)</f>
        <v>0</v>
      </c>
      <c r="H3" s="147">
        <f>+IF(H7&gt;=Assumptions!$G$28,'Phase II Pro Forma'!G3+1,'Phase II Pro Forma'!G3)</f>
        <v>0</v>
      </c>
      <c r="I3" s="147">
        <f>+IF(I7&gt;=Assumptions!$G$28,'Phase II Pro Forma'!H3+1,'Phase II Pro Forma'!H3)</f>
        <v>0</v>
      </c>
      <c r="J3" s="147">
        <f>+IF(J7&gt;=Assumptions!$G$28,'Phase II Pro Forma'!I3+1,'Phase II Pro Forma'!I3)</f>
        <v>0</v>
      </c>
      <c r="K3" s="147">
        <f>+IF(K7&gt;=Assumptions!$G$28,'Phase II Pro Forma'!J3+1,'Phase II Pro Forma'!J3)</f>
        <v>1</v>
      </c>
      <c r="L3" s="147">
        <f>+IF(L7&gt;=Assumptions!$G$28,'Phase II Pro Forma'!K3+1,'Phase II Pro Forma'!K3)</f>
        <v>2</v>
      </c>
      <c r="M3" s="147">
        <f>+IF(M7&gt;=Assumptions!$G$28,'Phase II Pro Forma'!L3+1,'Phase II Pro Forma'!L3)</f>
        <v>3</v>
      </c>
      <c r="N3" s="147">
        <f>+IF(N7&gt;=Assumptions!$G$28,'Phase II Pro Forma'!M3+1,'Phase II Pro Forma'!M3)</f>
        <v>4</v>
      </c>
      <c r="O3" s="147">
        <f>+IF(O7&gt;=Assumptions!$G$28,'Phase II Pro Forma'!N3+1,'Phase II Pro Forma'!N3)</f>
        <v>5</v>
      </c>
      <c r="P3" s="147">
        <f>+IF(P7&gt;=Assumptions!$G$28,'Phase II Pro Forma'!O3+1,'Phase II Pro Forma'!O3)</f>
        <v>6</v>
      </c>
      <c r="Q3" s="147">
        <f>+IF(Q7&gt;=Assumptions!$G$28,'Phase II Pro Forma'!P3+1,'Phase II Pro Forma'!P3)</f>
        <v>7</v>
      </c>
      <c r="R3" s="147">
        <f>+IF(R7&gt;=Assumptions!$G$28,'Phase II Pro Forma'!Q3+1,'Phase II Pro Forma'!Q3)</f>
        <v>8</v>
      </c>
      <c r="S3" s="147">
        <f>+IF(S7&gt;=Assumptions!$G$28,'Phase II Pro Forma'!R3+1,'Phase II Pro Forma'!R3)</f>
        <v>9</v>
      </c>
      <c r="T3" s="147">
        <f>+IF(T7&gt;=Assumptions!$G$28,'Phase II Pro Forma'!S3+1,'Phase II Pro Forma'!S3)</f>
        <v>10</v>
      </c>
      <c r="U3" s="147">
        <f>+IF(U7&gt;=Assumptions!$G$28,'Phase II Pro Forma'!T3+1,'Phase II Pro Forma'!T3)</f>
        <v>11</v>
      </c>
      <c r="V3" s="147">
        <f>+IF(V7&gt;=Assumptions!$G$28,'Phase II Pro Forma'!U3+1,'Phase II Pro Forma'!U3)</f>
        <v>12</v>
      </c>
      <c r="W3" s="147">
        <f>+IF(W7&gt;=Assumptions!$G$28,'Phase II Pro Forma'!V3+1,'Phase II Pro Forma'!V3)</f>
        <v>13</v>
      </c>
      <c r="X3" s="147">
        <f>+IF(X7&gt;=Assumptions!$G$28,'Phase II Pro Forma'!W3+1,'Phase II Pro Forma'!W3)</f>
        <v>14</v>
      </c>
      <c r="Y3" s="147">
        <f>+IF(Y7&gt;=Assumptions!$G$28,'Phase II Pro Forma'!X3+1,'Phase II Pro Forma'!X3)</f>
        <v>15</v>
      </c>
      <c r="Z3" s="147">
        <f>+IF(Z7&gt;=Assumptions!$G$28,'Phase II Pro Forma'!Y3+1,'Phase II Pro Forma'!Y3)</f>
        <v>16</v>
      </c>
    </row>
    <row r="4" spans="1:26">
      <c r="F4" s="42"/>
      <c r="G4" s="42"/>
      <c r="H4" s="42"/>
      <c r="I4" s="42"/>
      <c r="J4" s="42"/>
      <c r="K4" s="42"/>
      <c r="L4" s="42"/>
      <c r="M4" s="42"/>
      <c r="N4" s="42"/>
    </row>
    <row r="5" spans="1:26" ht="15.5">
      <c r="B5" s="37" t="s">
        <v>697</v>
      </c>
      <c r="C5" s="38"/>
      <c r="D5" s="38"/>
      <c r="E5" s="38"/>
      <c r="F5" s="136"/>
      <c r="G5" s="136"/>
      <c r="H5" s="136"/>
      <c r="I5" s="136"/>
      <c r="J5" s="136"/>
      <c r="K5" s="136"/>
      <c r="L5" s="136"/>
      <c r="M5" s="136"/>
      <c r="N5" s="136"/>
      <c r="O5" s="136"/>
      <c r="P5" s="136"/>
      <c r="Q5" s="136"/>
      <c r="R5" s="136"/>
      <c r="S5" s="136"/>
      <c r="T5" s="136"/>
      <c r="U5" s="136"/>
      <c r="V5" s="136"/>
      <c r="W5" s="136"/>
      <c r="X5" s="136"/>
      <c r="Y5" s="136"/>
      <c r="Z5" s="136"/>
    </row>
    <row r="6" spans="1:26" ht="15.5">
      <c r="B6" s="119"/>
      <c r="F6" s="229">
        <f>+YEAR(F7)</f>
        <v>2023</v>
      </c>
      <c r="G6" s="229">
        <f t="shared" ref="G6:Z6" si="0">+YEAR(G7)</f>
        <v>2024</v>
      </c>
      <c r="H6" s="229">
        <f t="shared" si="0"/>
        <v>2025</v>
      </c>
      <c r="I6" s="229">
        <f t="shared" si="0"/>
        <v>2026</v>
      </c>
      <c r="J6" s="229">
        <f t="shared" si="0"/>
        <v>2027</v>
      </c>
      <c r="K6" s="229">
        <f t="shared" si="0"/>
        <v>2028</v>
      </c>
      <c r="L6" s="229">
        <f t="shared" si="0"/>
        <v>2029</v>
      </c>
      <c r="M6" s="229">
        <f t="shared" si="0"/>
        <v>2030</v>
      </c>
      <c r="N6" s="229">
        <f t="shared" si="0"/>
        <v>2031</v>
      </c>
      <c r="O6" s="229">
        <f t="shared" si="0"/>
        <v>2032</v>
      </c>
      <c r="P6" s="229">
        <f t="shared" si="0"/>
        <v>2033</v>
      </c>
      <c r="Q6" s="229">
        <f t="shared" si="0"/>
        <v>2034</v>
      </c>
      <c r="R6" s="229">
        <f t="shared" si="0"/>
        <v>2035</v>
      </c>
      <c r="S6" s="229">
        <f t="shared" si="0"/>
        <v>2036</v>
      </c>
      <c r="T6" s="229">
        <f t="shared" si="0"/>
        <v>2037</v>
      </c>
      <c r="U6" s="229">
        <f t="shared" si="0"/>
        <v>2038</v>
      </c>
      <c r="V6" s="229">
        <f t="shared" si="0"/>
        <v>2039</v>
      </c>
      <c r="W6" s="229">
        <f t="shared" si="0"/>
        <v>2040</v>
      </c>
      <c r="X6" s="229">
        <f t="shared" si="0"/>
        <v>2041</v>
      </c>
      <c r="Y6" s="229">
        <f t="shared" si="0"/>
        <v>2042</v>
      </c>
      <c r="Z6" s="229">
        <f t="shared" si="0"/>
        <v>2043</v>
      </c>
    </row>
    <row r="7" spans="1:26" ht="15.5">
      <c r="B7" s="148" t="s">
        <v>136</v>
      </c>
      <c r="C7" s="149"/>
      <c r="D7" s="149"/>
      <c r="E7" s="149"/>
      <c r="F7" s="150">
        <f>+Assumptions!$G$22</f>
        <v>45291</v>
      </c>
      <c r="G7" s="150">
        <f>+EOMONTH(F7,12)</f>
        <v>45657</v>
      </c>
      <c r="H7" s="150">
        <f t="shared" ref="H7:Z7" si="1">+EOMONTH(G7,12)</f>
        <v>46022</v>
      </c>
      <c r="I7" s="150">
        <f t="shared" si="1"/>
        <v>46387</v>
      </c>
      <c r="J7" s="150">
        <f t="shared" si="1"/>
        <v>46752</v>
      </c>
      <c r="K7" s="150">
        <f t="shared" si="1"/>
        <v>47118</v>
      </c>
      <c r="L7" s="150">
        <f t="shared" si="1"/>
        <v>47483</v>
      </c>
      <c r="M7" s="150">
        <f t="shared" si="1"/>
        <v>47848</v>
      </c>
      <c r="N7" s="150">
        <f t="shared" si="1"/>
        <v>48213</v>
      </c>
      <c r="O7" s="150">
        <f t="shared" si="1"/>
        <v>48579</v>
      </c>
      <c r="P7" s="150">
        <f t="shared" si="1"/>
        <v>48944</v>
      </c>
      <c r="Q7" s="150">
        <f t="shared" si="1"/>
        <v>49309</v>
      </c>
      <c r="R7" s="150">
        <f t="shared" si="1"/>
        <v>49674</v>
      </c>
      <c r="S7" s="150">
        <f t="shared" si="1"/>
        <v>50040</v>
      </c>
      <c r="T7" s="150">
        <f t="shared" si="1"/>
        <v>50405</v>
      </c>
      <c r="U7" s="150">
        <f t="shared" si="1"/>
        <v>50770</v>
      </c>
      <c r="V7" s="150">
        <f t="shared" si="1"/>
        <v>51135</v>
      </c>
      <c r="W7" s="150">
        <f t="shared" si="1"/>
        <v>51501</v>
      </c>
      <c r="X7" s="150">
        <f t="shared" si="1"/>
        <v>51866</v>
      </c>
      <c r="Y7" s="150">
        <f t="shared" si="1"/>
        <v>52231</v>
      </c>
      <c r="Z7" s="150">
        <f t="shared" si="1"/>
        <v>52596</v>
      </c>
    </row>
    <row r="8" spans="1:26" ht="15.5">
      <c r="A8" s="140" t="b">
        <f>+SUM(F8:Z8)=Assumptions!$F$55</f>
        <v>0</v>
      </c>
      <c r="B8" s="33" t="s">
        <v>690</v>
      </c>
      <c r="C8" s="33"/>
      <c r="D8" s="40"/>
      <c r="E8" s="44"/>
      <c r="F8" s="42">
        <f>+IF(AND(F7&gt;=Assumptions!$G$26,F7&lt;Assumptions!$G$28),Assumptions!$G$55/ROUNDUP((Assumptions!$G$27/12),0),0)</f>
        <v>0</v>
      </c>
      <c r="G8" s="42">
        <f>+IF(AND(G7&gt;=Assumptions!$G$26,G7&lt;Assumptions!$G$28),Assumptions!$G$55/ROUNDUP((Assumptions!$G$27/12),0),0)</f>
        <v>0</v>
      </c>
      <c r="H8" s="42">
        <f>+IF(AND(H7&gt;=Assumptions!$G$26,H7&lt;Assumptions!$G$28),Assumptions!$G$55/ROUNDUP((Assumptions!$G$27/12),0),0)</f>
        <v>0</v>
      </c>
      <c r="I8" s="42">
        <f>+IF(AND(I7&gt;=Assumptions!$G$26,I7&lt;Assumptions!$G$28),Assumptions!$G$55/ROUNDUP((Assumptions!$G$27/12),0),0)</f>
        <v>2.8999999999999998E-3</v>
      </c>
      <c r="J8" s="42">
        <f>+IF(AND(J7&gt;=Assumptions!$G$26,J7&lt;Assumptions!$G$28),Assumptions!$G$55/ROUNDUP((Assumptions!$G$27/12),0),0)</f>
        <v>2.8999999999999998E-3</v>
      </c>
      <c r="K8" s="42">
        <f>+IF(AND(K7&gt;=Assumptions!$G$26,K7&lt;Assumptions!$G$28),Assumptions!$G$55/ROUNDUP((Assumptions!$G$27/12),0),0)</f>
        <v>0</v>
      </c>
      <c r="L8" s="42">
        <f>+IF(AND(L7&gt;=Assumptions!$G$26,L7&lt;Assumptions!$G$28),Assumptions!$G$55/ROUNDUP((Assumptions!$G$27/12),0),0)</f>
        <v>0</v>
      </c>
      <c r="M8" s="42">
        <f>+IF(AND(M7&gt;=Assumptions!$G$26,M7&lt;Assumptions!$G$28),Assumptions!$G$55/ROUNDUP((Assumptions!$G$27/12),0),0)</f>
        <v>0</v>
      </c>
      <c r="N8" s="42">
        <f>+IF(AND(N7&gt;=Assumptions!$G$26,N7&lt;Assumptions!$G$28),Assumptions!$G$55/ROUNDUP((Assumptions!$G$27/12),0),0)</f>
        <v>0</v>
      </c>
      <c r="O8" s="42">
        <f>+IF(AND(O7&gt;=Assumptions!$G$26,O7&lt;Assumptions!$G$28),Assumptions!$G$55/ROUNDUP((Assumptions!$G$27/12),0),0)</f>
        <v>0</v>
      </c>
      <c r="P8" s="42">
        <f>+IF(AND(P7&gt;=Assumptions!$G$26,P7&lt;Assumptions!$G$28),Assumptions!$G$55/ROUNDUP((Assumptions!$G$27/12),0),0)</f>
        <v>0</v>
      </c>
      <c r="Q8" s="42">
        <f>+IF(AND(Q7&gt;=Assumptions!$G$26,Q7&lt;Assumptions!$G$28),Assumptions!$G$55/ROUNDUP((Assumptions!$G$27/12),0),0)</f>
        <v>0</v>
      </c>
      <c r="R8" s="42">
        <f>+IF(AND(R7&gt;=Assumptions!$G$26,R7&lt;Assumptions!$G$28),Assumptions!$G$55/ROUNDUP((Assumptions!$G$27/12),0),0)</f>
        <v>0</v>
      </c>
      <c r="S8" s="42">
        <f>+IF(AND(S7&gt;=Assumptions!$G$26,S7&lt;Assumptions!$G$28),Assumptions!$G$55/ROUNDUP((Assumptions!$G$27/12),0),0)</f>
        <v>0</v>
      </c>
      <c r="T8" s="42">
        <f>+IF(AND(T7&gt;=Assumptions!$G$26,T7&lt;Assumptions!$G$28),Assumptions!$G$55/ROUNDUP((Assumptions!$G$27/12),0),0)</f>
        <v>0</v>
      </c>
      <c r="U8" s="42">
        <f>+IF(AND(U7&gt;=Assumptions!$G$26,U7&lt;Assumptions!$G$28),Assumptions!$G$55/ROUNDUP((Assumptions!$G$27/12),0),0)</f>
        <v>0</v>
      </c>
      <c r="V8" s="42">
        <f>+IF(AND(V7&gt;=Assumptions!$G$26,V7&lt;Assumptions!$G$28),Assumptions!$G$55/ROUNDUP((Assumptions!$G$27/12),0),0)</f>
        <v>0</v>
      </c>
      <c r="W8" s="42">
        <f>+IF(AND(W7&gt;=Assumptions!$G$26,W7&lt;Assumptions!$G$28),Assumptions!$G$55/ROUNDUP((Assumptions!$G$27/12),0),0)</f>
        <v>0</v>
      </c>
      <c r="X8" s="42">
        <f>+IF(AND(X7&gt;=Assumptions!$G$26,X7&lt;Assumptions!$G$28),Assumptions!$G$55/ROUNDUP((Assumptions!$G$27/12),0),0)</f>
        <v>0</v>
      </c>
      <c r="Y8" s="42">
        <f>+IF(AND(Y7&gt;=Assumptions!$G$26,Y7&lt;Assumptions!$G$28),Assumptions!$G$55/ROUNDUP((Assumptions!$G$27/12),0),0)</f>
        <v>0</v>
      </c>
      <c r="Z8" s="42">
        <f>+IF(AND(Z7&gt;=Assumptions!$G$26,Z7&lt;Assumptions!$G$28),Assumptions!$G$55/ROUNDUP((Assumptions!$G$27/12),0),0)</f>
        <v>0</v>
      </c>
    </row>
    <row r="9" spans="1:26">
      <c r="B9" s="33" t="s">
        <v>231</v>
      </c>
      <c r="C9" s="33"/>
      <c r="D9" s="42">
        <v>0</v>
      </c>
      <c r="E9" s="42"/>
      <c r="F9" s="42">
        <f>+D9+F8</f>
        <v>0</v>
      </c>
      <c r="G9" s="42">
        <f t="shared" ref="G9:Z9" si="2">+F9+G8</f>
        <v>0</v>
      </c>
      <c r="H9" s="42">
        <f t="shared" si="2"/>
        <v>0</v>
      </c>
      <c r="I9" s="42">
        <f t="shared" si="2"/>
        <v>2.8999999999999998E-3</v>
      </c>
      <c r="J9" s="42">
        <f t="shared" si="2"/>
        <v>5.7999999999999996E-3</v>
      </c>
      <c r="K9" s="42">
        <f t="shared" si="2"/>
        <v>5.7999999999999996E-3</v>
      </c>
      <c r="L9" s="42">
        <f t="shared" si="2"/>
        <v>5.7999999999999996E-3</v>
      </c>
      <c r="M9" s="42">
        <f t="shared" si="2"/>
        <v>5.7999999999999996E-3</v>
      </c>
      <c r="N9" s="42">
        <f t="shared" si="2"/>
        <v>5.7999999999999996E-3</v>
      </c>
      <c r="O9" s="42">
        <f t="shared" si="2"/>
        <v>5.7999999999999996E-3</v>
      </c>
      <c r="P9" s="42">
        <f t="shared" si="2"/>
        <v>5.7999999999999996E-3</v>
      </c>
      <c r="Q9" s="42">
        <f t="shared" si="2"/>
        <v>5.7999999999999996E-3</v>
      </c>
      <c r="R9" s="42">
        <f t="shared" si="2"/>
        <v>5.7999999999999996E-3</v>
      </c>
      <c r="S9" s="42">
        <f t="shared" si="2"/>
        <v>5.7999999999999996E-3</v>
      </c>
      <c r="T9" s="42">
        <f t="shared" si="2"/>
        <v>5.7999999999999996E-3</v>
      </c>
      <c r="U9" s="42">
        <f t="shared" si="2"/>
        <v>5.7999999999999996E-3</v>
      </c>
      <c r="V9" s="42">
        <f t="shared" si="2"/>
        <v>5.7999999999999996E-3</v>
      </c>
      <c r="W9" s="42">
        <f t="shared" si="2"/>
        <v>5.7999999999999996E-3</v>
      </c>
      <c r="X9" s="42">
        <f t="shared" si="2"/>
        <v>5.7999999999999996E-3</v>
      </c>
      <c r="Y9" s="42">
        <f t="shared" si="2"/>
        <v>5.7999999999999996E-3</v>
      </c>
      <c r="Z9" s="42">
        <f t="shared" si="2"/>
        <v>5.7999999999999996E-3</v>
      </c>
    </row>
    <row r="10" spans="1:26">
      <c r="B10" s="33" t="s">
        <v>466</v>
      </c>
      <c r="C10" s="33"/>
      <c r="D10" s="42"/>
      <c r="E10" s="42"/>
      <c r="F10" s="42">
        <f>+F11-E11</f>
        <v>0</v>
      </c>
      <c r="G10" s="42">
        <f t="shared" ref="G10" si="3">+G11-F11</f>
        <v>0</v>
      </c>
      <c r="H10" s="42">
        <f t="shared" ref="H10" si="4">+H11-G11</f>
        <v>0</v>
      </c>
      <c r="I10" s="42">
        <f t="shared" ref="I10" si="5">+I11-H11</f>
        <v>5.5000000000000007E-6</v>
      </c>
      <c r="J10" s="42">
        <f t="shared" ref="J10" si="6">+J11-I11</f>
        <v>5.5000000000000007E-6</v>
      </c>
      <c r="K10" s="42">
        <f t="shared" ref="K10" si="7">+K11-J11</f>
        <v>0</v>
      </c>
      <c r="L10" s="42">
        <f t="shared" ref="L10" si="8">+L11-K11</f>
        <v>0</v>
      </c>
      <c r="M10" s="42">
        <f t="shared" ref="M10" si="9">+M11-L11</f>
        <v>0</v>
      </c>
      <c r="N10" s="42">
        <f t="shared" ref="N10" si="10">+N11-M11</f>
        <v>0</v>
      </c>
      <c r="O10" s="42">
        <f t="shared" ref="O10" si="11">+O11-N11</f>
        <v>0</v>
      </c>
      <c r="P10" s="42">
        <f t="shared" ref="P10" si="12">+P11-O11</f>
        <v>0</v>
      </c>
      <c r="Q10" s="42">
        <f t="shared" ref="Q10" si="13">+Q11-P11</f>
        <v>0</v>
      </c>
      <c r="R10" s="42">
        <f t="shared" ref="R10" si="14">+R11-Q11</f>
        <v>0</v>
      </c>
      <c r="S10" s="42">
        <f t="shared" ref="S10" si="15">+S11-R11</f>
        <v>0</v>
      </c>
      <c r="T10" s="42">
        <f t="shared" ref="T10" si="16">+T11-S11</f>
        <v>0</v>
      </c>
      <c r="U10" s="42">
        <f t="shared" ref="U10" si="17">+U11-T11</f>
        <v>0</v>
      </c>
      <c r="V10" s="42">
        <f t="shared" ref="V10" si="18">+V11-U11</f>
        <v>0</v>
      </c>
      <c r="W10" s="42">
        <f t="shared" ref="W10" si="19">+W11-V11</f>
        <v>0</v>
      </c>
      <c r="X10" s="42">
        <f t="shared" ref="X10" si="20">+X11-W11</f>
        <v>0</v>
      </c>
      <c r="Y10" s="42">
        <f t="shared" ref="Y10" si="21">+Y11-X11</f>
        <v>0</v>
      </c>
      <c r="Z10" s="42">
        <f t="shared" ref="Z10" si="22">+Z11-Y11</f>
        <v>0</v>
      </c>
    </row>
    <row r="11" spans="1:26">
      <c r="B11" s="33" t="s">
        <v>232</v>
      </c>
      <c r="C11" s="33"/>
      <c r="D11" s="42"/>
      <c r="E11" s="42"/>
      <c r="F11" s="42">
        <f>+F12*Assumptions!$G$56</f>
        <v>0</v>
      </c>
      <c r="G11" s="42">
        <f>+G12*Assumptions!$G$56</f>
        <v>0</v>
      </c>
      <c r="H11" s="42">
        <f>+H12*Assumptions!$G$56</f>
        <v>0</v>
      </c>
      <c r="I11" s="42">
        <f>+I12*Assumptions!$G$56</f>
        <v>5.5000000000000007E-6</v>
      </c>
      <c r="J11" s="42">
        <f>+J12*Assumptions!$G$56</f>
        <v>1.1000000000000001E-5</v>
      </c>
      <c r="K11" s="42">
        <f>+K12*Assumptions!$G$56</f>
        <v>1.1000000000000001E-5</v>
      </c>
      <c r="L11" s="42">
        <f>+L12*Assumptions!$G$56</f>
        <v>1.1000000000000001E-5</v>
      </c>
      <c r="M11" s="42">
        <f>+M12*Assumptions!$G$56</f>
        <v>1.1000000000000001E-5</v>
      </c>
      <c r="N11" s="42">
        <f>+N12*Assumptions!$G$56</f>
        <v>1.1000000000000001E-5</v>
      </c>
      <c r="O11" s="42">
        <f>+O12*Assumptions!$G$56</f>
        <v>1.1000000000000001E-5</v>
      </c>
      <c r="P11" s="42">
        <f>+P12*Assumptions!$G$56</f>
        <v>1.1000000000000001E-5</v>
      </c>
      <c r="Q11" s="42">
        <f>+Q12*Assumptions!$G$56</f>
        <v>1.1000000000000001E-5</v>
      </c>
      <c r="R11" s="42">
        <f>+R12*Assumptions!$G$56</f>
        <v>1.1000000000000001E-5</v>
      </c>
      <c r="S11" s="42">
        <f>+S12*Assumptions!$G$56</f>
        <v>1.1000000000000001E-5</v>
      </c>
      <c r="T11" s="42">
        <f>+T12*Assumptions!$G$56</f>
        <v>1.1000000000000001E-5</v>
      </c>
      <c r="U11" s="42">
        <f>+U12*Assumptions!$G$56</f>
        <v>1.1000000000000001E-5</v>
      </c>
      <c r="V11" s="42">
        <f>+V12*Assumptions!$G$56</f>
        <v>1.1000000000000001E-5</v>
      </c>
      <c r="W11" s="42">
        <f>+W12*Assumptions!$G$56</f>
        <v>1.1000000000000001E-5</v>
      </c>
      <c r="X11" s="42">
        <f>+X12*Assumptions!$G$56</f>
        <v>1.1000000000000001E-5</v>
      </c>
      <c r="Y11" s="42">
        <f>+Y12*Assumptions!$G$56</f>
        <v>1.1000000000000001E-5</v>
      </c>
      <c r="Z11" s="42">
        <f>+Z12*Assumptions!$G$56</f>
        <v>1.1000000000000001E-5</v>
      </c>
    </row>
    <row r="12" spans="1:26">
      <c r="B12" s="33" t="s">
        <v>285</v>
      </c>
      <c r="C12" s="33"/>
      <c r="D12" s="42"/>
      <c r="E12" s="42"/>
      <c r="F12" s="108">
        <f>+F9/SUM($F$8:$Z$8)</f>
        <v>0</v>
      </c>
      <c r="G12" s="108">
        <f t="shared" ref="G12:Z12" si="23">+G9/SUM($F$8:$Z$8)</f>
        <v>0</v>
      </c>
      <c r="H12" s="108">
        <f t="shared" si="23"/>
        <v>0</v>
      </c>
      <c r="I12" s="108">
        <f t="shared" si="23"/>
        <v>0.5</v>
      </c>
      <c r="J12" s="108">
        <f t="shared" si="23"/>
        <v>1</v>
      </c>
      <c r="K12" s="108">
        <f t="shared" si="23"/>
        <v>1</v>
      </c>
      <c r="L12" s="108">
        <f t="shared" si="23"/>
        <v>1</v>
      </c>
      <c r="M12" s="108">
        <f t="shared" si="23"/>
        <v>1</v>
      </c>
      <c r="N12" s="108">
        <f t="shared" si="23"/>
        <v>1</v>
      </c>
      <c r="O12" s="108">
        <f t="shared" si="23"/>
        <v>1</v>
      </c>
      <c r="P12" s="108">
        <f t="shared" si="23"/>
        <v>1</v>
      </c>
      <c r="Q12" s="108">
        <f t="shared" si="23"/>
        <v>1</v>
      </c>
      <c r="R12" s="108">
        <f t="shared" si="23"/>
        <v>1</v>
      </c>
      <c r="S12" s="108">
        <f t="shared" si="23"/>
        <v>1</v>
      </c>
      <c r="T12" s="108">
        <f t="shared" si="23"/>
        <v>1</v>
      </c>
      <c r="U12" s="108">
        <f t="shared" si="23"/>
        <v>1</v>
      </c>
      <c r="V12" s="108">
        <f t="shared" si="23"/>
        <v>1</v>
      </c>
      <c r="W12" s="108">
        <f t="shared" si="23"/>
        <v>1</v>
      </c>
      <c r="X12" s="108">
        <f t="shared" si="23"/>
        <v>1</v>
      </c>
      <c r="Y12" s="108">
        <f t="shared" si="23"/>
        <v>1</v>
      </c>
      <c r="Z12" s="108">
        <f t="shared" si="23"/>
        <v>1</v>
      </c>
    </row>
    <row r="13" spans="1:26">
      <c r="B13" s="33"/>
      <c r="C13" s="33"/>
      <c r="D13" s="42"/>
      <c r="E13" s="42"/>
      <c r="F13" s="108"/>
      <c r="G13" s="108"/>
      <c r="H13" s="108"/>
      <c r="I13" s="108"/>
      <c r="J13" s="108"/>
      <c r="K13" s="108"/>
      <c r="L13" s="108"/>
      <c r="M13" s="108"/>
      <c r="N13" s="108"/>
      <c r="O13" s="108"/>
      <c r="P13" s="108"/>
      <c r="Q13" s="108"/>
      <c r="R13" s="108"/>
      <c r="S13" s="108"/>
      <c r="T13" s="108"/>
      <c r="U13" s="108"/>
      <c r="V13" s="108"/>
      <c r="W13" s="108"/>
      <c r="X13" s="108"/>
      <c r="Y13" s="108"/>
      <c r="Z13" s="108"/>
    </row>
    <row r="14" spans="1:26">
      <c r="B14" s="33" t="s">
        <v>236</v>
      </c>
      <c r="C14" s="33"/>
      <c r="D14" s="42"/>
      <c r="E14" s="42"/>
      <c r="F14" s="108">
        <v>1</v>
      </c>
      <c r="G14" s="108">
        <f>+F14*(1+Assumptions!$O$63)</f>
        <v>1.02</v>
      </c>
      <c r="H14" s="108">
        <f>+G14*(1+Assumptions!$O$63)</f>
        <v>1.0404</v>
      </c>
      <c r="I14" s="108">
        <f>+H14*(1+Assumptions!$O$63)</f>
        <v>1.0612079999999999</v>
      </c>
      <c r="J14" s="108">
        <f>+I14*(1+Assumptions!$O$63)</f>
        <v>1.08243216</v>
      </c>
      <c r="K14" s="108">
        <f>+J14*(1+Assumptions!$O$63)</f>
        <v>1.1040808032</v>
      </c>
      <c r="L14" s="108">
        <f>+K14*(1+Assumptions!$O$63)</f>
        <v>1.1261624192640001</v>
      </c>
      <c r="M14" s="108">
        <f>+L14*(1+Assumptions!$O$63)</f>
        <v>1.14868566764928</v>
      </c>
      <c r="N14" s="108">
        <f>+M14*(1+Assumptions!$O$63)</f>
        <v>1.1716593810022657</v>
      </c>
      <c r="O14" s="108">
        <f>+N14*(1+Assumptions!$O$63)</f>
        <v>1.1950925686223111</v>
      </c>
      <c r="P14" s="108">
        <f>+O14*(1+Assumptions!$O$63)</f>
        <v>1.2189944199947573</v>
      </c>
      <c r="Q14" s="108">
        <f>+P14*(1+Assumptions!$O$63)</f>
        <v>1.2433743083946525</v>
      </c>
      <c r="R14" s="108">
        <f>+Q14*(1+Assumptions!$O$63)</f>
        <v>1.2682417945625455</v>
      </c>
      <c r="S14" s="108">
        <f>+R14*(1+Assumptions!$O$63)</f>
        <v>1.2936066304537963</v>
      </c>
      <c r="T14" s="108">
        <f>+S14*(1+Assumptions!$O$63)</f>
        <v>1.3194787630628724</v>
      </c>
      <c r="U14" s="108">
        <f>+T14*(1+Assumptions!$O$63)</f>
        <v>1.3458683383241299</v>
      </c>
      <c r="V14" s="108">
        <f>+U14*(1+Assumptions!$O$63)</f>
        <v>1.3727857050906125</v>
      </c>
      <c r="W14" s="108">
        <f>+V14*(1+Assumptions!$O$63)</f>
        <v>1.4002414191924248</v>
      </c>
      <c r="X14" s="108">
        <f>+W14*(1+Assumptions!$O$63)</f>
        <v>1.4282462475762734</v>
      </c>
      <c r="Y14" s="108">
        <f>+X14*(1+Assumptions!$O$63)</f>
        <v>1.4568111725277988</v>
      </c>
      <c r="Z14" s="108">
        <f>+Y14*(1+Assumptions!$O$63)</f>
        <v>1.4859473959783549</v>
      </c>
    </row>
    <row r="15" spans="1:26">
      <c r="B15" s="33" t="s">
        <v>237</v>
      </c>
      <c r="C15" s="33"/>
      <c r="D15" s="42"/>
      <c r="E15" s="42"/>
      <c r="F15" s="108">
        <v>1</v>
      </c>
      <c r="G15" s="108">
        <f>+F15*(1+Assumptions!$O$76)</f>
        <v>1.03</v>
      </c>
      <c r="H15" s="108">
        <f>+G15*(1+Assumptions!$O$76)</f>
        <v>1.0609</v>
      </c>
      <c r="I15" s="108">
        <f>+H15*(1+Assumptions!$O$76)</f>
        <v>1.092727</v>
      </c>
      <c r="J15" s="108">
        <f>+I15*(1+Assumptions!$O$76)</f>
        <v>1.1255088100000001</v>
      </c>
      <c r="K15" s="108">
        <f>+J15*(1+Assumptions!$O$76)</f>
        <v>1.1592740743000001</v>
      </c>
      <c r="L15" s="108">
        <f>+K15*(1+Assumptions!$O$76)</f>
        <v>1.1940522965290001</v>
      </c>
      <c r="M15" s="108">
        <f>+L15*(1+Assumptions!$O$76)</f>
        <v>1.2298738654248702</v>
      </c>
      <c r="N15" s="108">
        <f>+M15*(1+Assumptions!$O$76)</f>
        <v>1.2667700813876164</v>
      </c>
      <c r="O15" s="108">
        <f>+N15*(1+Assumptions!$O$76)</f>
        <v>1.3047731838292449</v>
      </c>
      <c r="P15" s="108">
        <f>+O15*(1+Assumptions!$O$76)</f>
        <v>1.3439163793441222</v>
      </c>
      <c r="Q15" s="108">
        <f>+P15*(1+Assumptions!$O$76)</f>
        <v>1.3842338707244459</v>
      </c>
      <c r="R15" s="108">
        <f>+Q15*(1+Assumptions!$O$76)</f>
        <v>1.4257608868461793</v>
      </c>
      <c r="S15" s="108">
        <f>+R15*(1+Assumptions!$O$76)</f>
        <v>1.4685337134515648</v>
      </c>
      <c r="T15" s="108">
        <f>+S15*(1+Assumptions!$O$76)</f>
        <v>1.5125897248551119</v>
      </c>
      <c r="U15" s="108">
        <f>+T15*(1+Assumptions!$O$76)</f>
        <v>1.5579674166007653</v>
      </c>
      <c r="V15" s="108">
        <f>+U15*(1+Assumptions!$O$76)</f>
        <v>1.6047064390987884</v>
      </c>
      <c r="W15" s="108">
        <f>+V15*(1+Assumptions!$O$76)</f>
        <v>1.652847632271752</v>
      </c>
      <c r="X15" s="108">
        <f>+W15*(1+Assumptions!$O$76)</f>
        <v>1.7024330612399046</v>
      </c>
      <c r="Y15" s="108">
        <f>+X15*(1+Assumptions!$O$76)</f>
        <v>1.7535060530771018</v>
      </c>
      <c r="Z15" s="108">
        <f>+Y15*(1+Assumptions!$O$76)</f>
        <v>1.806111234669415</v>
      </c>
    </row>
    <row r="16" spans="1:26">
      <c r="B16" s="33"/>
      <c r="C16" s="33"/>
      <c r="D16" s="40"/>
      <c r="E16" s="40"/>
      <c r="F16" s="34"/>
      <c r="G16" s="34"/>
      <c r="H16" s="34"/>
      <c r="I16" s="34"/>
      <c r="J16" s="34"/>
      <c r="K16" s="34"/>
      <c r="L16" s="34"/>
      <c r="M16" s="34"/>
      <c r="N16" s="34"/>
      <c r="O16" s="34"/>
      <c r="P16" s="34"/>
      <c r="Q16" s="34"/>
      <c r="R16" s="34"/>
      <c r="S16" s="34"/>
      <c r="T16" s="34"/>
      <c r="U16" s="34"/>
      <c r="V16" s="34"/>
      <c r="W16" s="34"/>
      <c r="X16" s="34"/>
      <c r="Y16" s="34"/>
      <c r="Z16" s="34"/>
    </row>
    <row r="17" spans="2:26">
      <c r="B17" s="33" t="s">
        <v>228</v>
      </c>
      <c r="C17" s="33"/>
      <c r="D17" s="40"/>
      <c r="E17" s="40"/>
      <c r="F17" s="34">
        <f>+F12*Assumptions!$G$54*F14</f>
        <v>0</v>
      </c>
      <c r="G17" s="34">
        <f>+G12*Assumptions!$G$54*G14</f>
        <v>0</v>
      </c>
      <c r="H17" s="34">
        <f>+H12*Assumptions!$G$54*H14</f>
        <v>0</v>
      </c>
      <c r="I17" s="34">
        <f>+I12*Assumptions!$G$54*I14</f>
        <v>7.590555521999999E-2</v>
      </c>
      <c r="J17" s="34">
        <f>+J12*Assumptions!$G$54*J14</f>
        <v>0.15484733264879999</v>
      </c>
      <c r="K17" s="34">
        <f>+K12*Assumptions!$G$54*K14</f>
        <v>0.15794427930177599</v>
      </c>
      <c r="L17" s="34">
        <f>+L12*Assumptions!$G$54*L14</f>
        <v>0.16110316488781151</v>
      </c>
      <c r="M17" s="34">
        <f>+M12*Assumptions!$G$54*M14</f>
        <v>0.16432522818556775</v>
      </c>
      <c r="N17" s="34">
        <f>+N12*Assumptions!$G$54*N14</f>
        <v>0.16761173274927912</v>
      </c>
      <c r="O17" s="34">
        <f>+O12*Assumptions!$G$54*O14</f>
        <v>0.1709639674042647</v>
      </c>
      <c r="P17" s="34">
        <f>+P12*Assumptions!$G$54*P14</f>
        <v>0.17438324675235001</v>
      </c>
      <c r="Q17" s="34">
        <f>+Q12*Assumptions!$G$54*Q14</f>
        <v>0.17787091168739699</v>
      </c>
      <c r="R17" s="34">
        <f>+R12*Assumptions!$G$54*R14</f>
        <v>0.18142832992114494</v>
      </c>
      <c r="S17" s="34">
        <f>+S12*Assumptions!$G$54*S14</f>
        <v>0.1850568965195678</v>
      </c>
      <c r="T17" s="34">
        <f>+T12*Assumptions!$G$54*T14</f>
        <v>0.1887580344499592</v>
      </c>
      <c r="U17" s="34">
        <f>+U12*Assumptions!$G$54*U14</f>
        <v>0.19253319513895839</v>
      </c>
      <c r="V17" s="34">
        <f>+V12*Assumptions!$G$54*V14</f>
        <v>0.19638385904173755</v>
      </c>
      <c r="W17" s="34">
        <f>+W12*Assumptions!$G$54*W14</f>
        <v>0.20031153622257231</v>
      </c>
      <c r="X17" s="34">
        <f>+X12*Assumptions!$G$54*X14</f>
        <v>0.20431776694702378</v>
      </c>
      <c r="Y17" s="34">
        <f>+Y12*Assumptions!$G$54*Y14</f>
        <v>0.20840412228596425</v>
      </c>
      <c r="Z17" s="34">
        <f>+Z12*Assumptions!$G$54*Z14</f>
        <v>0.21257220473168353</v>
      </c>
    </row>
    <row r="18" spans="2:26">
      <c r="B18" s="33" t="s">
        <v>229</v>
      </c>
      <c r="C18" s="33"/>
      <c r="D18" s="40"/>
      <c r="E18" s="40"/>
      <c r="F18" s="42">
        <f>-F17*Assumptions!$O$54</f>
        <v>0</v>
      </c>
      <c r="G18" s="42">
        <f>-G17*Assumptions!$O$54</f>
        <v>0</v>
      </c>
      <c r="H18" s="42">
        <f>-H17*Assumptions!$O$54</f>
        <v>0</v>
      </c>
      <c r="I18" s="42">
        <f>-I17*Assumptions!$O$54</f>
        <v>-3.7952777609999997E-3</v>
      </c>
      <c r="J18" s="42">
        <f>-J17*Assumptions!$O$54</f>
        <v>-7.7423666324400002E-3</v>
      </c>
      <c r="K18" s="42">
        <f>-K17*Assumptions!$O$54</f>
        <v>-7.897213965088799E-3</v>
      </c>
      <c r="L18" s="42">
        <f>-L17*Assumptions!$O$54</f>
        <v>-8.0551582443905752E-3</v>
      </c>
      <c r="M18" s="42">
        <f>-M17*Assumptions!$O$54</f>
        <v>-8.216261409278388E-3</v>
      </c>
      <c r="N18" s="42">
        <f>-N17*Assumptions!$O$54</f>
        <v>-8.3805866374639573E-3</v>
      </c>
      <c r="O18" s="42">
        <f>-O17*Assumptions!$O$54</f>
        <v>-8.548198370213235E-3</v>
      </c>
      <c r="P18" s="42">
        <f>-P17*Assumptions!$O$54</f>
        <v>-8.7191623376175007E-3</v>
      </c>
      <c r="Q18" s="42">
        <f>-Q17*Assumptions!$O$54</f>
        <v>-8.8935455843698503E-3</v>
      </c>
      <c r="R18" s="42">
        <f>-R17*Assumptions!$O$54</f>
        <v>-9.0714164960572479E-3</v>
      </c>
      <c r="S18" s="42">
        <f>-S17*Assumptions!$O$54</f>
        <v>-9.2528448259783912E-3</v>
      </c>
      <c r="T18" s="42">
        <f>-T17*Assumptions!$O$54</f>
        <v>-9.437901722497961E-3</v>
      </c>
      <c r="U18" s="42">
        <f>-U17*Assumptions!$O$54</f>
        <v>-9.6266597569479202E-3</v>
      </c>
      <c r="V18" s="42">
        <f>-V17*Assumptions!$O$54</f>
        <v>-9.819192952086879E-3</v>
      </c>
      <c r="W18" s="42">
        <f>-W17*Assumptions!$O$54</f>
        <v>-1.0015576811128616E-2</v>
      </c>
      <c r="X18" s="42">
        <f>-X17*Assumptions!$O$54</f>
        <v>-1.0215888347351189E-2</v>
      </c>
      <c r="Y18" s="42">
        <f>-Y17*Assumptions!$O$54</f>
        <v>-1.0420206114298213E-2</v>
      </c>
      <c r="Z18" s="42">
        <f>-Z17*Assumptions!$O$54</f>
        <v>-1.0628610236584178E-2</v>
      </c>
    </row>
    <row r="19" spans="2:26">
      <c r="B19" s="33" t="s">
        <v>361</v>
      </c>
      <c r="C19" s="33"/>
      <c r="D19" s="40"/>
      <c r="E19" s="40"/>
      <c r="F19" s="151">
        <f>+F11*Assumptions!$G$89*(1-Assumptions!$O$54)*12</f>
        <v>0</v>
      </c>
      <c r="G19" s="151">
        <f>+G11*Assumptions!$G$89*(1-Assumptions!$O$54)*12</f>
        <v>0</v>
      </c>
      <c r="H19" s="151">
        <f>+H11*Assumptions!$G$89*(1-Assumptions!$O$54)*12</f>
        <v>0</v>
      </c>
      <c r="I19" s="151">
        <f>+I11*Assumptions!$G$89*(1-Assumptions!$O$54)*12</f>
        <v>3.1350000000000003E-4</v>
      </c>
      <c r="J19" s="151">
        <f>+J11*Assumptions!$G$89*(1-Assumptions!$O$54)*12</f>
        <v>6.2700000000000006E-4</v>
      </c>
      <c r="K19" s="151">
        <f>+K11*Assumptions!$G$89*(1-Assumptions!$O$54)*12</f>
        <v>6.2700000000000006E-4</v>
      </c>
      <c r="L19" s="151">
        <f>+L11*Assumptions!$G$89*(1-Assumptions!$O$54)*12</f>
        <v>6.2700000000000006E-4</v>
      </c>
      <c r="M19" s="151">
        <f>+M11*Assumptions!$G$89*(1-Assumptions!$O$54)*12</f>
        <v>6.2700000000000006E-4</v>
      </c>
      <c r="N19" s="151">
        <f>+N11*Assumptions!$G$89*(1-Assumptions!$O$54)*12</f>
        <v>6.2700000000000006E-4</v>
      </c>
      <c r="O19" s="151">
        <f>+O11*Assumptions!$G$89*(1-Assumptions!$O$54)*12</f>
        <v>6.2700000000000006E-4</v>
      </c>
      <c r="P19" s="151">
        <f>+P11*Assumptions!$G$89*(1-Assumptions!$O$54)*12</f>
        <v>6.2700000000000006E-4</v>
      </c>
      <c r="Q19" s="151">
        <f>+Q11*Assumptions!$G$89*(1-Assumptions!$O$54)*12</f>
        <v>6.2700000000000006E-4</v>
      </c>
      <c r="R19" s="151">
        <f>+R11*Assumptions!$G$89*(1-Assumptions!$O$54)*12</f>
        <v>6.2700000000000006E-4</v>
      </c>
      <c r="S19" s="151">
        <f>+S11*Assumptions!$G$89*(1-Assumptions!$O$54)*12</f>
        <v>6.2700000000000006E-4</v>
      </c>
      <c r="T19" s="151">
        <f>+T11*Assumptions!$G$89*(1-Assumptions!$O$54)*12</f>
        <v>6.2700000000000006E-4</v>
      </c>
      <c r="U19" s="151">
        <f>+U11*Assumptions!$G$89*(1-Assumptions!$O$54)*12</f>
        <v>6.2700000000000006E-4</v>
      </c>
      <c r="V19" s="151">
        <f>+V11*Assumptions!$G$89*(1-Assumptions!$O$54)*12</f>
        <v>6.2700000000000006E-4</v>
      </c>
      <c r="W19" s="151">
        <f>+W11*Assumptions!$G$89*(1-Assumptions!$O$54)*12</f>
        <v>6.2700000000000006E-4</v>
      </c>
      <c r="X19" s="151">
        <f>+X11*Assumptions!$G$89*(1-Assumptions!$O$54)*12</f>
        <v>6.2700000000000006E-4</v>
      </c>
      <c r="Y19" s="151">
        <f>+Y11*Assumptions!$G$89*(1-Assumptions!$O$54)*12</f>
        <v>6.2700000000000006E-4</v>
      </c>
      <c r="Z19" s="151">
        <f>+Z11*Assumptions!$G$89*(1-Assumptions!$O$54)*12</f>
        <v>6.2700000000000006E-4</v>
      </c>
    </row>
    <row r="20" spans="2:26">
      <c r="B20" s="137" t="s">
        <v>238</v>
      </c>
      <c r="C20" s="137"/>
      <c r="D20" s="137"/>
      <c r="E20" s="137"/>
      <c r="F20" s="129">
        <f t="shared" ref="F20:Z20" si="24">+SUM(F17:F19)</f>
        <v>0</v>
      </c>
      <c r="G20" s="129">
        <f t="shared" si="24"/>
        <v>0</v>
      </c>
      <c r="H20" s="129">
        <f t="shared" si="24"/>
        <v>0</v>
      </c>
      <c r="I20" s="129">
        <f t="shared" si="24"/>
        <v>7.2423777458999986E-2</v>
      </c>
      <c r="J20" s="129">
        <f t="shared" si="24"/>
        <v>0.14773196601635999</v>
      </c>
      <c r="K20" s="129">
        <f t="shared" si="24"/>
        <v>0.15067406533668717</v>
      </c>
      <c r="L20" s="129">
        <f t="shared" si="24"/>
        <v>0.15367500664342093</v>
      </c>
      <c r="M20" s="129">
        <f t="shared" si="24"/>
        <v>0.15673596677628934</v>
      </c>
      <c r="N20" s="129">
        <f t="shared" si="24"/>
        <v>0.15985814611181515</v>
      </c>
      <c r="O20" s="129">
        <f t="shared" si="24"/>
        <v>0.16304276903405146</v>
      </c>
      <c r="P20" s="129">
        <f t="shared" si="24"/>
        <v>0.1662910844147325</v>
      </c>
      <c r="Q20" s="129">
        <f t="shared" si="24"/>
        <v>0.16960436610302712</v>
      </c>
      <c r="R20" s="129">
        <f t="shared" si="24"/>
        <v>0.17298391342508768</v>
      </c>
      <c r="S20" s="129">
        <f t="shared" si="24"/>
        <v>0.17643105169358941</v>
      </c>
      <c r="T20" s="129">
        <f t="shared" si="24"/>
        <v>0.17994713272746124</v>
      </c>
      <c r="U20" s="129">
        <f t="shared" si="24"/>
        <v>0.18353353538201045</v>
      </c>
      <c r="V20" s="129">
        <f t="shared" si="24"/>
        <v>0.18719166608965065</v>
      </c>
      <c r="W20" s="129">
        <f t="shared" si="24"/>
        <v>0.19092295941144369</v>
      </c>
      <c r="X20" s="129">
        <f t="shared" si="24"/>
        <v>0.19472887859967258</v>
      </c>
      <c r="Y20" s="129">
        <f t="shared" si="24"/>
        <v>0.19861091617166601</v>
      </c>
      <c r="Z20" s="129">
        <f t="shared" si="24"/>
        <v>0.20257059449509934</v>
      </c>
    </row>
    <row r="22" spans="2:26">
      <c r="B22" s="33" t="s">
        <v>371</v>
      </c>
      <c r="F22" s="34">
        <f>+F11*Assumptions!$O$95*F15</f>
        <v>0</v>
      </c>
      <c r="G22" s="34">
        <f>+G11*Assumptions!$O$95*G15</f>
        <v>0</v>
      </c>
      <c r="H22" s="34">
        <f>+H11*Assumptions!$O$95*H15</f>
        <v>0</v>
      </c>
      <c r="I22" s="34">
        <f>+I11*Assumptions!$O$95*I15</f>
        <v>3.1478396361167303E-2</v>
      </c>
      <c r="J22" s="34">
        <f>+J11*Assumptions!$O$95*J15</f>
        <v>6.4845496504004646E-2</v>
      </c>
      <c r="K22" s="34">
        <f>+K11*Assumptions!$O$95*K15</f>
        <v>6.6790861399124782E-2</v>
      </c>
      <c r="L22" s="34">
        <f>+L11*Assumptions!$O$95*L15</f>
        <v>6.8794587241098534E-2</v>
      </c>
      <c r="M22" s="34">
        <f>+M11*Assumptions!$O$95*M15</f>
        <v>7.0858424858331492E-2</v>
      </c>
      <c r="N22" s="34">
        <f>+N11*Assumptions!$O$95*N15</f>
        <v>7.2984177604081435E-2</v>
      </c>
      <c r="O22" s="34">
        <f>+O11*Assumptions!$O$95*O15</f>
        <v>7.5173702932203879E-2</v>
      </c>
      <c r="P22" s="34">
        <f>+P11*Assumptions!$O$95*P15</f>
        <v>7.7428914020169992E-2</v>
      </c>
      <c r="Q22" s="34">
        <f>+Q11*Assumptions!$O$95*Q15</f>
        <v>7.9751781440775105E-2</v>
      </c>
      <c r="R22" s="34">
        <f>+R11*Assumptions!$O$95*R15</f>
        <v>8.2144334883998346E-2</v>
      </c>
      <c r="S22" s="34">
        <f>+S11*Assumptions!$O$95*S15</f>
        <v>8.4608664930518315E-2</v>
      </c>
      <c r="T22" s="34">
        <f>+T11*Assumptions!$O$95*T15</f>
        <v>8.7146924878433868E-2</v>
      </c>
      <c r="U22" s="34">
        <f>+U11*Assumptions!$O$95*U15</f>
        <v>8.9761332624786888E-2</v>
      </c>
      <c r="V22" s="34">
        <f>+V11*Assumptions!$O$95*V15</f>
        <v>9.2454172603530504E-2</v>
      </c>
      <c r="W22" s="34">
        <f>+W11*Assumptions!$O$95*W15</f>
        <v>9.5227797781636411E-2</v>
      </c>
      <c r="X22" s="34">
        <f>+X11*Assumptions!$O$95*X15</f>
        <v>9.808463171508551E-2</v>
      </c>
      <c r="Y22" s="34">
        <f>+Y11*Assumptions!$O$95*Y15</f>
        <v>0.10102717066653807</v>
      </c>
      <c r="Z22" s="34">
        <f>+Z11*Assumptions!$O$95*Z15</f>
        <v>0.10405798578653423</v>
      </c>
    </row>
    <row r="23" spans="2:26">
      <c r="B23" s="33" t="s">
        <v>308</v>
      </c>
      <c r="F23" s="812">
        <f ca="1">+IFERROR(IFERROR(INDEX('Taxes and TIF'!$AC$11:$AC$45,MATCH('Phase II Pro Forma'!F$7,'Taxes and TIF'!$R$11:$R$45,0)),0)*'Loan Sizing'!$K$15*F12,0)</f>
        <v>0</v>
      </c>
      <c r="G23" s="151">
        <f ca="1">+IFERROR(IFERROR(INDEX('Taxes and TIF'!$AC$11:$AC$45,MATCH('Phase II Pro Forma'!G$7,'Taxes and TIF'!$R$11:$R$45,0)),0)*'Loan Sizing'!$K$15*G12,0)</f>
        <v>0</v>
      </c>
      <c r="H23" s="151">
        <f ca="1">+IFERROR(IFERROR(INDEX('Taxes and TIF'!$AC$11:$AC$45,MATCH('Phase II Pro Forma'!H$7,'Taxes and TIF'!$R$11:$R$45,0)),0)*'Loan Sizing'!$K$15*H12,0)</f>
        <v>0</v>
      </c>
      <c r="I23" s="151">
        <f ca="1">+IFERROR(IFERROR(INDEX('Taxes and TIF'!$AC$11:$AC$45,MATCH('Phase II Pro Forma'!I$7,'Taxes and TIF'!$R$11:$R$45,0)),0)*'Loan Sizing'!$K$15*I12,0)</f>
        <v>7.0136392193802044E-3</v>
      </c>
      <c r="J23" s="151">
        <f ca="1">+IFERROR(IFERROR(INDEX('Taxes and TIF'!$AC$11:$AC$45,MATCH('Phase II Pro Forma'!J$7,'Taxes and TIF'!$R$11:$R$45,0)),0)*'Loan Sizing'!$K$15*J12,0)</f>
        <v>1.4027278438760409E-2</v>
      </c>
      <c r="K23" s="151">
        <f ca="1">+IFERROR(IFERROR(INDEX('Taxes and TIF'!$AC$11:$AC$45,MATCH('Phase II Pro Forma'!K$7,'Taxes and TIF'!$R$11:$R$45,0)),0)*'Loan Sizing'!$K$15*K12,0)</f>
        <v>1.4027278438760409E-2</v>
      </c>
      <c r="L23" s="151">
        <f ca="1">+IFERROR(IFERROR(INDEX('Taxes and TIF'!$AC$11:$AC$45,MATCH('Phase II Pro Forma'!L$7,'Taxes and TIF'!$R$11:$R$45,0)),0)*'Loan Sizing'!$K$15*L12,0)</f>
        <v>1.4027278438760409E-2</v>
      </c>
      <c r="M23" s="151">
        <f ca="1">+IFERROR(IFERROR(INDEX('Taxes and TIF'!$AC$11:$AC$45,MATCH('Phase II Pro Forma'!M$7,'Taxes and TIF'!$R$11:$R$45,0)),0)*'Loan Sizing'!$K$15*M12,0)</f>
        <v>1.4027278438760409E-2</v>
      </c>
      <c r="N23" s="151">
        <f ca="1">+IFERROR(IFERROR(INDEX('Taxes and TIF'!$AC$11:$AC$45,MATCH('Phase II Pro Forma'!N$7,'Taxes and TIF'!$R$11:$R$45,0)),0)*'Loan Sizing'!$K$15*N12,0)</f>
        <v>1.4027278438760409E-2</v>
      </c>
      <c r="O23" s="151">
        <f ca="1">+IFERROR(IFERROR(INDEX('Taxes and TIF'!$AC$11:$AC$45,MATCH('Phase II Pro Forma'!O$7,'Taxes and TIF'!$R$11:$R$45,0)),0)*'Loan Sizing'!$K$15*O12,0)</f>
        <v>1.4027278438760409E-2</v>
      </c>
      <c r="P23" s="151">
        <f ca="1">+IFERROR(IFERROR(INDEX('Taxes and TIF'!$AC$11:$AC$45,MATCH('Phase II Pro Forma'!P$7,'Taxes and TIF'!$R$11:$R$45,0)),0)*'Loan Sizing'!$K$15*P12,0)</f>
        <v>1.4027278438760409E-2</v>
      </c>
      <c r="Q23" s="151">
        <f ca="1">+IFERROR(IFERROR(INDEX('Taxes and TIF'!$AC$11:$AC$45,MATCH('Phase II Pro Forma'!Q$7,'Taxes and TIF'!$R$11:$R$45,0)),0)*'Loan Sizing'!$K$15*Q12,0)</f>
        <v>1.4027278438760409E-2</v>
      </c>
      <c r="R23" s="151">
        <f ca="1">+IFERROR(IFERROR(INDEX('Taxes and TIF'!$AC$11:$AC$45,MATCH('Phase II Pro Forma'!R$7,'Taxes and TIF'!$R$11:$R$45,0)),0)*'Loan Sizing'!$K$15*R12,0)</f>
        <v>1.4027278438760409E-2</v>
      </c>
      <c r="S23" s="151">
        <f ca="1">+IFERROR(IFERROR(INDEX('Taxes and TIF'!$AC$11:$AC$45,MATCH('Phase II Pro Forma'!S$7,'Taxes and TIF'!$R$11:$R$45,0)),0)*'Loan Sizing'!$K$15*S12,0)</f>
        <v>1.4027278438760409E-2</v>
      </c>
      <c r="T23" s="151">
        <f ca="1">+IFERROR(IFERROR(INDEX('Taxes and TIF'!$AC$11:$AC$45,MATCH('Phase II Pro Forma'!T$7,'Taxes and TIF'!$R$11:$R$45,0)),0)*'Loan Sizing'!$K$15*T12,0)</f>
        <v>1.4027278438760409E-2</v>
      </c>
      <c r="U23" s="151">
        <f ca="1">+IFERROR(IFERROR(INDEX('Taxes and TIF'!$AC$11:$AC$45,MATCH('Phase II Pro Forma'!U$7,'Taxes and TIF'!$R$11:$R$45,0)),0)*'Loan Sizing'!$K$15*U12,0)</f>
        <v>1.4027278438760409E-2</v>
      </c>
      <c r="V23" s="151">
        <f ca="1">+IFERROR(IFERROR(INDEX('Taxes and TIF'!$AC$11:$AC$45,MATCH('Phase II Pro Forma'!V$7,'Taxes and TIF'!$R$11:$R$45,0)),0)*'Loan Sizing'!$K$15*V12,0)</f>
        <v>1.4027278438760409E-2</v>
      </c>
      <c r="W23" s="151">
        <f ca="1">+IFERROR(IFERROR(INDEX('Taxes and TIF'!$AC$11:$AC$45,MATCH('Phase II Pro Forma'!W$7,'Taxes and TIF'!$R$11:$R$45,0)),0)*'Loan Sizing'!$K$15*W12,0)</f>
        <v>1.4027278438760409E-2</v>
      </c>
      <c r="X23" s="151">
        <f ca="1">+IFERROR(IFERROR(INDEX('Taxes and TIF'!$AC$11:$AC$45,MATCH('Phase II Pro Forma'!X$7,'Taxes and TIF'!$R$11:$R$45,0)),0)*'Loan Sizing'!$K$15*X12,0)</f>
        <v>1.4027278438760409E-2</v>
      </c>
      <c r="Y23" s="151">
        <f ca="1">+IFERROR(IFERROR(INDEX('Taxes and TIF'!$AC$11:$AC$45,MATCH('Phase II Pro Forma'!Y$7,'Taxes and TIF'!$R$11:$R$45,0)),0)*'Loan Sizing'!$K$15*Y12,0)</f>
        <v>1.4027278438760409E-2</v>
      </c>
      <c r="Z23" s="151">
        <f ca="1">+IFERROR(IFERROR(INDEX('Taxes and TIF'!$AC$11:$AC$45,MATCH('Phase II Pro Forma'!Z$7,'Taxes and TIF'!$R$11:$R$45,0)),0)*'Loan Sizing'!$K$15*Z12,0)</f>
        <v>1.4027278438760409E-2</v>
      </c>
    </row>
    <row r="24" spans="2:26">
      <c r="B24" s="137" t="s">
        <v>234</v>
      </c>
      <c r="C24" s="137"/>
      <c r="D24" s="137"/>
      <c r="E24" s="137"/>
      <c r="F24" s="129">
        <f t="shared" ref="F24:Z24" ca="1" si="25">+SUM(F22:F23)</f>
        <v>0</v>
      </c>
      <c r="G24" s="129">
        <f t="shared" ca="1" si="25"/>
        <v>0</v>
      </c>
      <c r="H24" s="129">
        <f t="shared" ca="1" si="25"/>
        <v>0</v>
      </c>
      <c r="I24" s="129">
        <f t="shared" ca="1" si="25"/>
        <v>3.8492035580547507E-2</v>
      </c>
      <c r="J24" s="129">
        <f t="shared" ca="1" si="25"/>
        <v>7.8872774942765053E-2</v>
      </c>
      <c r="K24" s="129">
        <f t="shared" ca="1" si="25"/>
        <v>8.0818139837885189E-2</v>
      </c>
      <c r="L24" s="129">
        <f t="shared" ca="1" si="25"/>
        <v>8.2821865679858941E-2</v>
      </c>
      <c r="M24" s="129">
        <f t="shared" ca="1" si="25"/>
        <v>8.48857032970919E-2</v>
      </c>
      <c r="N24" s="129">
        <f t="shared" ca="1" si="25"/>
        <v>8.7011456042841842E-2</v>
      </c>
      <c r="O24" s="129">
        <f t="shared" ca="1" si="25"/>
        <v>8.9200981370964286E-2</v>
      </c>
      <c r="P24" s="129">
        <f t="shared" ca="1" si="25"/>
        <v>9.1456192458930399E-2</v>
      </c>
      <c r="Q24" s="129">
        <f t="shared" ca="1" si="25"/>
        <v>9.3779059879535512E-2</v>
      </c>
      <c r="R24" s="129">
        <f t="shared" ca="1" si="25"/>
        <v>9.6171613322758753E-2</v>
      </c>
      <c r="S24" s="129">
        <f t="shared" ca="1" si="25"/>
        <v>9.8635943369278722E-2</v>
      </c>
      <c r="T24" s="129">
        <f t="shared" ca="1" si="25"/>
        <v>0.10117420331719428</v>
      </c>
      <c r="U24" s="129">
        <f t="shared" ca="1" si="25"/>
        <v>0.1037886110635473</v>
      </c>
      <c r="V24" s="129">
        <f t="shared" ca="1" si="25"/>
        <v>0.10648145104229091</v>
      </c>
      <c r="W24" s="129">
        <f t="shared" ca="1" si="25"/>
        <v>0.10925507622039682</v>
      </c>
      <c r="X24" s="129">
        <f t="shared" ca="1" si="25"/>
        <v>0.11211191015384592</v>
      </c>
      <c r="Y24" s="129">
        <f t="shared" ca="1" si="25"/>
        <v>0.11505444910529848</v>
      </c>
      <c r="Z24" s="129">
        <f t="shared" ca="1" si="25"/>
        <v>0.11808526422529464</v>
      </c>
    </row>
    <row r="25" spans="2:26">
      <c r="B25" s="33"/>
    </row>
    <row r="26" spans="2:26" ht="15.5">
      <c r="B26" s="138" t="s">
        <v>233</v>
      </c>
      <c r="C26" s="138"/>
      <c r="D26" s="138"/>
      <c r="E26" s="138"/>
      <c r="F26" s="139">
        <f t="shared" ref="F26:Z26" ca="1" si="26">+F20-F24</f>
        <v>0</v>
      </c>
      <c r="G26" s="139">
        <f t="shared" ca="1" si="26"/>
        <v>0</v>
      </c>
      <c r="H26" s="139">
        <f t="shared" ca="1" si="26"/>
        <v>0</v>
      </c>
      <c r="I26" s="139">
        <f t="shared" ca="1" si="26"/>
        <v>3.3931741878452479E-2</v>
      </c>
      <c r="J26" s="139">
        <f t="shared" ca="1" si="26"/>
        <v>6.8859191073594936E-2</v>
      </c>
      <c r="K26" s="139">
        <f t="shared" ca="1" si="26"/>
        <v>6.9855925498801985E-2</v>
      </c>
      <c r="L26" s="139">
        <f t="shared" ca="1" si="26"/>
        <v>7.0853140963561989E-2</v>
      </c>
      <c r="M26" s="139">
        <f t="shared" ca="1" si="26"/>
        <v>7.1850263479197443E-2</v>
      </c>
      <c r="N26" s="139">
        <f t="shared" ca="1" si="26"/>
        <v>7.2846690068973305E-2</v>
      </c>
      <c r="O26" s="139">
        <f t="shared" ca="1" si="26"/>
        <v>7.3841787663087174E-2</v>
      </c>
      <c r="P26" s="139">
        <f t="shared" ca="1" si="26"/>
        <v>7.4834891955802105E-2</v>
      </c>
      <c r="Q26" s="139">
        <f t="shared" ca="1" si="26"/>
        <v>7.5825306223491609E-2</v>
      </c>
      <c r="R26" s="139">
        <f t="shared" ca="1" si="26"/>
        <v>7.6812300102328923E-2</v>
      </c>
      <c r="S26" s="139">
        <f t="shared" ca="1" si="26"/>
        <v>7.7795108324310691E-2</v>
      </c>
      <c r="T26" s="139">
        <f t="shared" ca="1" si="26"/>
        <v>7.8772929410266965E-2</v>
      </c>
      <c r="U26" s="139">
        <f t="shared" ca="1" si="26"/>
        <v>7.9744924318463153E-2</v>
      </c>
      <c r="V26" s="139">
        <f t="shared" ca="1" si="26"/>
        <v>8.0710215047359743E-2</v>
      </c>
      <c r="W26" s="139">
        <f t="shared" ca="1" si="26"/>
        <v>8.1667883191046869E-2</v>
      </c>
      <c r="X26" s="139">
        <f t="shared" ca="1" si="26"/>
        <v>8.2616968445826666E-2</v>
      </c>
      <c r="Y26" s="139">
        <f t="shared" ca="1" si="26"/>
        <v>8.3556467066367532E-2</v>
      </c>
      <c r="Z26" s="139">
        <f t="shared" ca="1" si="26"/>
        <v>8.4485330269804704E-2</v>
      </c>
    </row>
    <row r="27" spans="2:26" ht="15.5">
      <c r="B27" s="143" t="s">
        <v>239</v>
      </c>
      <c r="C27" s="141"/>
      <c r="D27" s="141"/>
      <c r="E27" s="141"/>
      <c r="F27" s="144" t="str">
        <f t="shared" ref="F27:Z27" ca="1" si="27">+IFERROR(F26/F20,"")</f>
        <v/>
      </c>
      <c r="G27" s="144" t="str">
        <f t="shared" ca="1" si="27"/>
        <v/>
      </c>
      <c r="H27" s="144" t="str">
        <f t="shared" ca="1" si="27"/>
        <v/>
      </c>
      <c r="I27" s="145">
        <f t="shared" ca="1" si="27"/>
        <v>0.46851659867730133</v>
      </c>
      <c r="J27" s="145">
        <f t="shared" ca="1" si="27"/>
        <v>0.466108946698573</v>
      </c>
      <c r="K27" s="145">
        <f t="shared" ca="1" si="27"/>
        <v>0.46362275646247514</v>
      </c>
      <c r="L27" s="145">
        <f t="shared" ca="1" si="27"/>
        <v>0.46105832373878297</v>
      </c>
      <c r="M27" s="145">
        <f t="shared" ca="1" si="27"/>
        <v>0.45841592684179483</v>
      </c>
      <c r="N27" s="145">
        <f t="shared" ca="1" si="27"/>
        <v>0.45569582683649795</v>
      </c>
      <c r="O27" s="145">
        <f t="shared" ca="1" si="27"/>
        <v>0.45289826774019842</v>
      </c>
      <c r="P27" s="145">
        <f t="shared" ca="1" si="27"/>
        <v>0.4500234767196703</v>
      </c>
      <c r="Q27" s="145">
        <f t="shared" ca="1" si="27"/>
        <v>0.44707166428387285</v>
      </c>
      <c r="R27" s="145">
        <f t="shared" ca="1" si="27"/>
        <v>0.44404302447229127</v>
      </c>
      <c r="S27" s="145">
        <f t="shared" ca="1" si="27"/>
        <v>0.44093773503894701</v>
      </c>
      <c r="T27" s="145">
        <f t="shared" ca="1" si="27"/>
        <v>0.43775595763213648</v>
      </c>
      <c r="U27" s="145">
        <f t="shared" ca="1" si="27"/>
        <v>0.43449783796994068</v>
      </c>
      <c r="V27" s="145">
        <f t="shared" ca="1" si="27"/>
        <v>0.43116350601156384</v>
      </c>
      <c r="W27" s="145">
        <f t="shared" ca="1" si="27"/>
        <v>0.42775307612454594</v>
      </c>
      <c r="X27" s="145">
        <f t="shared" ca="1" si="27"/>
        <v>0.4242666472479012</v>
      </c>
      <c r="Y27" s="145">
        <f t="shared" ca="1" si="27"/>
        <v>0.42070430305123258</v>
      </c>
      <c r="Z27" s="145">
        <f t="shared" ca="1" si="27"/>
        <v>0.41706611208986999</v>
      </c>
    </row>
    <row r="28" spans="2:26" ht="15.5">
      <c r="B28" s="143" t="s">
        <v>179</v>
      </c>
      <c r="C28" s="141"/>
      <c r="D28" s="141"/>
      <c r="E28" s="141"/>
      <c r="F28" s="142">
        <f ca="1">+F26/Assumptions!$O$128</f>
        <v>0</v>
      </c>
      <c r="G28" s="142">
        <f ca="1">+G26/Assumptions!$O$128</f>
        <v>0</v>
      </c>
      <c r="H28" s="142">
        <f ca="1">+H26/Assumptions!$O$128</f>
        <v>0</v>
      </c>
      <c r="I28" s="142">
        <f ca="1">+I26/Assumptions!$O$128</f>
        <v>0.45242322504603305</v>
      </c>
      <c r="J28" s="142">
        <f ca="1">+J26/Assumptions!$O$128</f>
        <v>0.91812254764793255</v>
      </c>
      <c r="K28" s="142">
        <f ca="1">+K26/Assumptions!$O$128</f>
        <v>0.9314123399840265</v>
      </c>
      <c r="L28" s="142">
        <f ca="1">+L26/Assumptions!$O$128</f>
        <v>0.94470854618082656</v>
      </c>
      <c r="M28" s="142">
        <f ca="1">+M26/Assumptions!$O$128</f>
        <v>0.95800351305596598</v>
      </c>
      <c r="N28" s="142">
        <f ca="1">+N26/Assumptions!$O$128</f>
        <v>0.9712892009196441</v>
      </c>
      <c r="O28" s="142">
        <f ca="1">+O26/Assumptions!$O$128</f>
        <v>0.9845571688411624</v>
      </c>
      <c r="P28" s="142">
        <f ca="1">+P26/Assumptions!$O$128</f>
        <v>0.99779855941069473</v>
      </c>
      <c r="Q28" s="142">
        <f ca="1">+Q26/Assumptions!$O$128</f>
        <v>1.0110040829798881</v>
      </c>
      <c r="R28" s="142">
        <f ca="1">+R26/Assumptions!$O$128</f>
        <v>1.0241640013643858</v>
      </c>
      <c r="S28" s="142">
        <f ca="1">+S26/Assumptions!$O$128</f>
        <v>1.0372681109908093</v>
      </c>
      <c r="T28" s="142">
        <f ca="1">+T26/Assumptions!$O$128</f>
        <v>1.0503057254702262</v>
      </c>
      <c r="U28" s="142">
        <f ca="1">+U26/Assumptions!$O$128</f>
        <v>1.0632656575795087</v>
      </c>
      <c r="V28" s="142">
        <f ca="1">+V26/Assumptions!$O$128</f>
        <v>1.0761362006314632</v>
      </c>
      <c r="W28" s="142">
        <f ca="1">+W26/Assumptions!$O$128</f>
        <v>1.0889051092139583</v>
      </c>
      <c r="X28" s="142">
        <f ca="1">+X26/Assumptions!$O$128</f>
        <v>1.1015595792776889</v>
      </c>
      <c r="Y28" s="142">
        <f ca="1">+Y26/Assumptions!$O$128</f>
        <v>1.1140862275515671</v>
      </c>
      <c r="Z28" s="142">
        <f ca="1">+Z26/Assumptions!$O$128</f>
        <v>1.1264710702640628</v>
      </c>
    </row>
    <row r="30" spans="2:26" ht="15.5">
      <c r="B30" s="148" t="s">
        <v>245</v>
      </c>
      <c r="C30" s="149"/>
      <c r="D30" s="149"/>
      <c r="E30" s="149"/>
      <c r="F30" s="150">
        <f>+Assumptions!$G$22</f>
        <v>45291</v>
      </c>
      <c r="G30" s="150">
        <f>+EOMONTH(F30,12)</f>
        <v>45657</v>
      </c>
      <c r="H30" s="150">
        <f t="shared" ref="H30:Z30" si="28">+EOMONTH(G30,12)</f>
        <v>46022</v>
      </c>
      <c r="I30" s="150">
        <f t="shared" si="28"/>
        <v>46387</v>
      </c>
      <c r="J30" s="150">
        <f t="shared" si="28"/>
        <v>46752</v>
      </c>
      <c r="K30" s="150">
        <f t="shared" si="28"/>
        <v>47118</v>
      </c>
      <c r="L30" s="150">
        <f t="shared" si="28"/>
        <v>47483</v>
      </c>
      <c r="M30" s="150">
        <f t="shared" si="28"/>
        <v>47848</v>
      </c>
      <c r="N30" s="150">
        <f t="shared" si="28"/>
        <v>48213</v>
      </c>
      <c r="O30" s="150">
        <f t="shared" si="28"/>
        <v>48579</v>
      </c>
      <c r="P30" s="150">
        <f t="shared" si="28"/>
        <v>48944</v>
      </c>
      <c r="Q30" s="150">
        <f t="shared" si="28"/>
        <v>49309</v>
      </c>
      <c r="R30" s="150">
        <f t="shared" si="28"/>
        <v>49674</v>
      </c>
      <c r="S30" s="150">
        <f t="shared" si="28"/>
        <v>50040</v>
      </c>
      <c r="T30" s="150">
        <f t="shared" si="28"/>
        <v>50405</v>
      </c>
      <c r="U30" s="150">
        <f t="shared" si="28"/>
        <v>50770</v>
      </c>
      <c r="V30" s="150">
        <f t="shared" si="28"/>
        <v>51135</v>
      </c>
      <c r="W30" s="150">
        <f t="shared" si="28"/>
        <v>51501</v>
      </c>
      <c r="X30" s="150">
        <f t="shared" si="28"/>
        <v>51866</v>
      </c>
      <c r="Y30" s="150">
        <f t="shared" si="28"/>
        <v>52231</v>
      </c>
      <c r="Z30" s="150">
        <f t="shared" si="28"/>
        <v>52596</v>
      </c>
    </row>
    <row r="31" spans="2:26">
      <c r="B31" s="33" t="s">
        <v>690</v>
      </c>
      <c r="C31" s="33"/>
      <c r="D31" s="40"/>
      <c r="E31" s="40"/>
      <c r="F31" s="42">
        <f>+IF(AND(F30&gt;=Assumptions!$G$26,F30&lt;Assumptions!$G$28),Assumptions!$G$83/ROUNDUP((Assumptions!$G$27/12),0),0)</f>
        <v>0</v>
      </c>
      <c r="G31" s="42">
        <f>+IF(AND(G30&gt;=Assumptions!$G$26,G30&lt;Assumptions!$G$28),Assumptions!$G$83/ROUNDUP((Assumptions!$G$27/12),0),0)</f>
        <v>0</v>
      </c>
      <c r="H31" s="42">
        <f>+IF(AND(H30&gt;=Assumptions!$G$26,H30&lt;Assumptions!$G$28),Assumptions!$G$83/ROUNDUP((Assumptions!$G$27/12),0),0)</f>
        <v>0</v>
      </c>
      <c r="I31" s="42">
        <f>+IF(AND(I30&gt;=Assumptions!$G$26,I30&lt;Assumptions!$G$28),Assumptions!$G$83/ROUNDUP((Assumptions!$G$27/12),0),0)</f>
        <v>3.725E-3</v>
      </c>
      <c r="J31" s="42">
        <f>+IF(AND(J30&gt;=Assumptions!$G$26,J30&lt;Assumptions!$G$28),Assumptions!$G$83/ROUNDUP((Assumptions!$G$27/12),0),0)</f>
        <v>3.725E-3</v>
      </c>
      <c r="K31" s="42">
        <f>+IF(AND(K30&gt;=Assumptions!$G$26,K30&lt;Assumptions!$G$28),Assumptions!$G$83/ROUNDUP((Assumptions!$G$27/12),0),0)</f>
        <v>0</v>
      </c>
      <c r="L31" s="42">
        <f>+IF(AND(L30&gt;=Assumptions!$G$26,L30&lt;Assumptions!$G$28),Assumptions!$G$83/ROUNDUP((Assumptions!$G$27/12),0),0)</f>
        <v>0</v>
      </c>
      <c r="M31" s="42">
        <f>+IF(AND(M30&gt;=Assumptions!$G$26,M30&lt;Assumptions!$G$28),Assumptions!$G$83/ROUNDUP((Assumptions!$G$27/12),0),0)</f>
        <v>0</v>
      </c>
      <c r="N31" s="42">
        <f>+IF(AND(N30&gt;=Assumptions!$G$26,N30&lt;Assumptions!$G$28),Assumptions!$G$83/ROUNDUP((Assumptions!$G$27/12),0),0)</f>
        <v>0</v>
      </c>
      <c r="O31" s="42">
        <f>+IF(AND(O30&gt;=Assumptions!$G$26,O30&lt;Assumptions!$G$28),Assumptions!$G$83/ROUNDUP((Assumptions!$G$27/12),0),0)</f>
        <v>0</v>
      </c>
      <c r="P31" s="42">
        <f>+IF(AND(P30&gt;=Assumptions!$G$26,P30&lt;Assumptions!$G$28),Assumptions!$G$83/ROUNDUP((Assumptions!$G$27/12),0),0)</f>
        <v>0</v>
      </c>
      <c r="Q31" s="42">
        <f>+IF(AND(Q30&gt;=Assumptions!$G$26,Q30&lt;Assumptions!$G$28),Assumptions!$G$83/ROUNDUP((Assumptions!$G$27/12),0),0)</f>
        <v>0</v>
      </c>
      <c r="R31" s="42">
        <f>+IF(AND(R30&gt;=Assumptions!$G$26,R30&lt;Assumptions!$G$28),Assumptions!$G$83/ROUNDUP((Assumptions!$G$27/12),0),0)</f>
        <v>0</v>
      </c>
      <c r="S31" s="42">
        <f>+IF(AND(S30&gt;=Assumptions!$G$26,S30&lt;Assumptions!$G$28),Assumptions!$G$83/ROUNDUP((Assumptions!$G$27/12),0),0)</f>
        <v>0</v>
      </c>
      <c r="T31" s="42">
        <f>+IF(AND(T30&gt;=Assumptions!$G$26,T30&lt;Assumptions!$G$28),Assumptions!$G$83/ROUNDUP((Assumptions!$G$27/12),0),0)</f>
        <v>0</v>
      </c>
      <c r="U31" s="42">
        <f>+IF(AND(U30&gt;=Assumptions!$G$26,U30&lt;Assumptions!$G$28),Assumptions!$G$83/ROUNDUP((Assumptions!$G$27/12),0),0)</f>
        <v>0</v>
      </c>
      <c r="V31" s="42">
        <f>+IF(AND(V30&gt;=Assumptions!$G$26,V30&lt;Assumptions!$G$28),Assumptions!$G$83/ROUNDUP((Assumptions!$G$27/12),0),0)</f>
        <v>0</v>
      </c>
      <c r="W31" s="42">
        <f>+IF(AND(W30&gt;=Assumptions!$G$26,W30&lt;Assumptions!$G$28),Assumptions!$G$83/ROUNDUP((Assumptions!$G$27/12),0),0)</f>
        <v>0</v>
      </c>
      <c r="X31" s="42">
        <f>+IF(AND(X30&gt;=Assumptions!$G$26,X30&lt;Assumptions!$G$28),Assumptions!$G$83/ROUNDUP((Assumptions!$G$27/12),0),0)</f>
        <v>0</v>
      </c>
      <c r="Y31" s="42">
        <f>+IF(AND(Y30&gt;=Assumptions!$G$26,Y30&lt;Assumptions!$G$28),Assumptions!$G$83/ROUNDUP((Assumptions!$G$27/12),0),0)</f>
        <v>0</v>
      </c>
      <c r="Z31" s="42">
        <f>+IF(AND(Z30&gt;=Assumptions!$G$26,Z30&lt;Assumptions!$G$28),Assumptions!$G$83/ROUNDUP((Assumptions!$G$27/12),0),0)</f>
        <v>0</v>
      </c>
    </row>
    <row r="32" spans="2:26">
      <c r="B32" s="33" t="s">
        <v>231</v>
      </c>
      <c r="C32" s="33"/>
      <c r="D32" s="42">
        <v>0</v>
      </c>
      <c r="E32" s="42"/>
      <c r="F32" s="42">
        <f>+D32+F31</f>
        <v>0</v>
      </c>
      <c r="G32" s="42">
        <f t="shared" ref="G32:Z32" si="29">+F32+G31</f>
        <v>0</v>
      </c>
      <c r="H32" s="42">
        <f t="shared" si="29"/>
        <v>0</v>
      </c>
      <c r="I32" s="42">
        <f t="shared" si="29"/>
        <v>3.725E-3</v>
      </c>
      <c r="J32" s="42">
        <f t="shared" si="29"/>
        <v>7.45E-3</v>
      </c>
      <c r="K32" s="42">
        <f t="shared" si="29"/>
        <v>7.45E-3</v>
      </c>
      <c r="L32" s="42">
        <f t="shared" si="29"/>
        <v>7.45E-3</v>
      </c>
      <c r="M32" s="42">
        <f t="shared" si="29"/>
        <v>7.45E-3</v>
      </c>
      <c r="N32" s="42">
        <f t="shared" si="29"/>
        <v>7.45E-3</v>
      </c>
      <c r="O32" s="42">
        <f t="shared" si="29"/>
        <v>7.45E-3</v>
      </c>
      <c r="P32" s="42">
        <f t="shared" si="29"/>
        <v>7.45E-3</v>
      </c>
      <c r="Q32" s="42">
        <f t="shared" si="29"/>
        <v>7.45E-3</v>
      </c>
      <c r="R32" s="42">
        <f t="shared" si="29"/>
        <v>7.45E-3</v>
      </c>
      <c r="S32" s="42">
        <f t="shared" si="29"/>
        <v>7.45E-3</v>
      </c>
      <c r="T32" s="42">
        <f t="shared" si="29"/>
        <v>7.45E-3</v>
      </c>
      <c r="U32" s="42">
        <f t="shared" si="29"/>
        <v>7.45E-3</v>
      </c>
      <c r="V32" s="42">
        <f t="shared" si="29"/>
        <v>7.45E-3</v>
      </c>
      <c r="W32" s="42">
        <f t="shared" si="29"/>
        <v>7.45E-3</v>
      </c>
      <c r="X32" s="42">
        <f t="shared" si="29"/>
        <v>7.45E-3</v>
      </c>
      <c r="Y32" s="42">
        <f t="shared" si="29"/>
        <v>7.45E-3</v>
      </c>
      <c r="Z32" s="42">
        <f t="shared" si="29"/>
        <v>7.45E-3</v>
      </c>
    </row>
    <row r="33" spans="2:26">
      <c r="B33" s="33" t="s">
        <v>466</v>
      </c>
      <c r="C33" s="33"/>
      <c r="D33" s="42"/>
      <c r="E33" s="42"/>
      <c r="F33" s="42">
        <f>+F34-E34</f>
        <v>0</v>
      </c>
      <c r="G33" s="42">
        <f t="shared" ref="G33" si="30">+G34-F34</f>
        <v>0</v>
      </c>
      <c r="H33" s="42">
        <f t="shared" ref="H33" si="31">+H34-G34</f>
        <v>0</v>
      </c>
      <c r="I33" s="42">
        <f t="shared" ref="I33" si="32">+I34-H34</f>
        <v>5.5000000000000007E-6</v>
      </c>
      <c r="J33" s="42">
        <f t="shared" ref="J33" si="33">+J34-I34</f>
        <v>5.5000000000000007E-6</v>
      </c>
      <c r="K33" s="42">
        <f t="shared" ref="K33" si="34">+K34-J34</f>
        <v>0</v>
      </c>
      <c r="L33" s="42">
        <f t="shared" ref="L33" si="35">+L34-K34</f>
        <v>0</v>
      </c>
      <c r="M33" s="42">
        <f t="shared" ref="M33" si="36">+M34-L34</f>
        <v>0</v>
      </c>
      <c r="N33" s="42">
        <f t="shared" ref="N33" si="37">+N34-M34</f>
        <v>0</v>
      </c>
      <c r="O33" s="42">
        <f t="shared" ref="O33" si="38">+O34-N34</f>
        <v>0</v>
      </c>
      <c r="P33" s="42">
        <f t="shared" ref="P33" si="39">+P34-O34</f>
        <v>0</v>
      </c>
      <c r="Q33" s="42">
        <f t="shared" ref="Q33" si="40">+Q34-P34</f>
        <v>0</v>
      </c>
      <c r="R33" s="42">
        <f t="shared" ref="R33" si="41">+R34-Q34</f>
        <v>0</v>
      </c>
      <c r="S33" s="42">
        <f t="shared" ref="S33" si="42">+S34-R34</f>
        <v>0</v>
      </c>
      <c r="T33" s="42">
        <f t="shared" ref="T33" si="43">+T34-S34</f>
        <v>0</v>
      </c>
      <c r="U33" s="42">
        <f t="shared" ref="U33" si="44">+U34-T34</f>
        <v>0</v>
      </c>
      <c r="V33" s="42">
        <f t="shared" ref="V33" si="45">+V34-U34</f>
        <v>0</v>
      </c>
      <c r="W33" s="42">
        <f t="shared" ref="W33" si="46">+W34-V34</f>
        <v>0</v>
      </c>
      <c r="X33" s="42">
        <f t="shared" ref="X33" si="47">+X34-W34</f>
        <v>0</v>
      </c>
      <c r="Y33" s="42">
        <f t="shared" ref="Y33" si="48">+Y34-X34</f>
        <v>0</v>
      </c>
      <c r="Z33" s="42">
        <f t="shared" ref="Z33" si="49">+Z34-Y34</f>
        <v>0</v>
      </c>
    </row>
    <row r="34" spans="2:26">
      <c r="B34" s="33" t="s">
        <v>232</v>
      </c>
      <c r="C34" s="33"/>
      <c r="D34" s="42"/>
      <c r="E34" s="42"/>
      <c r="F34" s="42">
        <f>+F35*Assumptions!$G$84</f>
        <v>0</v>
      </c>
      <c r="G34" s="42">
        <f>+G35*Assumptions!$G$84</f>
        <v>0</v>
      </c>
      <c r="H34" s="42">
        <f>+H35*Assumptions!$G$84</f>
        <v>0</v>
      </c>
      <c r="I34" s="42">
        <f>+I35*Assumptions!$G$84</f>
        <v>5.5000000000000007E-6</v>
      </c>
      <c r="J34" s="42">
        <f>+J35*Assumptions!$G$84</f>
        <v>1.1000000000000001E-5</v>
      </c>
      <c r="K34" s="42">
        <f>+K35*Assumptions!$G$84</f>
        <v>1.1000000000000001E-5</v>
      </c>
      <c r="L34" s="42">
        <f>+L35*Assumptions!$G$84</f>
        <v>1.1000000000000001E-5</v>
      </c>
      <c r="M34" s="42">
        <f>+M35*Assumptions!$G$84</f>
        <v>1.1000000000000001E-5</v>
      </c>
      <c r="N34" s="42">
        <f>+N35*Assumptions!$G$84</f>
        <v>1.1000000000000001E-5</v>
      </c>
      <c r="O34" s="42">
        <f>+O35*Assumptions!$G$84</f>
        <v>1.1000000000000001E-5</v>
      </c>
      <c r="P34" s="42">
        <f>+P35*Assumptions!$G$84</f>
        <v>1.1000000000000001E-5</v>
      </c>
      <c r="Q34" s="42">
        <f>+Q35*Assumptions!$G$84</f>
        <v>1.1000000000000001E-5</v>
      </c>
      <c r="R34" s="42">
        <f>+R35*Assumptions!$G$84</f>
        <v>1.1000000000000001E-5</v>
      </c>
      <c r="S34" s="42">
        <f>+S35*Assumptions!$G$84</f>
        <v>1.1000000000000001E-5</v>
      </c>
      <c r="T34" s="42">
        <f>+T35*Assumptions!$G$84</f>
        <v>1.1000000000000001E-5</v>
      </c>
      <c r="U34" s="42">
        <f>+U35*Assumptions!$G$84</f>
        <v>1.1000000000000001E-5</v>
      </c>
      <c r="V34" s="42">
        <f>+V35*Assumptions!$G$84</f>
        <v>1.1000000000000001E-5</v>
      </c>
      <c r="W34" s="42">
        <f>+W35*Assumptions!$G$84</f>
        <v>1.1000000000000001E-5</v>
      </c>
      <c r="X34" s="42">
        <f>+X35*Assumptions!$G$84</f>
        <v>1.1000000000000001E-5</v>
      </c>
      <c r="Y34" s="42">
        <f>+Y35*Assumptions!$G$84</f>
        <v>1.1000000000000001E-5</v>
      </c>
      <c r="Z34" s="42">
        <f>+Z35*Assumptions!$G$84</f>
        <v>1.1000000000000001E-5</v>
      </c>
    </row>
    <row r="35" spans="2:26">
      <c r="B35" s="33" t="s">
        <v>285</v>
      </c>
      <c r="C35" s="33"/>
      <c r="D35" s="42"/>
      <c r="E35" s="42"/>
      <c r="F35" s="108">
        <f>+F32/SUM($F31:$Z31)</f>
        <v>0</v>
      </c>
      <c r="G35" s="108">
        <f t="shared" ref="G35:Z35" si="50">+G32/SUM($F31:$Z31)</f>
        <v>0</v>
      </c>
      <c r="H35" s="108">
        <f t="shared" si="50"/>
        <v>0</v>
      </c>
      <c r="I35" s="108">
        <f t="shared" si="50"/>
        <v>0.5</v>
      </c>
      <c r="J35" s="108">
        <f t="shared" si="50"/>
        <v>1</v>
      </c>
      <c r="K35" s="108">
        <f t="shared" si="50"/>
        <v>1</v>
      </c>
      <c r="L35" s="108">
        <f t="shared" si="50"/>
        <v>1</v>
      </c>
      <c r="M35" s="108">
        <f t="shared" si="50"/>
        <v>1</v>
      </c>
      <c r="N35" s="108">
        <f t="shared" si="50"/>
        <v>1</v>
      </c>
      <c r="O35" s="108">
        <f t="shared" si="50"/>
        <v>1</v>
      </c>
      <c r="P35" s="108">
        <f t="shared" si="50"/>
        <v>1</v>
      </c>
      <c r="Q35" s="108">
        <f t="shared" si="50"/>
        <v>1</v>
      </c>
      <c r="R35" s="108">
        <f t="shared" si="50"/>
        <v>1</v>
      </c>
      <c r="S35" s="108">
        <f t="shared" si="50"/>
        <v>1</v>
      </c>
      <c r="T35" s="108">
        <f t="shared" si="50"/>
        <v>1</v>
      </c>
      <c r="U35" s="108">
        <f t="shared" si="50"/>
        <v>1</v>
      </c>
      <c r="V35" s="108">
        <f t="shared" si="50"/>
        <v>1</v>
      </c>
      <c r="W35" s="108">
        <f t="shared" si="50"/>
        <v>1</v>
      </c>
      <c r="X35" s="108">
        <f t="shared" si="50"/>
        <v>1</v>
      </c>
      <c r="Y35" s="108">
        <f t="shared" si="50"/>
        <v>1</v>
      </c>
      <c r="Z35" s="108">
        <f t="shared" si="50"/>
        <v>1</v>
      </c>
    </row>
    <row r="36" spans="2:26">
      <c r="B36" s="33"/>
      <c r="C36" s="33"/>
      <c r="D36" s="40"/>
      <c r="E36" s="40"/>
      <c r="F36" s="34"/>
      <c r="G36" s="34"/>
      <c r="H36" s="34"/>
      <c r="I36" s="34"/>
      <c r="J36" s="34"/>
      <c r="K36" s="34"/>
      <c r="L36" s="34"/>
      <c r="M36" s="34"/>
      <c r="N36" s="34"/>
      <c r="O36" s="34"/>
      <c r="P36" s="34"/>
      <c r="Q36" s="34"/>
      <c r="R36" s="34"/>
      <c r="S36" s="34"/>
      <c r="T36" s="34"/>
      <c r="U36" s="34"/>
      <c r="V36" s="34"/>
      <c r="W36" s="34"/>
      <c r="X36" s="34"/>
      <c r="Y36" s="34"/>
      <c r="Z36" s="34"/>
    </row>
    <row r="37" spans="2:26">
      <c r="B37" s="33" t="s">
        <v>236</v>
      </c>
      <c r="C37" s="33"/>
      <c r="D37" s="42"/>
      <c r="E37" s="42"/>
      <c r="F37" s="108">
        <v>1</v>
      </c>
      <c r="G37" s="108">
        <f>+F37*(1+Assumptions!$O$64)</f>
        <v>1.03</v>
      </c>
      <c r="H37" s="108">
        <f>+G37*(1+Assumptions!$O$64)</f>
        <v>1.0609</v>
      </c>
      <c r="I37" s="108">
        <f>+H37*(1+Assumptions!$O$64)</f>
        <v>1.092727</v>
      </c>
      <c r="J37" s="108">
        <f>+I37*(1+Assumptions!$O$64)</f>
        <v>1.1255088100000001</v>
      </c>
      <c r="K37" s="108">
        <f>+J37*(1+Assumptions!$O$64)</f>
        <v>1.1592740743000001</v>
      </c>
      <c r="L37" s="108">
        <f>+K37*(1+Assumptions!$O$64)</f>
        <v>1.1940522965290001</v>
      </c>
      <c r="M37" s="108">
        <f>+L37*(1+Assumptions!$O$64)</f>
        <v>1.2298738654248702</v>
      </c>
      <c r="N37" s="108">
        <f>+M37*(1+Assumptions!$O$64)</f>
        <v>1.2667700813876164</v>
      </c>
      <c r="O37" s="108">
        <f>+N37*(1+Assumptions!$O$64)</f>
        <v>1.3047731838292449</v>
      </c>
      <c r="P37" s="108">
        <f>+O37*(1+Assumptions!$O$64)</f>
        <v>1.3439163793441222</v>
      </c>
      <c r="Q37" s="108">
        <f>+P37*(1+Assumptions!$O$64)</f>
        <v>1.3842338707244459</v>
      </c>
      <c r="R37" s="108">
        <f>+Q37*(1+Assumptions!$O$64)</f>
        <v>1.4257608868461793</v>
      </c>
      <c r="S37" s="108">
        <f>+R37*(1+Assumptions!$O$64)</f>
        <v>1.4685337134515648</v>
      </c>
      <c r="T37" s="108">
        <f>+S37*(1+Assumptions!$O$64)</f>
        <v>1.5125897248551119</v>
      </c>
      <c r="U37" s="108">
        <f>+T37*(1+Assumptions!$O$64)</f>
        <v>1.5579674166007653</v>
      </c>
      <c r="V37" s="108">
        <f>+U37*(1+Assumptions!$O$64)</f>
        <v>1.6047064390987884</v>
      </c>
      <c r="W37" s="108">
        <f>+V37*(1+Assumptions!$O$64)</f>
        <v>1.652847632271752</v>
      </c>
      <c r="X37" s="108">
        <f>+W37*(1+Assumptions!$O$64)</f>
        <v>1.7024330612399046</v>
      </c>
      <c r="Y37" s="108">
        <f>+X37*(1+Assumptions!$O$64)</f>
        <v>1.7535060530771018</v>
      </c>
      <c r="Z37" s="108">
        <f>+Y37*(1+Assumptions!$O$64)</f>
        <v>1.806111234669415</v>
      </c>
    </row>
    <row r="38" spans="2:26">
      <c r="B38" s="33" t="s">
        <v>237</v>
      </c>
      <c r="C38" s="33"/>
      <c r="D38" s="42"/>
      <c r="E38" s="42"/>
      <c r="F38" s="108">
        <v>1</v>
      </c>
      <c r="G38" s="108">
        <f>+F38*(1+Assumptions!$O$77)</f>
        <v>1.03</v>
      </c>
      <c r="H38" s="108">
        <f>+G38*(1+Assumptions!$O$77)</f>
        <v>1.0609</v>
      </c>
      <c r="I38" s="108">
        <f>+H38*(1+Assumptions!$O$77)</f>
        <v>1.092727</v>
      </c>
      <c r="J38" s="108">
        <f>+I38*(1+Assumptions!$O$77)</f>
        <v>1.1255088100000001</v>
      </c>
      <c r="K38" s="108">
        <f>+J38*(1+Assumptions!$O$77)</f>
        <v>1.1592740743000001</v>
      </c>
      <c r="L38" s="108">
        <f>+K38*(1+Assumptions!$O$77)</f>
        <v>1.1940522965290001</v>
      </c>
      <c r="M38" s="108">
        <f>+L38*(1+Assumptions!$O$77)</f>
        <v>1.2298738654248702</v>
      </c>
      <c r="N38" s="108">
        <f>+M38*(1+Assumptions!$O$77)</f>
        <v>1.2667700813876164</v>
      </c>
      <c r="O38" s="108">
        <f>+N38*(1+Assumptions!$O$77)</f>
        <v>1.3047731838292449</v>
      </c>
      <c r="P38" s="108">
        <f>+O38*(1+Assumptions!$O$77)</f>
        <v>1.3439163793441222</v>
      </c>
      <c r="Q38" s="108">
        <f>+P38*(1+Assumptions!$O$77)</f>
        <v>1.3842338707244459</v>
      </c>
      <c r="R38" s="108">
        <f>+Q38*(1+Assumptions!$O$77)</f>
        <v>1.4257608868461793</v>
      </c>
      <c r="S38" s="108">
        <f>+R38*(1+Assumptions!$O$77)</f>
        <v>1.4685337134515648</v>
      </c>
      <c r="T38" s="108">
        <f>+S38*(1+Assumptions!$O$77)</f>
        <v>1.5125897248551119</v>
      </c>
      <c r="U38" s="108">
        <f>+T38*(1+Assumptions!$O$77)</f>
        <v>1.5579674166007653</v>
      </c>
      <c r="V38" s="108">
        <f>+U38*(1+Assumptions!$O$77)</f>
        <v>1.6047064390987884</v>
      </c>
      <c r="W38" s="108">
        <f>+V38*(1+Assumptions!$O$77)</f>
        <v>1.652847632271752</v>
      </c>
      <c r="X38" s="108">
        <f>+W38*(1+Assumptions!$O$77)</f>
        <v>1.7024330612399046</v>
      </c>
      <c r="Y38" s="108">
        <f>+X38*(1+Assumptions!$O$77)</f>
        <v>1.7535060530771018</v>
      </c>
      <c r="Z38" s="108">
        <f>+Y38*(1+Assumptions!$O$77)</f>
        <v>1.806111234669415</v>
      </c>
    </row>
    <row r="39" spans="2:26">
      <c r="B39" s="33"/>
      <c r="C39" s="33"/>
      <c r="D39" s="40"/>
      <c r="E39" s="40"/>
      <c r="F39" s="34"/>
      <c r="G39" s="34"/>
      <c r="H39" s="34"/>
      <c r="I39" s="34"/>
      <c r="J39" s="34"/>
      <c r="K39" s="34"/>
      <c r="L39" s="34"/>
      <c r="M39" s="34"/>
      <c r="N39" s="34"/>
      <c r="O39" s="34"/>
      <c r="P39" s="34"/>
      <c r="Q39" s="34"/>
      <c r="R39" s="34"/>
      <c r="S39" s="34"/>
      <c r="T39" s="34"/>
      <c r="U39" s="34"/>
      <c r="V39" s="34"/>
      <c r="W39" s="34"/>
      <c r="X39" s="34"/>
      <c r="Y39" s="34"/>
      <c r="Z39" s="34"/>
    </row>
    <row r="40" spans="2:26">
      <c r="B40" s="33" t="s">
        <v>228</v>
      </c>
      <c r="C40" s="33"/>
      <c r="D40" s="40"/>
      <c r="E40" s="40"/>
      <c r="F40" s="34">
        <f>+F35*Assumptions!$G$82*F37</f>
        <v>0</v>
      </c>
      <c r="G40" s="34">
        <f>+G35*Assumptions!$G$82*G37</f>
        <v>0</v>
      </c>
      <c r="H40" s="34">
        <f>+H35*Assumptions!$G$82*H37</f>
        <v>0</v>
      </c>
      <c r="I40" s="34">
        <f>+I35*Assumptions!$G$82*I37</f>
        <v>0.17288998744940998</v>
      </c>
      <c r="J40" s="34">
        <f>+J35*Assumptions!$G$82*J37</f>
        <v>0.35615337414578457</v>
      </c>
      <c r="K40" s="34">
        <f>+K35*Assumptions!$G$82*K37</f>
        <v>0.36683797537015811</v>
      </c>
      <c r="L40" s="34">
        <f>+L35*Assumptions!$G$82*L37</f>
        <v>0.37784311463126286</v>
      </c>
      <c r="M40" s="34">
        <f>+M35*Assumptions!$G$82*M37</f>
        <v>0.38917840807020077</v>
      </c>
      <c r="N40" s="34">
        <f>+N35*Assumptions!$G$82*N37</f>
        <v>0.40085376031230679</v>
      </c>
      <c r="O40" s="34">
        <f>+O35*Assumptions!$G$82*O37</f>
        <v>0.41287937312167605</v>
      </c>
      <c r="P40" s="34">
        <f>+P35*Assumptions!$G$82*P37</f>
        <v>0.42526575431532632</v>
      </c>
      <c r="Q40" s="34">
        <f>+Q35*Assumptions!$G$82*Q37</f>
        <v>0.43802372694478608</v>
      </c>
      <c r="R40" s="34">
        <f>+R35*Assumptions!$G$82*R37</f>
        <v>0.45116443875312967</v>
      </c>
      <c r="S40" s="34">
        <f>+S35*Assumptions!$G$82*S37</f>
        <v>0.46469937191572364</v>
      </c>
      <c r="T40" s="34">
        <f>+T35*Assumptions!$G$82*T37</f>
        <v>0.47864035307319536</v>
      </c>
      <c r="U40" s="34">
        <f>+U35*Assumptions!$G$82*U37</f>
        <v>0.49299956366539127</v>
      </c>
      <c r="V40" s="34">
        <f>+V35*Assumptions!$G$82*V37</f>
        <v>0.50778955057535302</v>
      </c>
      <c r="W40" s="34">
        <f>+W35*Assumptions!$G$82*W37</f>
        <v>0.52302323709261367</v>
      </c>
      <c r="X40" s="34">
        <f>+X35*Assumptions!$G$82*X37</f>
        <v>0.53871393420539204</v>
      </c>
      <c r="Y40" s="34">
        <f>+Y35*Assumptions!$G$82*Y37</f>
        <v>0.55487535223155382</v>
      </c>
      <c r="Z40" s="34">
        <f>+Z35*Assumptions!$G$82*Z37</f>
        <v>0.57152161279850044</v>
      </c>
    </row>
    <row r="41" spans="2:26">
      <c r="B41" s="33" t="s">
        <v>229</v>
      </c>
      <c r="C41" s="33"/>
      <c r="D41" s="40"/>
      <c r="E41" s="40"/>
      <c r="F41" s="42">
        <f>-F40*Assumptions!$O$55</f>
        <v>0</v>
      </c>
      <c r="G41" s="42">
        <f>-G40*Assumptions!$O$55</f>
        <v>0</v>
      </c>
      <c r="H41" s="42">
        <f>-H40*Assumptions!$O$55</f>
        <v>0</v>
      </c>
      <c r="I41" s="42">
        <f>-I40*Assumptions!$O$55</f>
        <v>-2.4204598242917399E-2</v>
      </c>
      <c r="J41" s="42">
        <f>-J40*Assumptions!$O$55</f>
        <v>-4.9861472380409846E-2</v>
      </c>
      <c r="K41" s="42">
        <f>-K40*Assumptions!$O$55</f>
        <v>-5.1357316551822144E-2</v>
      </c>
      <c r="L41" s="42">
        <f>-L40*Assumptions!$O$55</f>
        <v>-5.2898036048376805E-2</v>
      </c>
      <c r="M41" s="42">
        <f>-M40*Assumptions!$O$55</f>
        <v>-5.448497712982811E-2</v>
      </c>
      <c r="N41" s="42">
        <f>-N40*Assumptions!$O$55</f>
        <v>-5.6119526443722957E-2</v>
      </c>
      <c r="O41" s="42">
        <f>-O40*Assumptions!$O$55</f>
        <v>-5.7803112237034653E-2</v>
      </c>
      <c r="P41" s="42">
        <f>-P40*Assumptions!$O$55</f>
        <v>-5.9537205604145688E-2</v>
      </c>
      <c r="Q41" s="42">
        <f>-Q40*Assumptions!$O$55</f>
        <v>-6.132332177227006E-2</v>
      </c>
      <c r="R41" s="42">
        <f>-R40*Assumptions!$O$55</f>
        <v>-6.3163021425438157E-2</v>
      </c>
      <c r="S41" s="42">
        <f>-S40*Assumptions!$O$55</f>
        <v>-6.5057912068201315E-2</v>
      </c>
      <c r="T41" s="42">
        <f>-T40*Assumptions!$O$55</f>
        <v>-6.7009649430247356E-2</v>
      </c>
      <c r="U41" s="42">
        <f>-U40*Assumptions!$O$55</f>
        <v>-6.9019938913154791E-2</v>
      </c>
      <c r="V41" s="42">
        <f>-V40*Assumptions!$O$55</f>
        <v>-7.1090537080549424E-2</v>
      </c>
      <c r="W41" s="42">
        <f>-W40*Assumptions!$O$55</f>
        <v>-7.3223253192965923E-2</v>
      </c>
      <c r="X41" s="42">
        <f>-X40*Assumptions!$O$55</f>
        <v>-7.5419950788754894E-2</v>
      </c>
      <c r="Y41" s="42">
        <f>-Y40*Assumptions!$O$55</f>
        <v>-7.768254931241754E-2</v>
      </c>
      <c r="Z41" s="42">
        <f>-Z40*Assumptions!$O$55</f>
        <v>-8.0013025791790066E-2</v>
      </c>
    </row>
    <row r="42" spans="2:26">
      <c r="B42" s="33" t="s">
        <v>326</v>
      </c>
      <c r="C42" s="33"/>
      <c r="D42" s="40"/>
      <c r="E42" s="40"/>
      <c r="F42" s="151">
        <f>+F34*Assumptions!$G$90*(1-Assumptions!$O$55)*12</f>
        <v>0</v>
      </c>
      <c r="G42" s="151">
        <f>+G34*Assumptions!$G$90*(1-Assumptions!$O$55)*12</f>
        <v>0</v>
      </c>
      <c r="H42" s="151">
        <f>+H34*Assumptions!$G$90*(1-Assumptions!$O$55)*12</f>
        <v>0</v>
      </c>
      <c r="I42" s="151">
        <f>+I34*Assumptions!$G$90*(1-Assumptions!$O$55)*12</f>
        <v>3.1218000000000001E-3</v>
      </c>
      <c r="J42" s="151">
        <f>+J34*Assumptions!$G$90*(1-Assumptions!$O$55)*12</f>
        <v>6.2436000000000002E-3</v>
      </c>
      <c r="K42" s="151">
        <f>+K34*Assumptions!$G$90*(1-Assumptions!$O$55)*12</f>
        <v>6.2436000000000002E-3</v>
      </c>
      <c r="L42" s="151">
        <f>+L34*Assumptions!$G$90*(1-Assumptions!$O$55)*12</f>
        <v>6.2436000000000002E-3</v>
      </c>
      <c r="M42" s="151">
        <f>+M34*Assumptions!$G$90*(1-Assumptions!$O$55)*12</f>
        <v>6.2436000000000002E-3</v>
      </c>
      <c r="N42" s="151">
        <f>+N34*Assumptions!$G$90*(1-Assumptions!$O$55)*12</f>
        <v>6.2436000000000002E-3</v>
      </c>
      <c r="O42" s="151">
        <f>+O34*Assumptions!$G$90*(1-Assumptions!$O$55)*12</f>
        <v>6.2436000000000002E-3</v>
      </c>
      <c r="P42" s="151">
        <f>+P34*Assumptions!$G$90*(1-Assumptions!$O$55)*12</f>
        <v>6.2436000000000002E-3</v>
      </c>
      <c r="Q42" s="151">
        <f>+Q34*Assumptions!$G$90*(1-Assumptions!$O$55)*12</f>
        <v>6.2436000000000002E-3</v>
      </c>
      <c r="R42" s="151">
        <f>+R34*Assumptions!$G$90*(1-Assumptions!$O$55)*12</f>
        <v>6.2436000000000002E-3</v>
      </c>
      <c r="S42" s="151">
        <f>+S34*Assumptions!$G$90*(1-Assumptions!$O$55)*12</f>
        <v>6.2436000000000002E-3</v>
      </c>
      <c r="T42" s="151">
        <f>+T34*Assumptions!$G$90*(1-Assumptions!$O$55)*12</f>
        <v>6.2436000000000002E-3</v>
      </c>
      <c r="U42" s="151">
        <f>+U34*Assumptions!$G$90*(1-Assumptions!$O$55)*12</f>
        <v>6.2436000000000002E-3</v>
      </c>
      <c r="V42" s="151">
        <f>+V34*Assumptions!$G$90*(1-Assumptions!$O$55)*12</f>
        <v>6.2436000000000002E-3</v>
      </c>
      <c r="W42" s="151">
        <f>+W34*Assumptions!$G$90*(1-Assumptions!$O$55)*12</f>
        <v>6.2436000000000002E-3</v>
      </c>
      <c r="X42" s="151">
        <f>+X34*Assumptions!$G$90*(1-Assumptions!$O$55)*12</f>
        <v>6.2436000000000002E-3</v>
      </c>
      <c r="Y42" s="151">
        <f>+Y34*Assumptions!$G$90*(1-Assumptions!$O$55)*12</f>
        <v>6.2436000000000002E-3</v>
      </c>
      <c r="Z42" s="151">
        <f>+Z34*Assumptions!$G$90*(1-Assumptions!$O$55)*12</f>
        <v>6.2436000000000002E-3</v>
      </c>
    </row>
    <row r="43" spans="2:26">
      <c r="B43" s="137" t="s">
        <v>238</v>
      </c>
      <c r="C43" s="137"/>
      <c r="D43" s="137"/>
      <c r="E43" s="137"/>
      <c r="F43" s="129">
        <f t="shared" ref="F43:Z43" si="51">+SUM(F40:F42)</f>
        <v>0</v>
      </c>
      <c r="G43" s="129">
        <f t="shared" si="51"/>
        <v>0</v>
      </c>
      <c r="H43" s="129">
        <f t="shared" si="51"/>
        <v>0</v>
      </c>
      <c r="I43" s="129">
        <f t="shared" si="51"/>
        <v>0.15180718920649258</v>
      </c>
      <c r="J43" s="129">
        <f t="shared" si="51"/>
        <v>0.31253550176537476</v>
      </c>
      <c r="K43" s="129">
        <f t="shared" si="51"/>
        <v>0.321724258818336</v>
      </c>
      <c r="L43" s="129">
        <f t="shared" si="51"/>
        <v>0.33118867858288609</v>
      </c>
      <c r="M43" s="129">
        <f t="shared" si="51"/>
        <v>0.34093703094037264</v>
      </c>
      <c r="N43" s="129">
        <f t="shared" si="51"/>
        <v>0.35097783386858383</v>
      </c>
      <c r="O43" s="129">
        <f t="shared" si="51"/>
        <v>0.36131986088464141</v>
      </c>
      <c r="P43" s="129">
        <f t="shared" si="51"/>
        <v>0.37197214871118067</v>
      </c>
      <c r="Q43" s="129">
        <f t="shared" si="51"/>
        <v>0.38294400517251603</v>
      </c>
      <c r="R43" s="129">
        <f t="shared" si="51"/>
        <v>0.39424501732769152</v>
      </c>
      <c r="S43" s="129">
        <f t="shared" si="51"/>
        <v>0.40588505984752232</v>
      </c>
      <c r="T43" s="129">
        <f t="shared" si="51"/>
        <v>0.41787430364294803</v>
      </c>
      <c r="U43" s="129">
        <f t="shared" si="51"/>
        <v>0.43022322475223651</v>
      </c>
      <c r="V43" s="129">
        <f t="shared" si="51"/>
        <v>0.44294261349480363</v>
      </c>
      <c r="W43" s="129">
        <f t="shared" si="51"/>
        <v>0.45604358389964778</v>
      </c>
      <c r="X43" s="129">
        <f t="shared" si="51"/>
        <v>0.46953758341663715</v>
      </c>
      <c r="Y43" s="129">
        <f t="shared" si="51"/>
        <v>0.48343640291913631</v>
      </c>
      <c r="Z43" s="129">
        <f t="shared" si="51"/>
        <v>0.49775218700671042</v>
      </c>
    </row>
    <row r="45" spans="2:26">
      <c r="B45" s="33" t="s">
        <v>371</v>
      </c>
      <c r="F45" s="34">
        <f>+F34*Assumptions!$O$96*F38</f>
        <v>0</v>
      </c>
      <c r="G45" s="34">
        <f>+G34*Assumptions!$O$96*G38</f>
        <v>0</v>
      </c>
      <c r="H45" s="34">
        <f>+H34*Assumptions!$O$96*H38</f>
        <v>0</v>
      </c>
      <c r="I45" s="34">
        <f>+I34*Assumptions!$O$96*I38</f>
        <v>4.2645313506050671E-2</v>
      </c>
      <c r="J45" s="34">
        <f>+J34*Assumptions!$O$96*J38</f>
        <v>8.7849345822464397E-2</v>
      </c>
      <c r="K45" s="34">
        <f>+K34*Assumptions!$O$96*K38</f>
        <v>9.0484826197138324E-2</v>
      </c>
      <c r="L45" s="34">
        <f>+L34*Assumptions!$O$96*L38</f>
        <v>9.3199370983052476E-2</v>
      </c>
      <c r="M45" s="34">
        <f>+M34*Assumptions!$O$96*M38</f>
        <v>9.599535211254405E-2</v>
      </c>
      <c r="N45" s="34">
        <f>+N34*Assumptions!$O$96*N38</f>
        <v>9.8875212675920379E-2</v>
      </c>
      <c r="O45" s="34">
        <f>+O34*Assumptions!$O$96*O38</f>
        <v>0.10184146905619799</v>
      </c>
      <c r="P45" s="34">
        <f>+P34*Assumptions!$O$96*P38</f>
        <v>0.10489671312788393</v>
      </c>
      <c r="Q45" s="34">
        <f>+Q34*Assumptions!$O$96*Q38</f>
        <v>0.10804361452172045</v>
      </c>
      <c r="R45" s="34">
        <f>+R34*Assumptions!$O$96*R38</f>
        <v>0.11128492295737206</v>
      </c>
      <c r="S45" s="34">
        <f>+S34*Assumptions!$O$96*S38</f>
        <v>0.11462347064609324</v>
      </c>
      <c r="T45" s="34">
        <f>+T34*Assumptions!$O$96*T38</f>
        <v>0.11806217476547605</v>
      </c>
      <c r="U45" s="34">
        <f>+U34*Assumptions!$O$96*U38</f>
        <v>0.12160404000844033</v>
      </c>
      <c r="V45" s="34">
        <f>+V34*Assumptions!$O$96*V38</f>
        <v>0.12525216120869356</v>
      </c>
      <c r="W45" s="34">
        <f>+W34*Assumptions!$O$96*W38</f>
        <v>0.12900972604495436</v>
      </c>
      <c r="X45" s="34">
        <f>+X34*Assumptions!$O$96*X38</f>
        <v>0.13288001782630299</v>
      </c>
      <c r="Y45" s="34">
        <f>+Y34*Assumptions!$O$96*Y38</f>
        <v>0.13686641836109209</v>
      </c>
      <c r="Z45" s="34">
        <f>+Z34*Assumptions!$O$96*Z38</f>
        <v>0.14097241091192486</v>
      </c>
    </row>
    <row r="46" spans="2:26">
      <c r="B46" s="33" t="s">
        <v>308</v>
      </c>
      <c r="F46" s="151">
        <f ca="1">+IFERROR(IFERROR(INDEX('Taxes and TIF'!$AC$11:$AC$45,MATCH('Phase II Pro Forma'!F$7,'Taxes and TIF'!$R$11:$R$45,0)),0)*'Loan Sizing'!$K$16*F35,0)</f>
        <v>0</v>
      </c>
      <c r="G46" s="151">
        <f ca="1">+IFERROR(IFERROR(INDEX('Taxes and TIF'!$AC$11:$AC$45,MATCH('Phase II Pro Forma'!G$7,'Taxes and TIF'!$R$11:$R$45,0)),0)*'Loan Sizing'!$K$16*G35,0)</f>
        <v>0</v>
      </c>
      <c r="H46" s="151">
        <f ca="1">+IFERROR(IFERROR(INDEX('Taxes and TIF'!$AC$11:$AC$45,MATCH('Phase II Pro Forma'!H$7,'Taxes and TIF'!$R$11:$R$45,0)),0)*'Loan Sizing'!$K$16*H35,0)</f>
        <v>0</v>
      </c>
      <c r="I46" s="151">
        <f ca="1">+IFERROR(IFERROR(INDEX('Taxes and TIF'!$AC$11:$AC$45,MATCH('Phase II Pro Forma'!I$7,'Taxes and TIF'!$R$11:$R$45,0)),0)*'Loan Sizing'!$K$16*I35,0)</f>
        <v>1.9334382541068063E-2</v>
      </c>
      <c r="J46" s="151">
        <f ca="1">+IFERROR(IFERROR(INDEX('Taxes and TIF'!$AC$11:$AC$45,MATCH('Phase II Pro Forma'!J$7,'Taxes and TIF'!$R$11:$R$45,0)),0)*'Loan Sizing'!$K$16*J35,0)</f>
        <v>3.8668765082136125E-2</v>
      </c>
      <c r="K46" s="151">
        <f ca="1">+IFERROR(IFERROR(INDEX('Taxes and TIF'!$AC$11:$AC$45,MATCH('Phase II Pro Forma'!K$7,'Taxes and TIF'!$R$11:$R$45,0)),0)*'Loan Sizing'!$K$16*K35,0)</f>
        <v>3.8668765082136125E-2</v>
      </c>
      <c r="L46" s="151">
        <f ca="1">+IFERROR(IFERROR(INDEX('Taxes and TIF'!$AC$11:$AC$45,MATCH('Phase II Pro Forma'!L$7,'Taxes and TIF'!$R$11:$R$45,0)),0)*'Loan Sizing'!$K$16*L35,0)</f>
        <v>3.8668765082136125E-2</v>
      </c>
      <c r="M46" s="151">
        <f ca="1">+IFERROR(IFERROR(INDEX('Taxes and TIF'!$AC$11:$AC$45,MATCH('Phase II Pro Forma'!M$7,'Taxes and TIF'!$R$11:$R$45,0)),0)*'Loan Sizing'!$K$16*M35,0)</f>
        <v>3.8668765082136125E-2</v>
      </c>
      <c r="N46" s="151">
        <f ca="1">+IFERROR(IFERROR(INDEX('Taxes and TIF'!$AC$11:$AC$45,MATCH('Phase II Pro Forma'!N$7,'Taxes and TIF'!$R$11:$R$45,0)),0)*'Loan Sizing'!$K$16*N35,0)</f>
        <v>3.8668765082136125E-2</v>
      </c>
      <c r="O46" s="151">
        <f ca="1">+IFERROR(IFERROR(INDEX('Taxes and TIF'!$AC$11:$AC$45,MATCH('Phase II Pro Forma'!O$7,'Taxes and TIF'!$R$11:$R$45,0)),0)*'Loan Sizing'!$K$16*O35,0)</f>
        <v>3.8668765082136125E-2</v>
      </c>
      <c r="P46" s="151">
        <f ca="1">+IFERROR(IFERROR(INDEX('Taxes and TIF'!$AC$11:$AC$45,MATCH('Phase II Pro Forma'!P$7,'Taxes and TIF'!$R$11:$R$45,0)),0)*'Loan Sizing'!$K$16*P35,0)</f>
        <v>3.8668765082136125E-2</v>
      </c>
      <c r="Q46" s="151">
        <f ca="1">+IFERROR(IFERROR(INDEX('Taxes and TIF'!$AC$11:$AC$45,MATCH('Phase II Pro Forma'!Q$7,'Taxes and TIF'!$R$11:$R$45,0)),0)*'Loan Sizing'!$K$16*Q35,0)</f>
        <v>3.8668765082136125E-2</v>
      </c>
      <c r="R46" s="151">
        <f ca="1">+IFERROR(IFERROR(INDEX('Taxes and TIF'!$AC$11:$AC$45,MATCH('Phase II Pro Forma'!R$7,'Taxes and TIF'!$R$11:$R$45,0)),0)*'Loan Sizing'!$K$16*R35,0)</f>
        <v>3.8668765082136125E-2</v>
      </c>
      <c r="S46" s="151">
        <f ca="1">+IFERROR(IFERROR(INDEX('Taxes and TIF'!$AC$11:$AC$45,MATCH('Phase II Pro Forma'!S$7,'Taxes and TIF'!$R$11:$R$45,0)),0)*'Loan Sizing'!$K$16*S35,0)</f>
        <v>3.8668765082136125E-2</v>
      </c>
      <c r="T46" s="151">
        <f ca="1">+IFERROR(IFERROR(INDEX('Taxes and TIF'!$AC$11:$AC$45,MATCH('Phase II Pro Forma'!T$7,'Taxes and TIF'!$R$11:$R$45,0)),0)*'Loan Sizing'!$K$16*T35,0)</f>
        <v>3.8668765082136125E-2</v>
      </c>
      <c r="U46" s="151">
        <f ca="1">+IFERROR(IFERROR(INDEX('Taxes and TIF'!$AC$11:$AC$45,MATCH('Phase II Pro Forma'!U$7,'Taxes and TIF'!$R$11:$R$45,0)),0)*'Loan Sizing'!$K$16*U35,0)</f>
        <v>3.8668765082136125E-2</v>
      </c>
      <c r="V46" s="151">
        <f ca="1">+IFERROR(IFERROR(INDEX('Taxes and TIF'!$AC$11:$AC$45,MATCH('Phase II Pro Forma'!V$7,'Taxes and TIF'!$R$11:$R$45,0)),0)*'Loan Sizing'!$K$16*V35,0)</f>
        <v>3.8668765082136125E-2</v>
      </c>
      <c r="W46" s="151">
        <f ca="1">+IFERROR(IFERROR(INDEX('Taxes and TIF'!$AC$11:$AC$45,MATCH('Phase II Pro Forma'!W$7,'Taxes and TIF'!$R$11:$R$45,0)),0)*'Loan Sizing'!$K$16*W35,0)</f>
        <v>3.8668765082136125E-2</v>
      </c>
      <c r="X46" s="151">
        <f ca="1">+IFERROR(IFERROR(INDEX('Taxes and TIF'!$AC$11:$AC$45,MATCH('Phase II Pro Forma'!X$7,'Taxes and TIF'!$R$11:$R$45,0)),0)*'Loan Sizing'!$K$16*X35,0)</f>
        <v>3.8668765082136125E-2</v>
      </c>
      <c r="Y46" s="151">
        <f ca="1">+IFERROR(IFERROR(INDEX('Taxes and TIF'!$AC$11:$AC$45,MATCH('Phase II Pro Forma'!Y$7,'Taxes and TIF'!$R$11:$R$45,0)),0)*'Loan Sizing'!$K$16*Y35,0)</f>
        <v>3.8668765082136125E-2</v>
      </c>
      <c r="Z46" s="151">
        <f ca="1">+IFERROR(IFERROR(INDEX('Taxes and TIF'!$AC$11:$AC$45,MATCH('Phase II Pro Forma'!Z$7,'Taxes and TIF'!$R$11:$R$45,0)),0)*'Loan Sizing'!$K$16*Z35,0)</f>
        <v>3.8668765082136125E-2</v>
      </c>
    </row>
    <row r="47" spans="2:26">
      <c r="B47" s="137" t="s">
        <v>234</v>
      </c>
      <c r="C47" s="137"/>
      <c r="D47" s="137"/>
      <c r="E47" s="137"/>
      <c r="F47" s="129">
        <f ca="1">+SUM(F45:F46)</f>
        <v>0</v>
      </c>
      <c r="G47" s="129">
        <f t="shared" ref="G47" ca="1" si="52">+SUM(G45:G46)</f>
        <v>0</v>
      </c>
      <c r="H47" s="129">
        <f t="shared" ref="H47:Z47" ca="1" si="53">+SUM(H45:H46)</f>
        <v>0</v>
      </c>
      <c r="I47" s="129">
        <f t="shared" ca="1" si="53"/>
        <v>6.1979696047118733E-2</v>
      </c>
      <c r="J47" s="129">
        <f t="shared" ca="1" si="53"/>
        <v>0.12651811090460052</v>
      </c>
      <c r="K47" s="129">
        <f t="shared" ca="1" si="53"/>
        <v>0.12915359127927445</v>
      </c>
      <c r="L47" s="129">
        <f t="shared" ca="1" si="53"/>
        <v>0.1318681360651886</v>
      </c>
      <c r="M47" s="129">
        <f t="shared" ca="1" si="53"/>
        <v>0.13466411719468019</v>
      </c>
      <c r="N47" s="129">
        <f t="shared" ca="1" si="53"/>
        <v>0.13754397775805649</v>
      </c>
      <c r="O47" s="129">
        <f t="shared" ca="1" si="53"/>
        <v>0.14051023413833413</v>
      </c>
      <c r="P47" s="129">
        <f t="shared" ca="1" si="53"/>
        <v>0.14356547821002005</v>
      </c>
      <c r="Q47" s="129">
        <f t="shared" ca="1" si="53"/>
        <v>0.14671237960385658</v>
      </c>
      <c r="R47" s="129">
        <f t="shared" ca="1" si="53"/>
        <v>0.1499536880395082</v>
      </c>
      <c r="S47" s="129">
        <f t="shared" ca="1" si="53"/>
        <v>0.15329223572822936</v>
      </c>
      <c r="T47" s="129">
        <f t="shared" ca="1" si="53"/>
        <v>0.15673093984761216</v>
      </c>
      <c r="U47" s="129">
        <f t="shared" ca="1" si="53"/>
        <v>0.16027280509057645</v>
      </c>
      <c r="V47" s="129">
        <f t="shared" ca="1" si="53"/>
        <v>0.16392092629082969</v>
      </c>
      <c r="W47" s="129">
        <f t="shared" ca="1" si="53"/>
        <v>0.16767849112709049</v>
      </c>
      <c r="X47" s="129">
        <f t="shared" ca="1" si="53"/>
        <v>0.17154878290843911</v>
      </c>
      <c r="Y47" s="129">
        <f t="shared" ca="1" si="53"/>
        <v>0.17553518344322822</v>
      </c>
      <c r="Z47" s="129">
        <f t="shared" ca="1" si="53"/>
        <v>0.17964117599406099</v>
      </c>
    </row>
    <row r="48" spans="2:26">
      <c r="B48" s="33"/>
    </row>
    <row r="49" spans="1:26" ht="15.5">
      <c r="A49" s="108"/>
      <c r="B49" s="138" t="s">
        <v>233</v>
      </c>
      <c r="C49" s="138"/>
      <c r="D49" s="138"/>
      <c r="E49" s="138"/>
      <c r="F49" s="139">
        <f ca="1">+F43-F47</f>
        <v>0</v>
      </c>
      <c r="G49" s="139">
        <f t="shared" ref="G49:Z49" ca="1" si="54">+G43-G47</f>
        <v>0</v>
      </c>
      <c r="H49" s="139">
        <f t="shared" ca="1" si="54"/>
        <v>0</v>
      </c>
      <c r="I49" s="139">
        <f t="shared" ca="1" si="54"/>
        <v>8.9827493159373856E-2</v>
      </c>
      <c r="J49" s="139">
        <f t="shared" ca="1" si="54"/>
        <v>0.18601739086077423</v>
      </c>
      <c r="K49" s="139">
        <f t="shared" ca="1" si="54"/>
        <v>0.19257066753906155</v>
      </c>
      <c r="L49" s="139">
        <f t="shared" ca="1" si="54"/>
        <v>0.19932054251769749</v>
      </c>
      <c r="M49" s="139">
        <f t="shared" ca="1" si="54"/>
        <v>0.20627291374569245</v>
      </c>
      <c r="N49" s="139">
        <f t="shared" ca="1" si="54"/>
        <v>0.21343385611052734</v>
      </c>
      <c r="O49" s="139">
        <f t="shared" ca="1" si="54"/>
        <v>0.22080962674630727</v>
      </c>
      <c r="P49" s="139">
        <f t="shared" ca="1" si="54"/>
        <v>0.22840667050116062</v>
      </c>
      <c r="Q49" s="139">
        <f t="shared" ca="1" si="54"/>
        <v>0.23623162556865945</v>
      </c>
      <c r="R49" s="139">
        <f t="shared" ca="1" si="54"/>
        <v>0.24429132928818331</v>
      </c>
      <c r="S49" s="139">
        <f t="shared" ca="1" si="54"/>
        <v>0.25259282411929296</v>
      </c>
      <c r="T49" s="139">
        <f t="shared" ca="1" si="54"/>
        <v>0.26114336379533587</v>
      </c>
      <c r="U49" s="139">
        <f t="shared" ca="1" si="54"/>
        <v>0.26995041966166006</v>
      </c>
      <c r="V49" s="139">
        <f t="shared" ca="1" si="54"/>
        <v>0.27902168720397391</v>
      </c>
      <c r="W49" s="139">
        <f t="shared" ca="1" si="54"/>
        <v>0.28836509277255729</v>
      </c>
      <c r="X49" s="139">
        <f t="shared" ca="1" si="54"/>
        <v>0.29798880050819804</v>
      </c>
      <c r="Y49" s="139">
        <f t="shared" ca="1" si="54"/>
        <v>0.30790121947590809</v>
      </c>
      <c r="Z49" s="139">
        <f t="shared" ca="1" si="54"/>
        <v>0.31811101101264944</v>
      </c>
    </row>
    <row r="50" spans="1:26" ht="15.5">
      <c r="B50" s="143" t="s">
        <v>239</v>
      </c>
      <c r="C50" s="141"/>
      <c r="D50" s="141"/>
      <c r="E50" s="141"/>
      <c r="F50" s="144" t="str">
        <f ca="1">+IFERROR(F49/F43,"")</f>
        <v/>
      </c>
      <c r="G50" s="144" t="str">
        <f t="shared" ref="G50:Z50" ca="1" si="55">+IFERROR(G49/G43,"")</f>
        <v/>
      </c>
      <c r="H50" s="144" t="str">
        <f t="shared" ca="1" si="55"/>
        <v/>
      </c>
      <c r="I50" s="145">
        <f t="shared" ca="1" si="55"/>
        <v>0.59172094305222833</v>
      </c>
      <c r="J50" s="145">
        <f t="shared" ca="1" si="55"/>
        <v>0.5951880340314758</v>
      </c>
      <c r="K50" s="145">
        <f t="shared" ca="1" si="55"/>
        <v>0.59855812006951581</v>
      </c>
      <c r="L50" s="145">
        <f t="shared" ca="1" si="55"/>
        <v>0.60183380473802595</v>
      </c>
      <c r="M50" s="145">
        <f t="shared" ca="1" si="55"/>
        <v>0.60501762796710712</v>
      </c>
      <c r="N50" s="145">
        <f t="shared" ca="1" si="55"/>
        <v>0.60811206724366274</v>
      </c>
      <c r="O50" s="145">
        <f t="shared" ca="1" si="55"/>
        <v>0.61111953880887038</v>
      </c>
      <c r="P50" s="145">
        <f t="shared" ca="1" si="55"/>
        <v>0.61404239885311396</v>
      </c>
      <c r="Q50" s="145">
        <f t="shared" ca="1" si="55"/>
        <v>0.61688294470685667</v>
      </c>
      <c r="R50" s="145">
        <f t="shared" ca="1" si="55"/>
        <v>0.61964341602605832</v>
      </c>
      <c r="S50" s="145">
        <f t="shared" ca="1" si="55"/>
        <v>0.62232599597083904</v>
      </c>
      <c r="T50" s="145">
        <f t="shared" ca="1" si="55"/>
        <v>0.62493281237620524</v>
      </c>
      <c r="U50" s="145">
        <f t="shared" ca="1" si="55"/>
        <v>0.62746593891374225</v>
      </c>
      <c r="V50" s="145">
        <f t="shared" ca="1" si="55"/>
        <v>0.62992739624327709</v>
      </c>
      <c r="W50" s="145">
        <f t="shared" ca="1" si="55"/>
        <v>0.63231915315359843</v>
      </c>
      <c r="X50" s="145">
        <f t="shared" ca="1" si="55"/>
        <v>0.63464312769140385</v>
      </c>
      <c r="Y50" s="145">
        <f t="shared" ca="1" si="55"/>
        <v>0.63690118827772735</v>
      </c>
      <c r="Z50" s="145">
        <f t="shared" ca="1" si="55"/>
        <v>0.63909515481116475</v>
      </c>
    </row>
    <row r="51" spans="1:26" ht="15.5">
      <c r="B51" s="143" t="s">
        <v>179</v>
      </c>
      <c r="C51" s="141"/>
      <c r="D51" s="141"/>
      <c r="E51" s="141"/>
      <c r="F51" s="142">
        <f ca="1">+F49/Assumptions!$O$129</f>
        <v>0</v>
      </c>
      <c r="G51" s="142">
        <f ca="1">+G49/Assumptions!$O$129</f>
        <v>0</v>
      </c>
      <c r="H51" s="142">
        <f ca="1">+H49/Assumptions!$O$129</f>
        <v>0</v>
      </c>
      <c r="I51" s="142">
        <f ca="1">+I49/Assumptions!$O$129</f>
        <v>1.3819614332211363</v>
      </c>
      <c r="J51" s="142">
        <f ca="1">+J49/Assumptions!$O$129</f>
        <v>2.8618060132426804</v>
      </c>
      <c r="K51" s="142">
        <f ca="1">+K49/Assumptions!$O$129</f>
        <v>2.9626256544471006</v>
      </c>
      <c r="L51" s="142">
        <f ca="1">+L49/Assumptions!$O$129</f>
        <v>3.0664698848876535</v>
      </c>
      <c r="M51" s="142">
        <f ca="1">+M49/Assumptions!$O$129</f>
        <v>3.1734294422414222</v>
      </c>
      <c r="N51" s="142">
        <f ca="1">+N49/Assumptions!$O$129</f>
        <v>3.2835977863158052</v>
      </c>
      <c r="O51" s="142">
        <f ca="1">+O49/Assumptions!$O$129</f>
        <v>3.3970711807124196</v>
      </c>
      <c r="P51" s="142">
        <f ca="1">+P49/Assumptions!$O$129</f>
        <v>3.5139487769409326</v>
      </c>
      <c r="Q51" s="142">
        <f ca="1">+Q49/Assumptions!$O$129</f>
        <v>3.6343327010562994</v>
      </c>
      <c r="R51" s="142">
        <f ca="1">+R49/Assumptions!$O$129</f>
        <v>3.7583281428951278</v>
      </c>
      <c r="S51" s="142">
        <f ca="1">+S49/Assumptions!$O$129</f>
        <v>3.8860434479891222</v>
      </c>
      <c r="T51" s="142">
        <f ca="1">+T49/Assumptions!$O$129</f>
        <v>4.0175902122359366</v>
      </c>
      <c r="U51" s="142">
        <f ca="1">+U49/Assumptions!$O$129</f>
        <v>4.1530833794101545</v>
      </c>
      <c r="V51" s="142">
        <f ca="1">+V49/Assumptions!$O$129</f>
        <v>4.2926413415995981</v>
      </c>
      <c r="W51" s="142">
        <f ca="1">+W49/Assumptions!$O$129</f>
        <v>4.4363860426547275</v>
      </c>
      <c r="X51" s="142">
        <f ca="1">+X49/Assumptions!$O$129</f>
        <v>4.5844430847415083</v>
      </c>
      <c r="Y51" s="142">
        <f ca="1">+Y49/Assumptions!$O$129</f>
        <v>4.7369418380908934</v>
      </c>
      <c r="Z51" s="142">
        <f ca="1">+Z49/Assumptions!$O$129</f>
        <v>4.8940155540407604</v>
      </c>
    </row>
    <row r="53" spans="1:26" ht="15.5">
      <c r="B53" s="148" t="s">
        <v>25</v>
      </c>
      <c r="C53" s="149"/>
      <c r="D53" s="149"/>
      <c r="E53" s="149"/>
      <c r="F53" s="150">
        <f>+Assumptions!$G$22</f>
        <v>45291</v>
      </c>
      <c r="G53" s="150">
        <f>+EOMONTH(F53,12)</f>
        <v>45657</v>
      </c>
      <c r="H53" s="150">
        <f t="shared" ref="H53:Z53" si="56">+EOMONTH(G53,12)</f>
        <v>46022</v>
      </c>
      <c r="I53" s="150">
        <f t="shared" si="56"/>
        <v>46387</v>
      </c>
      <c r="J53" s="150">
        <f t="shared" si="56"/>
        <v>46752</v>
      </c>
      <c r="K53" s="150">
        <f t="shared" si="56"/>
        <v>47118</v>
      </c>
      <c r="L53" s="150">
        <f t="shared" si="56"/>
        <v>47483</v>
      </c>
      <c r="M53" s="150">
        <f t="shared" si="56"/>
        <v>47848</v>
      </c>
      <c r="N53" s="150">
        <f t="shared" si="56"/>
        <v>48213</v>
      </c>
      <c r="O53" s="150">
        <f t="shared" si="56"/>
        <v>48579</v>
      </c>
      <c r="P53" s="150">
        <f t="shared" si="56"/>
        <v>48944</v>
      </c>
      <c r="Q53" s="150">
        <f t="shared" si="56"/>
        <v>49309</v>
      </c>
      <c r="R53" s="150">
        <f t="shared" si="56"/>
        <v>49674</v>
      </c>
      <c r="S53" s="150">
        <f t="shared" si="56"/>
        <v>50040</v>
      </c>
      <c r="T53" s="150">
        <f t="shared" si="56"/>
        <v>50405</v>
      </c>
      <c r="U53" s="150">
        <f t="shared" si="56"/>
        <v>50770</v>
      </c>
      <c r="V53" s="150">
        <f t="shared" si="56"/>
        <v>51135</v>
      </c>
      <c r="W53" s="150">
        <f t="shared" si="56"/>
        <v>51501</v>
      </c>
      <c r="X53" s="150">
        <f t="shared" si="56"/>
        <v>51866</v>
      </c>
      <c r="Y53" s="150">
        <f t="shared" si="56"/>
        <v>52231</v>
      </c>
      <c r="Z53" s="150">
        <f t="shared" si="56"/>
        <v>52596</v>
      </c>
    </row>
    <row r="54" spans="1:26">
      <c r="B54" s="33" t="s">
        <v>690</v>
      </c>
      <c r="C54" s="33"/>
      <c r="D54" s="40"/>
      <c r="E54" s="40"/>
      <c r="F54" s="42">
        <f>+IF(AND(F53&gt;=Assumptions!$G$26,F53&lt;Assumptions!$G$28),Assumptions!$G$137/ROUNDUP((Assumptions!$G$27/12),0),0)</f>
        <v>0</v>
      </c>
      <c r="G54" s="42">
        <f>+IF(AND(G53&gt;=Assumptions!$G$26,G53&lt;Assumptions!$G$28),Assumptions!$G$137/ROUNDUP((Assumptions!$G$27/12),0),0)</f>
        <v>0</v>
      </c>
      <c r="H54" s="42">
        <f>+IF(AND(H53&gt;=Assumptions!$G$26,H53&lt;Assumptions!$G$28),Assumptions!$G$137/ROUNDUP((Assumptions!$G$27/12),0),0)</f>
        <v>0</v>
      </c>
      <c r="I54" s="42">
        <f>+IF(AND(I53&gt;=Assumptions!$G$26,I53&lt;Assumptions!$G$28),Assumptions!$G$137/ROUNDUP((Assumptions!$G$27/12),0),0)</f>
        <v>4.9999999999999998E-7</v>
      </c>
      <c r="J54" s="42">
        <f>+IF(AND(J53&gt;=Assumptions!$G$26,J53&lt;Assumptions!$G$28),Assumptions!$G$137/ROUNDUP((Assumptions!$G$27/12),0),0)</f>
        <v>4.9999999999999998E-7</v>
      </c>
      <c r="K54" s="42">
        <f>+IF(AND(K53&gt;=Assumptions!$G$26,K53&lt;Assumptions!$G$28),Assumptions!$G$137/ROUNDUP((Assumptions!$G$27/12),0),0)</f>
        <v>0</v>
      </c>
      <c r="L54" s="42">
        <f>+IF(AND(L53&gt;=Assumptions!$G$26,L53&lt;Assumptions!$G$28),Assumptions!$G$137/ROUNDUP((Assumptions!$G$27/12),0),0)</f>
        <v>0</v>
      </c>
      <c r="M54" s="42">
        <f>+IF(AND(M53&gt;=Assumptions!$G$26,M53&lt;Assumptions!$G$28),Assumptions!$G$137/ROUNDUP((Assumptions!$G$27/12),0),0)</f>
        <v>0</v>
      </c>
      <c r="N54" s="42">
        <f>+IF(AND(N53&gt;=Assumptions!$G$26,N53&lt;Assumptions!$G$28),Assumptions!$G$137/ROUNDUP((Assumptions!$G$27/12),0),0)</f>
        <v>0</v>
      </c>
      <c r="O54" s="42">
        <f>+IF(AND(O53&gt;=Assumptions!$G$26,O53&lt;Assumptions!$G$28),Assumptions!$G$137/ROUNDUP((Assumptions!$G$27/12),0),0)</f>
        <v>0</v>
      </c>
      <c r="P54" s="42">
        <f>+IF(AND(P53&gt;=Assumptions!$G$26,P53&lt;Assumptions!$G$28),Assumptions!$G$137/ROUNDUP((Assumptions!$G$27/12),0),0)</f>
        <v>0</v>
      </c>
      <c r="Q54" s="42">
        <f>+IF(AND(Q53&gt;=Assumptions!$G$26,Q53&lt;Assumptions!$G$28),Assumptions!$G$137/ROUNDUP((Assumptions!$G$27/12),0),0)</f>
        <v>0</v>
      </c>
      <c r="R54" s="42">
        <f>+IF(AND(R53&gt;=Assumptions!$G$26,R53&lt;Assumptions!$G$28),Assumptions!$G$137/ROUNDUP((Assumptions!$G$27/12),0),0)</f>
        <v>0</v>
      </c>
      <c r="S54" s="42">
        <f>+IF(AND(S53&gt;=Assumptions!$G$26,S53&lt;Assumptions!$G$28),Assumptions!$G$137/ROUNDUP((Assumptions!$G$27/12),0),0)</f>
        <v>0</v>
      </c>
      <c r="T54" s="42">
        <f>+IF(AND(T53&gt;=Assumptions!$G$26,T53&lt;Assumptions!$G$28),Assumptions!$G$137/ROUNDUP((Assumptions!$G$27/12),0),0)</f>
        <v>0</v>
      </c>
      <c r="U54" s="42">
        <f>+IF(AND(U53&gt;=Assumptions!$G$26,U53&lt;Assumptions!$G$28),Assumptions!$G$137/ROUNDUP((Assumptions!$G$27/12),0),0)</f>
        <v>0</v>
      </c>
      <c r="V54" s="42">
        <f>+IF(AND(V53&gt;=Assumptions!$G$26,V53&lt;Assumptions!$G$28),Assumptions!$G$137/ROUNDUP((Assumptions!$G$27/12),0),0)</f>
        <v>0</v>
      </c>
      <c r="W54" s="42">
        <f>+IF(AND(W53&gt;=Assumptions!$G$26,W53&lt;Assumptions!$G$28),Assumptions!$G$137/ROUNDUP((Assumptions!$G$27/12),0),0)</f>
        <v>0</v>
      </c>
      <c r="X54" s="42">
        <f>+IF(AND(X53&gt;=Assumptions!$G$26,X53&lt;Assumptions!$G$28),Assumptions!$G$137/ROUNDUP((Assumptions!$G$27/12),0),0)</f>
        <v>0</v>
      </c>
      <c r="Y54" s="42">
        <f>+IF(AND(Y53&gt;=Assumptions!$G$26,Y53&lt;Assumptions!$G$28),Assumptions!$G$137/ROUNDUP((Assumptions!$G$27/12),0),0)</f>
        <v>0</v>
      </c>
      <c r="Z54" s="42">
        <f>+IF(AND(Z53&gt;=Assumptions!$G$26,Z53&lt;Assumptions!$G$28),Assumptions!$G$137/ROUNDUP((Assumptions!$G$27/12),0),0)</f>
        <v>0</v>
      </c>
    </row>
    <row r="55" spans="1:26">
      <c r="B55" s="33" t="s">
        <v>231</v>
      </c>
      <c r="C55" s="33"/>
      <c r="D55" s="42">
        <v>0</v>
      </c>
      <c r="E55" s="42"/>
      <c r="F55" s="42">
        <f>+D55+F54</f>
        <v>0</v>
      </c>
      <c r="G55" s="42">
        <f t="shared" ref="G55:Z55" si="57">+F55+G54</f>
        <v>0</v>
      </c>
      <c r="H55" s="42">
        <f t="shared" si="57"/>
        <v>0</v>
      </c>
      <c r="I55" s="42">
        <f t="shared" si="57"/>
        <v>4.9999999999999998E-7</v>
      </c>
      <c r="J55" s="42">
        <f t="shared" si="57"/>
        <v>9.9999999999999995E-7</v>
      </c>
      <c r="K55" s="42">
        <f t="shared" si="57"/>
        <v>9.9999999999999995E-7</v>
      </c>
      <c r="L55" s="42">
        <f t="shared" si="57"/>
        <v>9.9999999999999995E-7</v>
      </c>
      <c r="M55" s="42">
        <f t="shared" si="57"/>
        <v>9.9999999999999995E-7</v>
      </c>
      <c r="N55" s="42">
        <f t="shared" si="57"/>
        <v>9.9999999999999995E-7</v>
      </c>
      <c r="O55" s="42">
        <f t="shared" si="57"/>
        <v>9.9999999999999995E-7</v>
      </c>
      <c r="P55" s="42">
        <f t="shared" si="57"/>
        <v>9.9999999999999995E-7</v>
      </c>
      <c r="Q55" s="42">
        <f t="shared" si="57"/>
        <v>9.9999999999999995E-7</v>
      </c>
      <c r="R55" s="42">
        <f t="shared" si="57"/>
        <v>9.9999999999999995E-7</v>
      </c>
      <c r="S55" s="42">
        <f t="shared" si="57"/>
        <v>9.9999999999999995E-7</v>
      </c>
      <c r="T55" s="42">
        <f t="shared" si="57"/>
        <v>9.9999999999999995E-7</v>
      </c>
      <c r="U55" s="42">
        <f t="shared" si="57"/>
        <v>9.9999999999999995E-7</v>
      </c>
      <c r="V55" s="42">
        <f t="shared" si="57"/>
        <v>9.9999999999999995E-7</v>
      </c>
      <c r="W55" s="42">
        <f t="shared" si="57"/>
        <v>9.9999999999999995E-7</v>
      </c>
      <c r="X55" s="42">
        <f t="shared" si="57"/>
        <v>9.9999999999999995E-7</v>
      </c>
      <c r="Y55" s="42">
        <f t="shared" si="57"/>
        <v>9.9999999999999995E-7</v>
      </c>
      <c r="Z55" s="42">
        <f t="shared" si="57"/>
        <v>9.9999999999999995E-7</v>
      </c>
    </row>
    <row r="56" spans="1:26">
      <c r="B56" s="33" t="s">
        <v>285</v>
      </c>
      <c r="C56" s="33"/>
      <c r="D56" s="42"/>
      <c r="E56" s="42"/>
      <c r="F56" s="108">
        <f t="shared" ref="F56:Z56" si="58">+F55/SUM($F54:$Z54)</f>
        <v>0</v>
      </c>
      <c r="G56" s="108">
        <f t="shared" si="58"/>
        <v>0</v>
      </c>
      <c r="H56" s="108">
        <f t="shared" si="58"/>
        <v>0</v>
      </c>
      <c r="I56" s="108">
        <f t="shared" si="58"/>
        <v>0.5</v>
      </c>
      <c r="J56" s="108">
        <f t="shared" si="58"/>
        <v>1</v>
      </c>
      <c r="K56" s="108">
        <f t="shared" si="58"/>
        <v>1</v>
      </c>
      <c r="L56" s="108">
        <f t="shared" si="58"/>
        <v>1</v>
      </c>
      <c r="M56" s="108">
        <f t="shared" si="58"/>
        <v>1</v>
      </c>
      <c r="N56" s="108">
        <f t="shared" si="58"/>
        <v>1</v>
      </c>
      <c r="O56" s="108">
        <f t="shared" si="58"/>
        <v>1</v>
      </c>
      <c r="P56" s="108">
        <f t="shared" si="58"/>
        <v>1</v>
      </c>
      <c r="Q56" s="108">
        <f t="shared" si="58"/>
        <v>1</v>
      </c>
      <c r="R56" s="108">
        <f t="shared" si="58"/>
        <v>1</v>
      </c>
      <c r="S56" s="108">
        <f t="shared" si="58"/>
        <v>1</v>
      </c>
      <c r="T56" s="108">
        <f t="shared" si="58"/>
        <v>1</v>
      </c>
      <c r="U56" s="108">
        <f t="shared" si="58"/>
        <v>1</v>
      </c>
      <c r="V56" s="108">
        <f t="shared" si="58"/>
        <v>1</v>
      </c>
      <c r="W56" s="108">
        <f t="shared" si="58"/>
        <v>1</v>
      </c>
      <c r="X56" s="108">
        <f t="shared" si="58"/>
        <v>1</v>
      </c>
      <c r="Y56" s="108">
        <f t="shared" si="58"/>
        <v>1</v>
      </c>
      <c r="Z56" s="108">
        <f t="shared" si="58"/>
        <v>1</v>
      </c>
    </row>
    <row r="57" spans="1:26">
      <c r="B57" s="33"/>
      <c r="C57" s="33"/>
      <c r="D57" s="40"/>
      <c r="E57" s="40"/>
      <c r="F57" s="34"/>
      <c r="G57" s="34"/>
      <c r="H57" s="34"/>
      <c r="I57" s="34"/>
      <c r="J57" s="34"/>
      <c r="K57" s="34"/>
      <c r="L57" s="34"/>
      <c r="M57" s="34"/>
      <c r="N57" s="34"/>
      <c r="O57" s="34"/>
      <c r="P57" s="34"/>
      <c r="Q57" s="34"/>
      <c r="R57" s="34"/>
      <c r="S57" s="34"/>
      <c r="T57" s="34"/>
      <c r="U57" s="34"/>
      <c r="V57" s="34"/>
      <c r="W57" s="34"/>
      <c r="X57" s="34"/>
      <c r="Y57" s="34"/>
      <c r="Z57" s="34"/>
    </row>
    <row r="58" spans="1:26">
      <c r="B58" s="33" t="s">
        <v>236</v>
      </c>
      <c r="C58" s="33"/>
      <c r="D58" s="42"/>
      <c r="E58" s="42"/>
      <c r="F58" s="108">
        <v>1</v>
      </c>
      <c r="G58" s="108">
        <f>+IF(MOD(G$2,Assumptions!$O$66)=(Assumptions!$O$66-1),F58*(1+Assumptions!$O$65),'Phase II Pro Forma'!F58)</f>
        <v>1</v>
      </c>
      <c r="H58" s="108">
        <f>+IF(MOD(H$2,Assumptions!$O$66)=(Assumptions!$O$66-1),G58*(1+Assumptions!$O$65),'Phase II Pro Forma'!G58)</f>
        <v>1</v>
      </c>
      <c r="I58" s="108">
        <f>+IF(MOD(I$2,Assumptions!$O$66)=(Assumptions!$O$66-1),H58*(1+Assumptions!$O$65),'Phase II Pro Forma'!H58)</f>
        <v>1</v>
      </c>
      <c r="J58" s="108">
        <f>+IF(MOD(J$2,Assumptions!$O$66)=(Assumptions!$O$66-1),I58*(1+Assumptions!$O$65),'Phase II Pro Forma'!I58)</f>
        <v>1</v>
      </c>
      <c r="K58" s="108">
        <f>+IF(MOD(K$2,Assumptions!$O$66)=(Assumptions!$O$66-1),J58*(1+Assumptions!$O$65),'Phase II Pro Forma'!J58)</f>
        <v>1</v>
      </c>
      <c r="L58" s="108">
        <f>+IF(MOD(L$2,Assumptions!$O$66)=(Assumptions!$O$66-1),K58*(1+Assumptions!$O$65),'Phase II Pro Forma'!K58)</f>
        <v>1.1000000000000001</v>
      </c>
      <c r="M58" s="108">
        <f>+IF(MOD(M$2,Assumptions!$O$66)=(Assumptions!$O$66-1),L58*(1+Assumptions!$O$65),'Phase II Pro Forma'!L58)</f>
        <v>1.1000000000000001</v>
      </c>
      <c r="N58" s="108">
        <f>+IF(MOD(N$2,Assumptions!$O$66)=(Assumptions!$O$66-1),M58*(1+Assumptions!$O$65),'Phase II Pro Forma'!M58)</f>
        <v>1.1000000000000001</v>
      </c>
      <c r="O58" s="108">
        <f>+IF(MOD(O$2,Assumptions!$O$66)=(Assumptions!$O$66-1),N58*(1+Assumptions!$O$65),'Phase II Pro Forma'!N58)</f>
        <v>1.1000000000000001</v>
      </c>
      <c r="P58" s="108">
        <f>+IF(MOD(P$2,Assumptions!$O$66)=(Assumptions!$O$66-1),O58*(1+Assumptions!$O$65),'Phase II Pro Forma'!O58)</f>
        <v>1.1000000000000001</v>
      </c>
      <c r="Q58" s="108">
        <f>+IF(MOD(Q$2,Assumptions!$O$66)=(Assumptions!$O$66-1),P58*(1+Assumptions!$O$65),'Phase II Pro Forma'!P58)</f>
        <v>1.2100000000000002</v>
      </c>
      <c r="R58" s="108">
        <f>+IF(MOD(R$2,Assumptions!$O$66)=(Assumptions!$O$66-1),Q58*(1+Assumptions!$O$65),'Phase II Pro Forma'!Q58)</f>
        <v>1.2100000000000002</v>
      </c>
      <c r="S58" s="108">
        <f>+IF(MOD(S$2,Assumptions!$O$66)=(Assumptions!$O$66-1),R58*(1+Assumptions!$O$65),'Phase II Pro Forma'!R58)</f>
        <v>1.2100000000000002</v>
      </c>
      <c r="T58" s="108">
        <f>+IF(MOD(T$2,Assumptions!$O$66)=(Assumptions!$O$66-1),S58*(1+Assumptions!$O$65),'Phase II Pro Forma'!S58)</f>
        <v>1.2100000000000002</v>
      </c>
      <c r="U58" s="108">
        <f>+IF(MOD(U$2,Assumptions!$O$66)=(Assumptions!$O$66-1),T58*(1+Assumptions!$O$65),'Phase II Pro Forma'!T58)</f>
        <v>1.2100000000000002</v>
      </c>
      <c r="V58" s="108">
        <f>+IF(MOD(V$2,Assumptions!$O$66)=(Assumptions!$O$66-1),U58*(1+Assumptions!$O$65),'Phase II Pro Forma'!U58)</f>
        <v>1.3310000000000004</v>
      </c>
      <c r="W58" s="108">
        <f>+IF(MOD(W$2,Assumptions!$O$66)=(Assumptions!$O$66-1),V58*(1+Assumptions!$O$65),'Phase II Pro Forma'!V58)</f>
        <v>1.3310000000000004</v>
      </c>
      <c r="X58" s="108">
        <f>+IF(MOD(X$2,Assumptions!$O$66)=(Assumptions!$O$66-1),W58*(1+Assumptions!$O$65),'Phase II Pro Forma'!W58)</f>
        <v>1.3310000000000004</v>
      </c>
      <c r="Y58" s="108">
        <f>+IF(MOD(Y$2,Assumptions!$O$66)=(Assumptions!$O$66-1),X58*(1+Assumptions!$O$65),'Phase II Pro Forma'!X58)</f>
        <v>1.3310000000000004</v>
      </c>
      <c r="Z58" s="108">
        <f>+IF(MOD(Z$2,Assumptions!$O$66)=(Assumptions!$O$66-1),Y58*(1+Assumptions!$O$65),'Phase II Pro Forma'!Y58)</f>
        <v>1.3310000000000004</v>
      </c>
    </row>
    <row r="59" spans="1:26">
      <c r="B59" s="33" t="s">
        <v>237</v>
      </c>
      <c r="C59" s="33"/>
      <c r="D59" s="42"/>
      <c r="E59" s="42"/>
      <c r="F59" s="108">
        <v>1</v>
      </c>
      <c r="G59" s="108">
        <f>+F59*(1+Assumptions!$O$78)</f>
        <v>1.03</v>
      </c>
      <c r="H59" s="108">
        <f>+G59*(1+Assumptions!$O$78)</f>
        <v>1.0609</v>
      </c>
      <c r="I59" s="108">
        <f>+H59*(1+Assumptions!$O$78)</f>
        <v>1.092727</v>
      </c>
      <c r="J59" s="108">
        <f>+I59*(1+Assumptions!$O$78)</f>
        <v>1.1255088100000001</v>
      </c>
      <c r="K59" s="108">
        <f>+J59*(1+Assumptions!$O$78)</f>
        <v>1.1592740743000001</v>
      </c>
      <c r="L59" s="108">
        <f>+K59*(1+Assumptions!$O$78)</f>
        <v>1.1940522965290001</v>
      </c>
      <c r="M59" s="108">
        <f>+L59*(1+Assumptions!$O$78)</f>
        <v>1.2298738654248702</v>
      </c>
      <c r="N59" s="108">
        <f>+M59*(1+Assumptions!$O$78)</f>
        <v>1.2667700813876164</v>
      </c>
      <c r="O59" s="108">
        <f>+N59*(1+Assumptions!$O$78)</f>
        <v>1.3047731838292449</v>
      </c>
      <c r="P59" s="108">
        <f>+O59*(1+Assumptions!$O$78)</f>
        <v>1.3439163793441222</v>
      </c>
      <c r="Q59" s="108">
        <f>+P59*(1+Assumptions!$O$78)</f>
        <v>1.3842338707244459</v>
      </c>
      <c r="R59" s="108">
        <f>+Q59*(1+Assumptions!$O$78)</f>
        <v>1.4257608868461793</v>
      </c>
      <c r="S59" s="108">
        <f>+R59*(1+Assumptions!$O$78)</f>
        <v>1.4685337134515648</v>
      </c>
      <c r="T59" s="108">
        <f>+S59*(1+Assumptions!$O$78)</f>
        <v>1.5125897248551119</v>
      </c>
      <c r="U59" s="108">
        <f>+T59*(1+Assumptions!$O$78)</f>
        <v>1.5579674166007653</v>
      </c>
      <c r="V59" s="108">
        <f>+U59*(1+Assumptions!$O$78)</f>
        <v>1.6047064390987884</v>
      </c>
      <c r="W59" s="108">
        <f>+V59*(1+Assumptions!$O$78)</f>
        <v>1.652847632271752</v>
      </c>
      <c r="X59" s="108">
        <f>+W59*(1+Assumptions!$O$78)</f>
        <v>1.7024330612399046</v>
      </c>
      <c r="Y59" s="108">
        <f>+X59*(1+Assumptions!$O$78)</f>
        <v>1.7535060530771018</v>
      </c>
      <c r="Z59" s="108">
        <f>+Y59*(1+Assumptions!$O$78)</f>
        <v>1.806111234669415</v>
      </c>
    </row>
    <row r="60" spans="1:26">
      <c r="B60" s="33"/>
      <c r="C60" s="33"/>
      <c r="D60" s="40"/>
      <c r="E60" s="40"/>
      <c r="F60" s="34"/>
      <c r="G60" s="34"/>
      <c r="H60" s="34"/>
      <c r="I60" s="34"/>
      <c r="J60" s="34"/>
      <c r="K60" s="34"/>
      <c r="L60" s="34"/>
      <c r="M60" s="34"/>
      <c r="N60" s="34"/>
      <c r="O60" s="34"/>
      <c r="P60" s="34"/>
      <c r="Q60" s="34"/>
      <c r="R60" s="34"/>
      <c r="S60" s="34"/>
      <c r="T60" s="34"/>
      <c r="U60" s="34"/>
      <c r="V60" s="34"/>
      <c r="W60" s="34"/>
      <c r="X60" s="34"/>
      <c r="Y60" s="34"/>
      <c r="Z60" s="34"/>
    </row>
    <row r="61" spans="1:26">
      <c r="B61" s="33" t="s">
        <v>228</v>
      </c>
      <c r="C61" s="33"/>
      <c r="D61" s="40"/>
      <c r="E61" s="40"/>
      <c r="F61" s="34">
        <f>+F56*Assumptions!$G$136*F58</f>
        <v>0</v>
      </c>
      <c r="G61" s="34">
        <f>+G56*Assumptions!$G$136*G58</f>
        <v>0</v>
      </c>
      <c r="H61" s="34">
        <f>+H56*Assumptions!$G$136*H58</f>
        <v>0</v>
      </c>
      <c r="I61" s="34">
        <f>+I56*Assumptions!$G$136*I58</f>
        <v>2.6009999999999997E-5</v>
      </c>
      <c r="J61" s="34">
        <f>+J56*Assumptions!$G$136*J58</f>
        <v>5.2019999999999993E-5</v>
      </c>
      <c r="K61" s="34">
        <f>+K56*Assumptions!$G$136*K58</f>
        <v>5.2019999999999993E-5</v>
      </c>
      <c r="L61" s="34">
        <f>+L56*Assumptions!$G$136*L58</f>
        <v>5.7221999999999995E-5</v>
      </c>
      <c r="M61" s="34">
        <f>+M56*Assumptions!$G$136*M58</f>
        <v>5.7221999999999995E-5</v>
      </c>
      <c r="N61" s="34">
        <f>+N56*Assumptions!$G$136*N58</f>
        <v>5.7221999999999995E-5</v>
      </c>
      <c r="O61" s="34">
        <f>+O56*Assumptions!$G$136*O58</f>
        <v>5.7221999999999995E-5</v>
      </c>
      <c r="P61" s="34">
        <f>+P56*Assumptions!$G$136*P58</f>
        <v>5.7221999999999995E-5</v>
      </c>
      <c r="Q61" s="34">
        <f>+Q56*Assumptions!$G$136*Q58</f>
        <v>6.29442E-5</v>
      </c>
      <c r="R61" s="34">
        <f>+R56*Assumptions!$G$136*R58</f>
        <v>6.29442E-5</v>
      </c>
      <c r="S61" s="34">
        <f>+S56*Assumptions!$G$136*S58</f>
        <v>6.29442E-5</v>
      </c>
      <c r="T61" s="34">
        <f>+T56*Assumptions!$G$136*T58</f>
        <v>6.29442E-5</v>
      </c>
      <c r="U61" s="34">
        <f>+U56*Assumptions!$G$136*U58</f>
        <v>6.29442E-5</v>
      </c>
      <c r="V61" s="34">
        <f>+V56*Assumptions!$G$136*V58</f>
        <v>6.9238620000000006E-5</v>
      </c>
      <c r="W61" s="34">
        <f>+W56*Assumptions!$G$136*W58</f>
        <v>6.9238620000000006E-5</v>
      </c>
      <c r="X61" s="34">
        <f>+X56*Assumptions!$G$136*X58</f>
        <v>6.9238620000000006E-5</v>
      </c>
      <c r="Y61" s="34">
        <f>+Y56*Assumptions!$G$136*Y58</f>
        <v>6.9238620000000006E-5</v>
      </c>
      <c r="Z61" s="34">
        <f>+Z56*Assumptions!$G$136*Z58</f>
        <v>6.9238620000000006E-5</v>
      </c>
    </row>
    <row r="62" spans="1:26">
      <c r="B62" s="33" t="s">
        <v>229</v>
      </c>
      <c r="C62" s="33"/>
      <c r="D62" s="40"/>
      <c r="E62" s="40"/>
      <c r="F62" s="42">
        <f>-F61*Assumptions!$O$56</f>
        <v>0</v>
      </c>
      <c r="G62" s="42">
        <f>-G61*Assumptions!$O$56</f>
        <v>0</v>
      </c>
      <c r="H62" s="42">
        <f>-H61*Assumptions!$O$56</f>
        <v>0</v>
      </c>
      <c r="I62" s="42">
        <f>-I61*Assumptions!$O$56</f>
        <v>-2.6270099999999999E-6</v>
      </c>
      <c r="J62" s="42">
        <f>-J61*Assumptions!$O$56</f>
        <v>-5.2540199999999997E-6</v>
      </c>
      <c r="K62" s="42">
        <f>-K61*Assumptions!$O$56</f>
        <v>-5.2540199999999997E-6</v>
      </c>
      <c r="L62" s="42">
        <f>-L61*Assumptions!$O$56</f>
        <v>-5.7794220000000003E-6</v>
      </c>
      <c r="M62" s="42">
        <f>-M61*Assumptions!$O$56</f>
        <v>-5.7794220000000003E-6</v>
      </c>
      <c r="N62" s="42">
        <f>-N61*Assumptions!$O$56</f>
        <v>-5.7794220000000003E-6</v>
      </c>
      <c r="O62" s="42">
        <f>-O61*Assumptions!$O$56</f>
        <v>-5.7794220000000003E-6</v>
      </c>
      <c r="P62" s="42">
        <f>-P61*Assumptions!$O$56</f>
        <v>-5.7794220000000003E-6</v>
      </c>
      <c r="Q62" s="42">
        <f>-Q61*Assumptions!$O$56</f>
        <v>-6.3573642000000001E-6</v>
      </c>
      <c r="R62" s="42">
        <f>-R61*Assumptions!$O$56</f>
        <v>-6.3573642000000001E-6</v>
      </c>
      <c r="S62" s="42">
        <f>-S61*Assumptions!$O$56</f>
        <v>-6.3573642000000001E-6</v>
      </c>
      <c r="T62" s="42">
        <f>-T61*Assumptions!$O$56</f>
        <v>-6.3573642000000001E-6</v>
      </c>
      <c r="U62" s="42">
        <f>-U61*Assumptions!$O$56</f>
        <v>-6.3573642000000001E-6</v>
      </c>
      <c r="V62" s="42">
        <f>-V61*Assumptions!$O$56</f>
        <v>-6.993100620000001E-6</v>
      </c>
      <c r="W62" s="42">
        <f>-W61*Assumptions!$O$56</f>
        <v>-6.993100620000001E-6</v>
      </c>
      <c r="X62" s="42">
        <f>-X61*Assumptions!$O$56</f>
        <v>-6.993100620000001E-6</v>
      </c>
      <c r="Y62" s="42">
        <f>-Y61*Assumptions!$O$56</f>
        <v>-6.993100620000001E-6</v>
      </c>
      <c r="Z62" s="42">
        <f>-Z61*Assumptions!$O$56</f>
        <v>-6.993100620000001E-6</v>
      </c>
    </row>
    <row r="63" spans="1:26">
      <c r="B63" s="33" t="s">
        <v>244</v>
      </c>
      <c r="C63" s="33"/>
      <c r="D63" s="40"/>
      <c r="E63" s="40"/>
      <c r="F63" s="151">
        <f>+F68*Assumptions!$O$89</f>
        <v>0</v>
      </c>
      <c r="G63" s="151">
        <f>+G68*Assumptions!$O$89</f>
        <v>0</v>
      </c>
      <c r="H63" s="151">
        <f>+H68*Assumptions!$O$89</f>
        <v>0</v>
      </c>
      <c r="I63" s="151">
        <f>+I68*Assumptions!$O$89</f>
        <v>3.5811504880199998E-6</v>
      </c>
      <c r="J63" s="151">
        <f>+J68*Assumptions!$O$89</f>
        <v>7.3771700053212015E-6</v>
      </c>
      <c r="K63" s="151">
        <f>+K68*Assumptions!$O$89</f>
        <v>7.5984851054808367E-6</v>
      </c>
      <c r="L63" s="151">
        <f>+L68*Assumptions!$O$89</f>
        <v>7.8264396586452627E-6</v>
      </c>
      <c r="M63" s="151">
        <f>+M68*Assumptions!$O$89</f>
        <v>8.0612328484046197E-6</v>
      </c>
      <c r="N63" s="151">
        <f>+N68*Assumptions!$O$89</f>
        <v>8.3030698338567606E-6</v>
      </c>
      <c r="O63" s="151">
        <f>+O68*Assumptions!$O$89</f>
        <v>8.5521619288724617E-6</v>
      </c>
      <c r="P63" s="151">
        <f>+P68*Assumptions!$O$89</f>
        <v>8.8087267867386352E-6</v>
      </c>
      <c r="Q63" s="151">
        <f>+Q68*Assumptions!$O$89</f>
        <v>9.0729885903407949E-6</v>
      </c>
      <c r="R63" s="151">
        <f>+R68*Assumptions!$O$89</f>
        <v>9.3451782480510183E-6</v>
      </c>
      <c r="S63" s="151">
        <f>+S68*Assumptions!$O$89</f>
        <v>9.6255335954925509E-6</v>
      </c>
      <c r="T63" s="151">
        <f>+T68*Assumptions!$O$89</f>
        <v>9.9142996033573281E-6</v>
      </c>
      <c r="U63" s="151">
        <f>+U68*Assumptions!$O$89</f>
        <v>1.0211728591458048E-5</v>
      </c>
      <c r="V63" s="151">
        <f>+V68*Assumptions!$O$89</f>
        <v>1.0518080449201791E-5</v>
      </c>
      <c r="W63" s="151">
        <f>+W68*Assumptions!$O$89</f>
        <v>1.0833622862677843E-5</v>
      </c>
      <c r="X63" s="151">
        <f>+X68*Assumptions!$O$89</f>
        <v>1.1158631548558179E-5</v>
      </c>
      <c r="Y63" s="151">
        <f>+Y68*Assumptions!$O$89</f>
        <v>1.1493390495014926E-5</v>
      </c>
      <c r="Z63" s="151">
        <f>+Z68*Assumptions!$O$89</f>
        <v>1.1838192209865375E-5</v>
      </c>
    </row>
    <row r="64" spans="1:26">
      <c r="B64" s="137" t="s">
        <v>238</v>
      </c>
      <c r="C64" s="137"/>
      <c r="D64" s="137"/>
      <c r="E64" s="137"/>
      <c r="F64" s="129">
        <f t="shared" ref="F64:Z64" si="59">+SUM(F61:F63)</f>
        <v>0</v>
      </c>
      <c r="G64" s="129">
        <f t="shared" si="59"/>
        <v>0</v>
      </c>
      <c r="H64" s="129">
        <f t="shared" si="59"/>
        <v>0</v>
      </c>
      <c r="I64" s="129">
        <f t="shared" si="59"/>
        <v>2.6964140488019995E-5</v>
      </c>
      <c r="J64" s="129">
        <f t="shared" si="59"/>
        <v>5.4143150005321193E-5</v>
      </c>
      <c r="K64" s="129">
        <f t="shared" si="59"/>
        <v>5.4364465105480825E-5</v>
      </c>
      <c r="L64" s="129">
        <f t="shared" si="59"/>
        <v>5.9269017658645255E-5</v>
      </c>
      <c r="M64" s="129">
        <f t="shared" si="59"/>
        <v>5.9503810848404617E-5</v>
      </c>
      <c r="N64" s="129">
        <f t="shared" si="59"/>
        <v>5.9745647833856755E-5</v>
      </c>
      <c r="O64" s="129">
        <f t="shared" si="59"/>
        <v>5.9994739928872454E-5</v>
      </c>
      <c r="P64" s="129">
        <f t="shared" si="59"/>
        <v>6.0251304786738629E-5</v>
      </c>
      <c r="Q64" s="129">
        <f t="shared" si="59"/>
        <v>6.5659824390340799E-5</v>
      </c>
      <c r="R64" s="129">
        <f t="shared" si="59"/>
        <v>6.5932014048051017E-5</v>
      </c>
      <c r="S64" s="129">
        <f t="shared" si="59"/>
        <v>6.6212369395492556E-5</v>
      </c>
      <c r="T64" s="129">
        <f t="shared" si="59"/>
        <v>6.6501135403357328E-5</v>
      </c>
      <c r="U64" s="129">
        <f t="shared" si="59"/>
        <v>6.6798564391458041E-5</v>
      </c>
      <c r="V64" s="129">
        <f t="shared" si="59"/>
        <v>7.2763599829201806E-5</v>
      </c>
      <c r="W64" s="129">
        <f t="shared" si="59"/>
        <v>7.3079142242677851E-5</v>
      </c>
      <c r="X64" s="129">
        <f t="shared" si="59"/>
        <v>7.3404150928558189E-5</v>
      </c>
      <c r="Y64" s="129">
        <f t="shared" si="59"/>
        <v>7.3738909875014936E-5</v>
      </c>
      <c r="Z64" s="129">
        <f t="shared" si="59"/>
        <v>7.408371158986539E-5</v>
      </c>
    </row>
    <row r="66" spans="2:26">
      <c r="B66" s="33" t="s">
        <v>371</v>
      </c>
      <c r="F66" s="34">
        <f>+F55*Assumptions!$O$121*'Phase II Pro Forma'!F59</f>
        <v>0</v>
      </c>
      <c r="G66" s="34">
        <f>+G55*Assumptions!$O$121*'Phase II Pro Forma'!G59</f>
        <v>0</v>
      </c>
      <c r="H66" s="34">
        <f>+H55*Assumptions!$O$121*'Phase II Pro Forma'!H59</f>
        <v>0</v>
      </c>
      <c r="I66" s="34">
        <f>+I55*Assumptions!$O$121*'Phase II Pro Forma'!I59</f>
        <v>3.9790560977999998E-6</v>
      </c>
      <c r="J66" s="34">
        <f>+J55*Assumptions!$O$121*'Phase II Pro Forma'!J59</f>
        <v>8.1968555614680012E-6</v>
      </c>
      <c r="K66" s="34">
        <f>+K55*Assumptions!$O$121*'Phase II Pro Forma'!K59</f>
        <v>8.4427612283120404E-6</v>
      </c>
      <c r="L66" s="34">
        <f>+L55*Assumptions!$O$121*'Phase II Pro Forma'!L59</f>
        <v>8.6960440651614025E-6</v>
      </c>
      <c r="M66" s="34">
        <f>+M55*Assumptions!$O$121*'Phase II Pro Forma'!M59</f>
        <v>8.9569253871162447E-6</v>
      </c>
      <c r="N66" s="34">
        <f>+N55*Assumptions!$O$121*'Phase II Pro Forma'!N59</f>
        <v>9.2256331487297331E-6</v>
      </c>
      <c r="O66" s="34">
        <f>+O55*Assumptions!$O$121*'Phase II Pro Forma'!O59</f>
        <v>9.502402143191624E-6</v>
      </c>
      <c r="P66" s="34">
        <f>+P55*Assumptions!$O$121*'Phase II Pro Forma'!P59</f>
        <v>9.7874742074873726E-6</v>
      </c>
      <c r="Q66" s="34">
        <f>+Q55*Assumptions!$O$121*'Phase II Pro Forma'!Q59</f>
        <v>1.0081098433711994E-5</v>
      </c>
      <c r="R66" s="34">
        <f>+R55*Assumptions!$O$121*'Phase II Pro Forma'!R59</f>
        <v>1.0383531386723354E-5</v>
      </c>
      <c r="S66" s="34">
        <f>+S55*Assumptions!$O$121*'Phase II Pro Forma'!S59</f>
        <v>1.0695037328325056E-5</v>
      </c>
      <c r="T66" s="34">
        <f>+T55*Assumptions!$O$121*'Phase II Pro Forma'!T59</f>
        <v>1.1015888448174808E-5</v>
      </c>
      <c r="U66" s="34">
        <f>+U55*Assumptions!$O$121*'Phase II Pro Forma'!U59</f>
        <v>1.1346365101620053E-5</v>
      </c>
      <c r="V66" s="34">
        <f>+V55*Assumptions!$O$121*'Phase II Pro Forma'!V59</f>
        <v>1.1686756054668656E-5</v>
      </c>
      <c r="W66" s="34">
        <f>+W55*Assumptions!$O$121*'Phase II Pro Forma'!W59</f>
        <v>1.2037358736308715E-5</v>
      </c>
      <c r="X66" s="34">
        <f>+X55*Assumptions!$O$121*'Phase II Pro Forma'!X59</f>
        <v>1.2398479498397977E-5</v>
      </c>
      <c r="Y66" s="34">
        <f>+Y55*Assumptions!$O$121*'Phase II Pro Forma'!Y59</f>
        <v>1.2770433883349918E-5</v>
      </c>
      <c r="Z66" s="34">
        <f>+Z55*Assumptions!$O$121*'Phase II Pro Forma'!Z59</f>
        <v>1.3153546899850416E-5</v>
      </c>
    </row>
    <row r="67" spans="2:26">
      <c r="B67" s="33" t="s">
        <v>308</v>
      </c>
      <c r="F67" s="151">
        <f>+F56*Assumptions!$O$121*'Phase II Pro Forma'!F60</f>
        <v>0</v>
      </c>
      <c r="G67" s="151">
        <f>+G56*Assumptions!$O$121*'Phase II Pro Forma'!G60</f>
        <v>0</v>
      </c>
      <c r="H67" s="151">
        <f>+H56*Assumptions!$O$121*'Phase II Pro Forma'!H60</f>
        <v>0</v>
      </c>
      <c r="I67" s="151">
        <f>+I56*Assumptions!$O$121*'Phase II Pro Forma'!I60</f>
        <v>0</v>
      </c>
      <c r="J67" s="151">
        <f>+J56*Assumptions!$O$121*'Phase II Pro Forma'!J60</f>
        <v>0</v>
      </c>
      <c r="K67" s="151">
        <f>+K56*Assumptions!$O$121*'Phase II Pro Forma'!K60</f>
        <v>0</v>
      </c>
      <c r="L67" s="151">
        <f>+L56*Assumptions!$O$121*'Phase II Pro Forma'!L60</f>
        <v>0</v>
      </c>
      <c r="M67" s="151">
        <f>+M56*Assumptions!$O$121*'Phase II Pro Forma'!M60</f>
        <v>0</v>
      </c>
      <c r="N67" s="151">
        <f>+N56*Assumptions!$O$121*'Phase II Pro Forma'!N60</f>
        <v>0</v>
      </c>
      <c r="O67" s="151">
        <f>+O56*Assumptions!$O$121*'Phase II Pro Forma'!O60</f>
        <v>0</v>
      </c>
      <c r="P67" s="151">
        <f>+P56*Assumptions!$O$121*'Phase II Pro Forma'!P60</f>
        <v>0</v>
      </c>
      <c r="Q67" s="151">
        <f>+Q56*Assumptions!$O$121*'Phase II Pro Forma'!Q60</f>
        <v>0</v>
      </c>
      <c r="R67" s="151">
        <f>+R56*Assumptions!$O$121*'Phase II Pro Forma'!R60</f>
        <v>0</v>
      </c>
      <c r="S67" s="151">
        <f>+S56*Assumptions!$O$121*'Phase II Pro Forma'!S60</f>
        <v>0</v>
      </c>
      <c r="T67" s="151">
        <f>+T56*Assumptions!$O$121*'Phase II Pro Forma'!T60</f>
        <v>0</v>
      </c>
      <c r="U67" s="151">
        <f>+U56*Assumptions!$O$121*'Phase II Pro Forma'!U60</f>
        <v>0</v>
      </c>
      <c r="V67" s="151">
        <f>+V56*Assumptions!$O$121*'Phase II Pro Forma'!V60</f>
        <v>0</v>
      </c>
      <c r="W67" s="151">
        <f>+W56*Assumptions!$O$121*'Phase II Pro Forma'!W60</f>
        <v>0</v>
      </c>
      <c r="X67" s="151">
        <f>+X56*Assumptions!$O$121*'Phase II Pro Forma'!X60</f>
        <v>0</v>
      </c>
      <c r="Y67" s="151">
        <f>+Y56*Assumptions!$O$121*'Phase II Pro Forma'!Y60</f>
        <v>0</v>
      </c>
      <c r="Z67" s="151">
        <f>+Z56*Assumptions!$O$121*'Phase II Pro Forma'!Z60</f>
        <v>0</v>
      </c>
    </row>
    <row r="68" spans="2:26">
      <c r="B68" s="137" t="s">
        <v>234</v>
      </c>
      <c r="C68" s="137"/>
      <c r="D68" s="137"/>
      <c r="E68" s="137"/>
      <c r="F68" s="129">
        <f>+SUM(F66:F67)</f>
        <v>0</v>
      </c>
      <c r="G68" s="129">
        <f t="shared" ref="G68" si="60">+SUM(G66:G67)</f>
        <v>0</v>
      </c>
      <c r="H68" s="129">
        <f t="shared" ref="H68:Z68" si="61">+SUM(H66:H67)</f>
        <v>0</v>
      </c>
      <c r="I68" s="129">
        <f t="shared" si="61"/>
        <v>3.9790560977999998E-6</v>
      </c>
      <c r="J68" s="129">
        <f t="shared" si="61"/>
        <v>8.1968555614680012E-6</v>
      </c>
      <c r="K68" s="129">
        <f t="shared" si="61"/>
        <v>8.4427612283120404E-6</v>
      </c>
      <c r="L68" s="129">
        <f t="shared" si="61"/>
        <v>8.6960440651614025E-6</v>
      </c>
      <c r="M68" s="129">
        <f t="shared" si="61"/>
        <v>8.9569253871162447E-6</v>
      </c>
      <c r="N68" s="129">
        <f t="shared" si="61"/>
        <v>9.2256331487297331E-6</v>
      </c>
      <c r="O68" s="129">
        <f t="shared" si="61"/>
        <v>9.502402143191624E-6</v>
      </c>
      <c r="P68" s="129">
        <f t="shared" si="61"/>
        <v>9.7874742074873726E-6</v>
      </c>
      <c r="Q68" s="129">
        <f t="shared" si="61"/>
        <v>1.0081098433711994E-5</v>
      </c>
      <c r="R68" s="129">
        <f t="shared" si="61"/>
        <v>1.0383531386723354E-5</v>
      </c>
      <c r="S68" s="129">
        <f t="shared" si="61"/>
        <v>1.0695037328325056E-5</v>
      </c>
      <c r="T68" s="129">
        <f t="shared" si="61"/>
        <v>1.1015888448174808E-5</v>
      </c>
      <c r="U68" s="129">
        <f t="shared" si="61"/>
        <v>1.1346365101620053E-5</v>
      </c>
      <c r="V68" s="129">
        <f t="shared" si="61"/>
        <v>1.1686756054668656E-5</v>
      </c>
      <c r="W68" s="129">
        <f t="shared" si="61"/>
        <v>1.2037358736308715E-5</v>
      </c>
      <c r="X68" s="129">
        <f t="shared" si="61"/>
        <v>1.2398479498397977E-5</v>
      </c>
      <c r="Y68" s="129">
        <f t="shared" si="61"/>
        <v>1.2770433883349918E-5</v>
      </c>
      <c r="Z68" s="129">
        <f t="shared" si="61"/>
        <v>1.3153546899850416E-5</v>
      </c>
    </row>
    <row r="69" spans="2:26">
      <c r="B69" s="33"/>
    </row>
    <row r="70" spans="2:26" ht="15.5">
      <c r="B70" s="138" t="s">
        <v>233</v>
      </c>
      <c r="C70" s="138"/>
      <c r="D70" s="138"/>
      <c r="E70" s="138"/>
      <c r="F70" s="139">
        <f>+F64-F68</f>
        <v>0</v>
      </c>
      <c r="G70" s="139">
        <f t="shared" ref="G70:Z70" si="62">+G64-G68</f>
        <v>0</v>
      </c>
      <c r="H70" s="139">
        <f t="shared" si="62"/>
        <v>0</v>
      </c>
      <c r="I70" s="139">
        <f t="shared" si="62"/>
        <v>2.2985084390219996E-5</v>
      </c>
      <c r="J70" s="139">
        <f t="shared" si="62"/>
        <v>4.5946294443853194E-5</v>
      </c>
      <c r="K70" s="139">
        <f t="shared" si="62"/>
        <v>4.5921703877168786E-5</v>
      </c>
      <c r="L70" s="139">
        <f t="shared" si="62"/>
        <v>5.0572973593483851E-5</v>
      </c>
      <c r="M70" s="139">
        <f t="shared" si="62"/>
        <v>5.0546885461288371E-5</v>
      </c>
      <c r="N70" s="139">
        <f t="shared" si="62"/>
        <v>5.052001468512702E-5</v>
      </c>
      <c r="O70" s="139">
        <f t="shared" si="62"/>
        <v>5.0492337785680832E-5</v>
      </c>
      <c r="P70" s="139">
        <f t="shared" si="62"/>
        <v>5.0463830579251258E-5</v>
      </c>
      <c r="Q70" s="139">
        <f t="shared" si="62"/>
        <v>5.5578725956628804E-5</v>
      </c>
      <c r="R70" s="139">
        <f t="shared" si="62"/>
        <v>5.5548482661327664E-5</v>
      </c>
      <c r="S70" s="139">
        <f t="shared" si="62"/>
        <v>5.5517332067167502E-5</v>
      </c>
      <c r="T70" s="139">
        <f t="shared" si="62"/>
        <v>5.5485246955182522E-5</v>
      </c>
      <c r="U70" s="139">
        <f t="shared" si="62"/>
        <v>5.5452199289837986E-5</v>
      </c>
      <c r="V70" s="139">
        <f t="shared" si="62"/>
        <v>6.107684377453315E-5</v>
      </c>
      <c r="W70" s="139">
        <f t="shared" si="62"/>
        <v>6.1041783506369133E-5</v>
      </c>
      <c r="X70" s="139">
        <f t="shared" si="62"/>
        <v>6.1005671430160212E-5</v>
      </c>
      <c r="Y70" s="139">
        <f t="shared" si="62"/>
        <v>6.0968475991665018E-5</v>
      </c>
      <c r="Z70" s="139">
        <f t="shared" si="62"/>
        <v>6.0930164690014977E-5</v>
      </c>
    </row>
    <row r="71" spans="2:26" ht="15.5">
      <c r="B71" s="143" t="s">
        <v>239</v>
      </c>
      <c r="C71" s="141"/>
      <c r="D71" s="141"/>
      <c r="E71" s="141"/>
      <c r="F71" s="144" t="str">
        <f>+IFERROR(F70/F64,"")</f>
        <v/>
      </c>
      <c r="G71" s="144" t="str">
        <f t="shared" ref="G71:Z71" si="63">+IFERROR(G70/G64,"")</f>
        <v/>
      </c>
      <c r="H71" s="144" t="str">
        <f t="shared" si="63"/>
        <v/>
      </c>
      <c r="I71" s="145">
        <f t="shared" si="63"/>
        <v>0.85243156185275515</v>
      </c>
      <c r="J71" s="145">
        <f t="shared" si="63"/>
        <v>0.84860770825741738</v>
      </c>
      <c r="K71" s="145">
        <f t="shared" si="63"/>
        <v>0.84470073950086799</v>
      </c>
      <c r="L71" s="145">
        <f t="shared" si="63"/>
        <v>0.85327841748203903</v>
      </c>
      <c r="M71" s="145">
        <f t="shared" si="63"/>
        <v>0.84947307980096542</v>
      </c>
      <c r="N71" s="145">
        <f t="shared" si="63"/>
        <v>0.84558485039136622</v>
      </c>
      <c r="O71" s="145">
        <f t="shared" si="63"/>
        <v>0.84161274547639808</v>
      </c>
      <c r="P71" s="145">
        <f t="shared" si="63"/>
        <v>0.83755581323706696</v>
      </c>
      <c r="Q71" s="145">
        <f t="shared" si="63"/>
        <v>0.84646473658258792</v>
      </c>
      <c r="R71" s="145">
        <f t="shared" si="63"/>
        <v>0.84251153955109159</v>
      </c>
      <c r="S71" s="145">
        <f t="shared" si="63"/>
        <v>0.83847372589187052</v>
      </c>
      <c r="T71" s="145">
        <f t="shared" si="63"/>
        <v>0.83435037039053828</v>
      </c>
      <c r="U71" s="145">
        <f t="shared" si="63"/>
        <v>0.83014058453221806</v>
      </c>
      <c r="V71" s="145">
        <f t="shared" si="63"/>
        <v>0.83938732989982612</v>
      </c>
      <c r="W71" s="145">
        <f t="shared" si="63"/>
        <v>0.8352832509126118</v>
      </c>
      <c r="X71" s="145">
        <f t="shared" si="63"/>
        <v>0.83109293763965741</v>
      </c>
      <c r="Y71" s="145">
        <f t="shared" si="63"/>
        <v>0.82681553192208301</v>
      </c>
      <c r="Z71" s="145">
        <f t="shared" si="63"/>
        <v>0.82245021722629497</v>
      </c>
    </row>
    <row r="72" spans="2:26" ht="15.5">
      <c r="B72" s="143" t="s">
        <v>179</v>
      </c>
      <c r="C72" s="141"/>
      <c r="D72" s="141"/>
      <c r="E72" s="141"/>
      <c r="F72" s="142">
        <f>+F70/Assumptions!$O$130</f>
        <v>0</v>
      </c>
      <c r="G72" s="142">
        <f>+G70/Assumptions!$O$130</f>
        <v>0</v>
      </c>
      <c r="H72" s="142">
        <f>+H70/Assumptions!$O$130</f>
        <v>0</v>
      </c>
      <c r="I72" s="142">
        <f>+I70/Assumptions!$O$130</f>
        <v>3.8308473983699994E-4</v>
      </c>
      <c r="J72" s="142">
        <f>+J70/Assumptions!$O$130</f>
        <v>7.6577157406421993E-4</v>
      </c>
      <c r="K72" s="142">
        <f>+K70/Assumptions!$O$130</f>
        <v>7.6536173128614643E-4</v>
      </c>
      <c r="L72" s="142">
        <f>+L70/Assumptions!$O$130</f>
        <v>8.4288289322473093E-4</v>
      </c>
      <c r="M72" s="142">
        <f>+M70/Assumptions!$O$130</f>
        <v>8.4244809102147289E-4</v>
      </c>
      <c r="N72" s="142">
        <f>+N70/Assumptions!$O$130</f>
        <v>8.4200024475211699E-4</v>
      </c>
      <c r="O72" s="142">
        <f>+O70/Assumptions!$O$130</f>
        <v>8.4153896309468058E-4</v>
      </c>
      <c r="P72" s="142">
        <f>+P70/Assumptions!$O$130</f>
        <v>8.4106384298752101E-4</v>
      </c>
      <c r="Q72" s="142">
        <f>+Q70/Assumptions!$O$130</f>
        <v>9.2631209927714682E-4</v>
      </c>
      <c r="R72" s="142">
        <f>+R70/Assumptions!$O$130</f>
        <v>9.2580804435546111E-4</v>
      </c>
      <c r="S72" s="142">
        <f>+S70/Assumptions!$O$130</f>
        <v>9.252888677861251E-4</v>
      </c>
      <c r="T72" s="142">
        <f>+T70/Assumptions!$O$130</f>
        <v>9.2475411591970869E-4</v>
      </c>
      <c r="U72" s="142">
        <f>+U70/Assumptions!$O$130</f>
        <v>9.2420332149729977E-4</v>
      </c>
      <c r="V72" s="142">
        <f>+V70/Assumptions!$O$130</f>
        <v>1.0179473962422191E-3</v>
      </c>
      <c r="W72" s="142">
        <f>+W70/Assumptions!$O$130</f>
        <v>1.0173630584394855E-3</v>
      </c>
      <c r="X72" s="142">
        <f>+X70/Assumptions!$O$130</f>
        <v>1.0167611905026702E-3</v>
      </c>
      <c r="Y72" s="142">
        <f>+Y70/Assumptions!$O$130</f>
        <v>1.0161412665277503E-3</v>
      </c>
      <c r="Z72" s="142">
        <f>+Z70/Assumptions!$O$130</f>
        <v>1.015502744833583E-3</v>
      </c>
    </row>
    <row r="74" spans="2:26" ht="15.5">
      <c r="B74" s="148" t="s">
        <v>827</v>
      </c>
      <c r="C74" s="149"/>
      <c r="D74" s="149"/>
      <c r="E74" s="149"/>
      <c r="F74" s="150">
        <f>+Assumptions!$G$22</f>
        <v>45291</v>
      </c>
      <c r="G74" s="150">
        <f>+EOMONTH(F74,12)</f>
        <v>45657</v>
      </c>
      <c r="H74" s="150">
        <f t="shared" ref="H74:Z74" si="64">+EOMONTH(G74,12)</f>
        <v>46022</v>
      </c>
      <c r="I74" s="150">
        <f t="shared" si="64"/>
        <v>46387</v>
      </c>
      <c r="J74" s="150">
        <f t="shared" si="64"/>
        <v>46752</v>
      </c>
      <c r="K74" s="150">
        <f t="shared" si="64"/>
        <v>47118</v>
      </c>
      <c r="L74" s="150">
        <f t="shared" si="64"/>
        <v>47483</v>
      </c>
      <c r="M74" s="150">
        <f t="shared" si="64"/>
        <v>47848</v>
      </c>
      <c r="N74" s="150">
        <f t="shared" si="64"/>
        <v>48213</v>
      </c>
      <c r="O74" s="150">
        <f t="shared" si="64"/>
        <v>48579</v>
      </c>
      <c r="P74" s="150">
        <f t="shared" si="64"/>
        <v>48944</v>
      </c>
      <c r="Q74" s="150">
        <f t="shared" si="64"/>
        <v>49309</v>
      </c>
      <c r="R74" s="150">
        <f t="shared" si="64"/>
        <v>49674</v>
      </c>
      <c r="S74" s="150">
        <f t="shared" si="64"/>
        <v>50040</v>
      </c>
      <c r="T74" s="150">
        <f t="shared" si="64"/>
        <v>50405</v>
      </c>
      <c r="U74" s="150">
        <f t="shared" si="64"/>
        <v>50770</v>
      </c>
      <c r="V74" s="150">
        <f t="shared" si="64"/>
        <v>51135</v>
      </c>
      <c r="W74" s="150">
        <f t="shared" si="64"/>
        <v>51501</v>
      </c>
      <c r="X74" s="150">
        <f t="shared" si="64"/>
        <v>51866</v>
      </c>
      <c r="Y74" s="150">
        <f t="shared" si="64"/>
        <v>52231</v>
      </c>
      <c r="Z74" s="150">
        <f t="shared" si="64"/>
        <v>52596</v>
      </c>
    </row>
    <row r="75" spans="2:26">
      <c r="B75" s="33" t="s">
        <v>690</v>
      </c>
      <c r="C75" s="33"/>
      <c r="D75" s="40"/>
      <c r="E75" s="40"/>
      <c r="F75" s="42">
        <f>+IF(AND(F74&gt;=Assumptions!$G$26,F74&lt;Assumptions!$G$28),Assumptions!$G$154/ROUNDUP((Assumptions!$G$27/12),0),0)</f>
        <v>0</v>
      </c>
      <c r="G75" s="42">
        <f>+IF(AND(G74&gt;=Assumptions!$G$26,G74&lt;Assumptions!$G$28),Assumptions!$G$154/ROUNDUP((Assumptions!$G$27/12),0),0)</f>
        <v>0</v>
      </c>
      <c r="H75" s="42">
        <f>+IF(AND(H74&gt;=Assumptions!$G$26,H74&lt;Assumptions!$G$28),Assumptions!$G$154/ROUNDUP((Assumptions!$G$27/12),0),0)</f>
        <v>0</v>
      </c>
      <c r="I75" s="42">
        <f>+IF(AND(I74&gt;=Assumptions!$G$26,I74&lt;Assumptions!$G$28),Assumptions!$G$154/ROUNDUP((Assumptions!$G$27/12),0),0)</f>
        <v>159727.5</v>
      </c>
      <c r="J75" s="42">
        <f>+IF(AND(J74&gt;=Assumptions!$G$26,J74&lt;Assumptions!$G$28),Assumptions!$G$154/ROUNDUP((Assumptions!$G$27/12),0),0)</f>
        <v>159727.5</v>
      </c>
      <c r="K75" s="42">
        <f>+IF(AND(K74&gt;=Assumptions!$G$26,K74&lt;Assumptions!$G$28),Assumptions!$G$154/ROUNDUP((Assumptions!$G$27/12),0),0)</f>
        <v>0</v>
      </c>
      <c r="L75" s="42">
        <f>+IF(AND(L74&gt;=Assumptions!$G$26,L74&lt;Assumptions!$G$28),Assumptions!$G$154/ROUNDUP((Assumptions!$G$27/12),0),0)</f>
        <v>0</v>
      </c>
      <c r="M75" s="42">
        <f>+IF(AND(M74&gt;=Assumptions!$G$26,M74&lt;Assumptions!$G$28),Assumptions!$G$154/ROUNDUP((Assumptions!$G$27/12),0),0)</f>
        <v>0</v>
      </c>
      <c r="N75" s="42">
        <f>+IF(AND(N74&gt;=Assumptions!$G$26,N74&lt;Assumptions!$G$28),Assumptions!$G$154/ROUNDUP((Assumptions!$G$27/12),0),0)</f>
        <v>0</v>
      </c>
      <c r="O75" s="42">
        <f>+IF(AND(O74&gt;=Assumptions!$G$26,O74&lt;Assumptions!$G$28),Assumptions!$G$154/ROUNDUP((Assumptions!$G$27/12),0),0)</f>
        <v>0</v>
      </c>
      <c r="P75" s="42">
        <f>+IF(AND(P74&gt;=Assumptions!$G$26,P74&lt;Assumptions!$G$28),Assumptions!$G$154/ROUNDUP((Assumptions!$G$27/12),0),0)</f>
        <v>0</v>
      </c>
      <c r="Q75" s="42">
        <f>+IF(AND(Q74&gt;=Assumptions!$G$26,Q74&lt;Assumptions!$G$28),Assumptions!$G$154/ROUNDUP((Assumptions!$G$27/12),0),0)</f>
        <v>0</v>
      </c>
      <c r="R75" s="42">
        <f>+IF(AND(R74&gt;=Assumptions!$G$26,R74&lt;Assumptions!$G$28),Assumptions!$G$154/ROUNDUP((Assumptions!$G$27/12),0),0)</f>
        <v>0</v>
      </c>
      <c r="S75" s="42">
        <f>+IF(AND(S74&gt;=Assumptions!$G$26,S74&lt;Assumptions!$G$28),Assumptions!$G$154/ROUNDUP((Assumptions!$G$27/12),0),0)</f>
        <v>0</v>
      </c>
      <c r="T75" s="42">
        <f>+IF(AND(T74&gt;=Assumptions!$G$26,T74&lt;Assumptions!$G$28),Assumptions!$G$154/ROUNDUP((Assumptions!$G$27/12),0),0)</f>
        <v>0</v>
      </c>
      <c r="U75" s="42">
        <f>+IF(AND(U74&gt;=Assumptions!$G$26,U74&lt;Assumptions!$G$28),Assumptions!$G$154/ROUNDUP((Assumptions!$G$27/12),0),0)</f>
        <v>0</v>
      </c>
      <c r="V75" s="42">
        <f>+IF(AND(V74&gt;=Assumptions!$G$26,V74&lt;Assumptions!$G$28),Assumptions!$G$154/ROUNDUP((Assumptions!$G$27/12),0),0)</f>
        <v>0</v>
      </c>
      <c r="W75" s="42">
        <f>+IF(AND(W74&gt;=Assumptions!$G$26,W74&lt;Assumptions!$G$28),Assumptions!$G$154/ROUNDUP((Assumptions!$G$27/12),0),0)</f>
        <v>0</v>
      </c>
      <c r="X75" s="42">
        <f>+IF(AND(X74&gt;=Assumptions!$G$26,X74&lt;Assumptions!$G$28),Assumptions!$G$154/ROUNDUP((Assumptions!$G$27/12),0),0)</f>
        <v>0</v>
      </c>
      <c r="Y75" s="42">
        <f>+IF(AND(Y74&gt;=Assumptions!$G$26,Y74&lt;Assumptions!$G$28),Assumptions!$G$154/ROUNDUP((Assumptions!$G$27/12),0),0)</f>
        <v>0</v>
      </c>
      <c r="Z75" s="42">
        <f>+IF(AND(Z74&gt;=Assumptions!$G$26,Z74&lt;Assumptions!$G$28),Assumptions!$G$154/ROUNDUP((Assumptions!$G$27/12),0),0)</f>
        <v>0</v>
      </c>
    </row>
    <row r="76" spans="2:26">
      <c r="B76" s="33" t="s">
        <v>231</v>
      </c>
      <c r="C76" s="33"/>
      <c r="D76" s="42">
        <v>0</v>
      </c>
      <c r="E76" s="42"/>
      <c r="F76" s="42">
        <f>+D76+F75</f>
        <v>0</v>
      </c>
      <c r="G76" s="42">
        <f t="shared" ref="G76:Z76" si="65">+F76+G75</f>
        <v>0</v>
      </c>
      <c r="H76" s="42">
        <f t="shared" si="65"/>
        <v>0</v>
      </c>
      <c r="I76" s="42">
        <f t="shared" si="65"/>
        <v>159727.5</v>
      </c>
      <c r="J76" s="42">
        <f t="shared" si="65"/>
        <v>319455</v>
      </c>
      <c r="K76" s="42">
        <f t="shared" si="65"/>
        <v>319455</v>
      </c>
      <c r="L76" s="42">
        <f t="shared" si="65"/>
        <v>319455</v>
      </c>
      <c r="M76" s="42">
        <f t="shared" si="65"/>
        <v>319455</v>
      </c>
      <c r="N76" s="42">
        <f t="shared" si="65"/>
        <v>319455</v>
      </c>
      <c r="O76" s="42">
        <f t="shared" si="65"/>
        <v>319455</v>
      </c>
      <c r="P76" s="42">
        <f t="shared" si="65"/>
        <v>319455</v>
      </c>
      <c r="Q76" s="42">
        <f t="shared" si="65"/>
        <v>319455</v>
      </c>
      <c r="R76" s="42">
        <f t="shared" si="65"/>
        <v>319455</v>
      </c>
      <c r="S76" s="42">
        <f t="shared" si="65"/>
        <v>319455</v>
      </c>
      <c r="T76" s="42">
        <f t="shared" si="65"/>
        <v>319455</v>
      </c>
      <c r="U76" s="42">
        <f t="shared" si="65"/>
        <v>319455</v>
      </c>
      <c r="V76" s="42">
        <f t="shared" si="65"/>
        <v>319455</v>
      </c>
      <c r="W76" s="42">
        <f t="shared" si="65"/>
        <v>319455</v>
      </c>
      <c r="X76" s="42">
        <f t="shared" si="65"/>
        <v>319455</v>
      </c>
      <c r="Y76" s="42">
        <f t="shared" si="65"/>
        <v>319455</v>
      </c>
      <c r="Z76" s="42">
        <f t="shared" si="65"/>
        <v>319455</v>
      </c>
    </row>
    <row r="77" spans="2:26">
      <c r="B77" s="33" t="s">
        <v>285</v>
      </c>
      <c r="C77" s="33"/>
      <c r="D77" s="42"/>
      <c r="E77" s="42"/>
      <c r="F77" s="108">
        <f t="shared" ref="F77:Z77" si="66">+F76/SUM($F75:$Z75)</f>
        <v>0</v>
      </c>
      <c r="G77" s="108">
        <f t="shared" si="66"/>
        <v>0</v>
      </c>
      <c r="H77" s="108">
        <f t="shared" si="66"/>
        <v>0</v>
      </c>
      <c r="I77" s="108">
        <f t="shared" si="66"/>
        <v>0.5</v>
      </c>
      <c r="J77" s="108">
        <f t="shared" si="66"/>
        <v>1</v>
      </c>
      <c r="K77" s="108">
        <f t="shared" si="66"/>
        <v>1</v>
      </c>
      <c r="L77" s="108">
        <f t="shared" si="66"/>
        <v>1</v>
      </c>
      <c r="M77" s="108">
        <f t="shared" si="66"/>
        <v>1</v>
      </c>
      <c r="N77" s="108">
        <f t="shared" si="66"/>
        <v>1</v>
      </c>
      <c r="O77" s="108">
        <f t="shared" si="66"/>
        <v>1</v>
      </c>
      <c r="P77" s="108">
        <f t="shared" si="66"/>
        <v>1</v>
      </c>
      <c r="Q77" s="108">
        <f t="shared" si="66"/>
        <v>1</v>
      </c>
      <c r="R77" s="108">
        <f t="shared" si="66"/>
        <v>1</v>
      </c>
      <c r="S77" s="108">
        <f t="shared" si="66"/>
        <v>1</v>
      </c>
      <c r="T77" s="108">
        <f t="shared" si="66"/>
        <v>1</v>
      </c>
      <c r="U77" s="108">
        <f t="shared" si="66"/>
        <v>1</v>
      </c>
      <c r="V77" s="108">
        <f t="shared" si="66"/>
        <v>1</v>
      </c>
      <c r="W77" s="108">
        <f t="shared" si="66"/>
        <v>1</v>
      </c>
      <c r="X77" s="108">
        <f t="shared" si="66"/>
        <v>1</v>
      </c>
      <c r="Y77" s="108">
        <f t="shared" si="66"/>
        <v>1</v>
      </c>
      <c r="Z77" s="108">
        <f t="shared" si="66"/>
        <v>1</v>
      </c>
    </row>
    <row r="78" spans="2:26">
      <c r="B78" s="33"/>
      <c r="C78" s="33"/>
      <c r="D78" s="40"/>
      <c r="E78" s="40"/>
      <c r="F78" s="34"/>
      <c r="G78" s="34"/>
      <c r="H78" s="34"/>
      <c r="I78" s="34"/>
      <c r="J78" s="34"/>
      <c r="K78" s="34"/>
      <c r="L78" s="34"/>
      <c r="M78" s="34"/>
      <c r="N78" s="34"/>
      <c r="O78" s="34"/>
      <c r="P78" s="34"/>
      <c r="Q78" s="34"/>
      <c r="R78" s="34"/>
      <c r="S78" s="34"/>
      <c r="T78" s="34"/>
      <c r="U78" s="34"/>
      <c r="V78" s="34"/>
      <c r="W78" s="34"/>
      <c r="X78" s="34"/>
      <c r="Y78" s="34"/>
      <c r="Z78" s="34"/>
    </row>
    <row r="79" spans="2:26">
      <c r="B79" s="33" t="s">
        <v>236</v>
      </c>
      <c r="C79" s="33"/>
      <c r="D79" s="42"/>
      <c r="E79" s="42"/>
      <c r="F79" s="108">
        <v>1</v>
      </c>
      <c r="G79" s="108">
        <f>+IF(MOD(G$2,Assumptions!$O$69)=(Assumptions!$O$69-1),F79*(1+Assumptions!$O$68),'Phase II Pro Forma'!F79)</f>
        <v>1</v>
      </c>
      <c r="H79" s="108">
        <f>+IF(MOD(H$2,Assumptions!$O$69)=(Assumptions!$O$69-1),G79*(1+Assumptions!$O$68),'Phase II Pro Forma'!G79)</f>
        <v>1</v>
      </c>
      <c r="I79" s="108">
        <f>+IF(MOD(I$2,Assumptions!$O$69)=(Assumptions!$O$69-1),H79*(1+Assumptions!$O$68),'Phase II Pro Forma'!H79)</f>
        <v>1</v>
      </c>
      <c r="J79" s="108">
        <f>+IF(MOD(J$2,Assumptions!$O$69)=(Assumptions!$O$69-1),I79*(1+Assumptions!$O$68),'Phase II Pro Forma'!I79)</f>
        <v>1</v>
      </c>
      <c r="K79" s="108">
        <f>+IF(MOD(K$2,Assumptions!$O$69)=(Assumptions!$O$69-1),J79*(1+Assumptions!$O$68),'Phase II Pro Forma'!J79)</f>
        <v>1</v>
      </c>
      <c r="L79" s="108">
        <f>+IF(MOD(L$2,Assumptions!$O$69)=(Assumptions!$O$69-1),K79*(1+Assumptions!$O$68),'Phase II Pro Forma'!K79)</f>
        <v>1.05</v>
      </c>
      <c r="M79" s="108">
        <f>+IF(MOD(M$2,Assumptions!$O$69)=(Assumptions!$O$69-1),L79*(1+Assumptions!$O$68),'Phase II Pro Forma'!L79)</f>
        <v>1.05</v>
      </c>
      <c r="N79" s="108">
        <f>+IF(MOD(N$2,Assumptions!$O$69)=(Assumptions!$O$69-1),M79*(1+Assumptions!$O$68),'Phase II Pro Forma'!M79)</f>
        <v>1.05</v>
      </c>
      <c r="O79" s="108">
        <f>+IF(MOD(O$2,Assumptions!$O$69)=(Assumptions!$O$69-1),N79*(1+Assumptions!$O$68),'Phase II Pro Forma'!N79)</f>
        <v>1.05</v>
      </c>
      <c r="P79" s="108">
        <f>+IF(MOD(P$2,Assumptions!$O$69)=(Assumptions!$O$69-1),O79*(1+Assumptions!$O$68),'Phase II Pro Forma'!O79)</f>
        <v>1.05</v>
      </c>
      <c r="Q79" s="108">
        <f>+IF(MOD(Q$2,Assumptions!$O$69)=(Assumptions!$O$69-1),P79*(1+Assumptions!$O$68),'Phase II Pro Forma'!P79)</f>
        <v>1.1025</v>
      </c>
      <c r="R79" s="108">
        <f>+IF(MOD(R$2,Assumptions!$O$69)=(Assumptions!$O$69-1),Q79*(1+Assumptions!$O$68),'Phase II Pro Forma'!Q79)</f>
        <v>1.1025</v>
      </c>
      <c r="S79" s="108">
        <f>+IF(MOD(S$2,Assumptions!$O$69)=(Assumptions!$O$69-1),R79*(1+Assumptions!$O$68),'Phase II Pro Forma'!R79)</f>
        <v>1.1025</v>
      </c>
      <c r="T79" s="108">
        <f>+IF(MOD(T$2,Assumptions!$O$69)=(Assumptions!$O$69-1),S79*(1+Assumptions!$O$68),'Phase II Pro Forma'!S79)</f>
        <v>1.1025</v>
      </c>
      <c r="U79" s="108">
        <f>+IF(MOD(U$2,Assumptions!$O$69)=(Assumptions!$O$69-1),T79*(1+Assumptions!$O$68),'Phase II Pro Forma'!T79)</f>
        <v>1.1025</v>
      </c>
      <c r="V79" s="108">
        <f>+IF(MOD(V$2,Assumptions!$O$69)=(Assumptions!$O$69-1),U79*(1+Assumptions!$O$68),'Phase II Pro Forma'!U79)</f>
        <v>1.1576250000000001</v>
      </c>
      <c r="W79" s="108">
        <f>+IF(MOD(W$2,Assumptions!$O$69)=(Assumptions!$O$69-1),V79*(1+Assumptions!$O$68),'Phase II Pro Forma'!V79)</f>
        <v>1.1576250000000001</v>
      </c>
      <c r="X79" s="108">
        <f>+IF(MOD(X$2,Assumptions!$O$69)=(Assumptions!$O$69-1),W79*(1+Assumptions!$O$68),'Phase II Pro Forma'!W79)</f>
        <v>1.1576250000000001</v>
      </c>
      <c r="Y79" s="108">
        <f>+IF(MOD(Y$2,Assumptions!$O$69)=(Assumptions!$O$69-1),X79*(1+Assumptions!$O$68),'Phase II Pro Forma'!X79)</f>
        <v>1.1576250000000001</v>
      </c>
      <c r="Z79" s="108">
        <f>+IF(MOD(Z$2,Assumptions!$O$69)=(Assumptions!$O$69-1),Y79*(1+Assumptions!$O$68),'Phase II Pro Forma'!Y79)</f>
        <v>1.1576250000000001</v>
      </c>
    </row>
    <row r="80" spans="2:26">
      <c r="B80" s="33" t="s">
        <v>237</v>
      </c>
      <c r="C80" s="33"/>
      <c r="D80" s="42"/>
      <c r="E80" s="42"/>
      <c r="F80" s="108">
        <v>1</v>
      </c>
      <c r="G80" s="108">
        <f>+F80*(1+Assumptions!$O$79)</f>
        <v>1.03</v>
      </c>
      <c r="H80" s="108">
        <f>+G80*(1+Assumptions!$O$79)</f>
        <v>1.0609</v>
      </c>
      <c r="I80" s="108">
        <f>+H80*(1+Assumptions!$O$79)</f>
        <v>1.092727</v>
      </c>
      <c r="J80" s="108">
        <f>+I80*(1+Assumptions!$O$79)</f>
        <v>1.1255088100000001</v>
      </c>
      <c r="K80" s="108">
        <f>+J80*(1+Assumptions!$O$79)</f>
        <v>1.1592740743000001</v>
      </c>
      <c r="L80" s="108">
        <f>+K80*(1+Assumptions!$O$79)</f>
        <v>1.1940522965290001</v>
      </c>
      <c r="M80" s="108">
        <f>+L80*(1+Assumptions!$O$79)</f>
        <v>1.2298738654248702</v>
      </c>
      <c r="N80" s="108">
        <f>+M80*(1+Assumptions!$O$79)</f>
        <v>1.2667700813876164</v>
      </c>
      <c r="O80" s="108">
        <f>+N80*(1+Assumptions!$O$79)</f>
        <v>1.3047731838292449</v>
      </c>
      <c r="P80" s="108">
        <f>+O80*(1+Assumptions!$O$79)</f>
        <v>1.3439163793441222</v>
      </c>
      <c r="Q80" s="108">
        <f>+P80*(1+Assumptions!$O$79)</f>
        <v>1.3842338707244459</v>
      </c>
      <c r="R80" s="108">
        <f>+Q80*(1+Assumptions!$O$79)</f>
        <v>1.4257608868461793</v>
      </c>
      <c r="S80" s="108">
        <f>+R80*(1+Assumptions!$O$79)</f>
        <v>1.4685337134515648</v>
      </c>
      <c r="T80" s="108">
        <f>+S80*(1+Assumptions!$O$79)</f>
        <v>1.5125897248551119</v>
      </c>
      <c r="U80" s="108">
        <f>+T80*(1+Assumptions!$O$79)</f>
        <v>1.5579674166007653</v>
      </c>
      <c r="V80" s="108">
        <f>+U80*(1+Assumptions!$O$79)</f>
        <v>1.6047064390987884</v>
      </c>
      <c r="W80" s="108">
        <f>+V80*(1+Assumptions!$O$79)</f>
        <v>1.652847632271752</v>
      </c>
      <c r="X80" s="108">
        <f>+W80*(1+Assumptions!$O$79)</f>
        <v>1.7024330612399046</v>
      </c>
      <c r="Y80" s="108">
        <f>+X80*(1+Assumptions!$O$79)</f>
        <v>1.7535060530771018</v>
      </c>
      <c r="Z80" s="108">
        <f>+Y80*(1+Assumptions!$O$79)</f>
        <v>1.806111234669415</v>
      </c>
    </row>
    <row r="81" spans="2:26">
      <c r="B81" s="33"/>
      <c r="C81" s="33"/>
      <c r="D81" s="40"/>
      <c r="E81" s="40"/>
      <c r="F81" s="34"/>
      <c r="G81" s="34"/>
      <c r="H81" s="34"/>
      <c r="I81" s="34"/>
      <c r="J81" s="34"/>
      <c r="K81" s="34"/>
      <c r="L81" s="34"/>
      <c r="M81" s="34"/>
      <c r="N81" s="34"/>
      <c r="O81" s="34"/>
      <c r="P81" s="34"/>
      <c r="Q81" s="34"/>
      <c r="R81" s="34"/>
      <c r="S81" s="34"/>
      <c r="T81" s="34"/>
      <c r="U81" s="34"/>
      <c r="V81" s="34"/>
      <c r="W81" s="34"/>
      <c r="X81" s="34"/>
      <c r="Y81" s="34"/>
      <c r="Z81" s="34"/>
    </row>
    <row r="82" spans="2:26">
      <c r="B82" s="33" t="s">
        <v>228</v>
      </c>
      <c r="C82" s="33"/>
      <c r="D82" s="40"/>
      <c r="E82" s="40"/>
      <c r="F82" s="34">
        <f>+F77*Assumptions!$G$153*F79</f>
        <v>0</v>
      </c>
      <c r="G82" s="34">
        <f>+G77*Assumptions!$G$153*G79</f>
        <v>0</v>
      </c>
      <c r="H82" s="34">
        <f>+H77*Assumptions!$G$153*H79</f>
        <v>0</v>
      </c>
      <c r="I82" s="34">
        <f>+I77*Assumptions!$G$153*I79</f>
        <v>4967587.5</v>
      </c>
      <c r="J82" s="34">
        <f>+J77*Assumptions!$G$153*J79</f>
        <v>9935175</v>
      </c>
      <c r="K82" s="34">
        <f>+K77*Assumptions!$G$153*K79</f>
        <v>9935175</v>
      </c>
      <c r="L82" s="34">
        <f>+L77*Assumptions!$G$153*L79</f>
        <v>10431933.75</v>
      </c>
      <c r="M82" s="34">
        <f>+M77*Assumptions!$G$153*M79</f>
        <v>10431933.75</v>
      </c>
      <c r="N82" s="34">
        <f>+N77*Assumptions!$G$153*N79</f>
        <v>10431933.75</v>
      </c>
      <c r="O82" s="34">
        <f>+O77*Assumptions!$G$153*O79</f>
        <v>10431933.75</v>
      </c>
      <c r="P82" s="34">
        <f>+P77*Assumptions!$G$153*P79</f>
        <v>10431933.75</v>
      </c>
      <c r="Q82" s="34">
        <f>+Q77*Assumptions!$G$153*Q79</f>
        <v>10953530.4375</v>
      </c>
      <c r="R82" s="34">
        <f>+R77*Assumptions!$G$153*R79</f>
        <v>10953530.4375</v>
      </c>
      <c r="S82" s="34">
        <f>+S77*Assumptions!$G$153*S79</f>
        <v>10953530.4375</v>
      </c>
      <c r="T82" s="34">
        <f>+T77*Assumptions!$G$153*T79</f>
        <v>10953530.4375</v>
      </c>
      <c r="U82" s="34">
        <f>+U77*Assumptions!$G$153*U79</f>
        <v>10953530.4375</v>
      </c>
      <c r="V82" s="34">
        <f>+V77*Assumptions!$G$153*V79</f>
        <v>11501206.959375001</v>
      </c>
      <c r="W82" s="34">
        <f>+W77*Assumptions!$G$153*W79</f>
        <v>11501206.959375001</v>
      </c>
      <c r="X82" s="34">
        <f>+X77*Assumptions!$G$153*X79</f>
        <v>11501206.959375001</v>
      </c>
      <c r="Y82" s="34">
        <f>+Y77*Assumptions!$G$153*Y79</f>
        <v>11501206.959375001</v>
      </c>
      <c r="Z82" s="34">
        <f>+Z77*Assumptions!$G$153*Z79</f>
        <v>11501206.959375001</v>
      </c>
    </row>
    <row r="83" spans="2:26">
      <c r="B83" s="33" t="s">
        <v>229</v>
      </c>
      <c r="C83" s="33"/>
      <c r="D83" s="40"/>
      <c r="E83" s="40"/>
      <c r="F83" s="42">
        <f>-F82*Assumptions!$O$57</f>
        <v>0</v>
      </c>
      <c r="G83" s="42">
        <f>-G82*Assumptions!$O$57</f>
        <v>0</v>
      </c>
      <c r="H83" s="42">
        <f>-H82*Assumptions!$O$57</f>
        <v>0</v>
      </c>
      <c r="I83" s="42">
        <f>-I82*Assumptions!$O$57</f>
        <v>0</v>
      </c>
      <c r="J83" s="42">
        <f>-J82*Assumptions!$O$57</f>
        <v>0</v>
      </c>
      <c r="K83" s="42">
        <f>-K82*Assumptions!$O$57</f>
        <v>0</v>
      </c>
      <c r="L83" s="42">
        <f>-L82*Assumptions!$O$57</f>
        <v>0</v>
      </c>
      <c r="M83" s="42">
        <f>-M82*Assumptions!$O$57</f>
        <v>0</v>
      </c>
      <c r="N83" s="42">
        <f>-N82*Assumptions!$O$57</f>
        <v>0</v>
      </c>
      <c r="O83" s="42">
        <f>-O82*Assumptions!$O$57</f>
        <v>0</v>
      </c>
      <c r="P83" s="42">
        <f>-P82*Assumptions!$O$57</f>
        <v>0</v>
      </c>
      <c r="Q83" s="42">
        <f>-Q82*Assumptions!$O$57</f>
        <v>0</v>
      </c>
      <c r="R83" s="42">
        <f>-R82*Assumptions!$O$57</f>
        <v>0</v>
      </c>
      <c r="S83" s="42">
        <f>-S82*Assumptions!$O$57</f>
        <v>0</v>
      </c>
      <c r="T83" s="42">
        <f>-T82*Assumptions!$O$57</f>
        <v>0</v>
      </c>
      <c r="U83" s="42">
        <f>-U82*Assumptions!$O$57</f>
        <v>0</v>
      </c>
      <c r="V83" s="42">
        <f>-V82*Assumptions!$O$57</f>
        <v>0</v>
      </c>
      <c r="W83" s="42">
        <f>-W82*Assumptions!$O$57</f>
        <v>0</v>
      </c>
      <c r="X83" s="42">
        <f>-X82*Assumptions!$O$57</f>
        <v>0</v>
      </c>
      <c r="Y83" s="42">
        <f>-Y82*Assumptions!$O$57</f>
        <v>0</v>
      </c>
      <c r="Z83" s="42">
        <f>-Z82*Assumptions!$O$57</f>
        <v>0</v>
      </c>
    </row>
    <row r="84" spans="2:26">
      <c r="B84" s="33" t="s">
        <v>244</v>
      </c>
      <c r="C84" s="33"/>
      <c r="D84" s="40"/>
      <c r="E84" s="40"/>
      <c r="F84" s="151">
        <f ca="1">+F89*Assumptions!$O$90</f>
        <v>0</v>
      </c>
      <c r="G84" s="151">
        <f ca="1">+G89*Assumptions!$O$90</f>
        <v>0</v>
      </c>
      <c r="H84" s="151">
        <f ca="1">+H89*Assumptions!$O$90</f>
        <v>0</v>
      </c>
      <c r="I84" s="151">
        <f ca="1">+I89*Assumptions!$O$90</f>
        <v>2268635.769565288</v>
      </c>
      <c r="J84" s="151">
        <f ca="1">+J89*Assumptions!$O$90</f>
        <v>4613539.3010739386</v>
      </c>
      <c r="K84" s="151">
        <f ca="1">+K89*Assumptions!$O$90</f>
        <v>4692095.0958756013</v>
      </c>
      <c r="L84" s="151">
        <f ca="1">+L89*Assumptions!$O$90</f>
        <v>4773007.5645213136</v>
      </c>
      <c r="M84" s="151">
        <f ca="1">+M89*Assumptions!$O$90</f>
        <v>4856347.4072263986</v>
      </c>
      <c r="N84" s="151">
        <f ca="1">+N89*Assumptions!$O$90</f>
        <v>4942187.4452126352</v>
      </c>
      <c r="O84" s="151">
        <f ca="1">+O89*Assumptions!$O$90</f>
        <v>5030602.6843384588</v>
      </c>
      <c r="P84" s="151">
        <f ca="1">+P89*Assumptions!$O$90</f>
        <v>5121670.3806380574</v>
      </c>
      <c r="Q84" s="151">
        <f ca="1">+Q89*Assumptions!$O$90</f>
        <v>5215470.1078266436</v>
      </c>
      <c r="R84" s="151">
        <f ca="1">+R89*Assumptions!$O$90</f>
        <v>5312083.8268308872</v>
      </c>
      <c r="S84" s="151">
        <f ca="1">+S89*Assumptions!$O$90</f>
        <v>5411595.9574052589</v>
      </c>
      <c r="T84" s="151">
        <f ca="1">+T89*Assumptions!$O$90</f>
        <v>5514093.4518968621</v>
      </c>
      <c r="U84" s="151">
        <f ca="1">+U89*Assumptions!$O$90</f>
        <v>5619665.8712232122</v>
      </c>
      <c r="V84" s="151">
        <f ca="1">+V89*Assumptions!$O$90</f>
        <v>5728405.4631293537</v>
      </c>
      <c r="W84" s="151">
        <f ca="1">+W89*Assumptions!$O$90</f>
        <v>5840407.242792679</v>
      </c>
      <c r="X84" s="151">
        <f ca="1">+X89*Assumptions!$O$90</f>
        <v>5955769.0758459037</v>
      </c>
      <c r="Y84" s="151">
        <f ca="1">+Y89*Assumptions!$O$90</f>
        <v>6074591.7638907256</v>
      </c>
      <c r="Z84" s="151">
        <f ca="1">+Z89*Assumptions!$O$90</f>
        <v>6196979.1325768931</v>
      </c>
    </row>
    <row r="85" spans="2:26">
      <c r="B85" s="137" t="s">
        <v>238</v>
      </c>
      <c r="C85" s="137"/>
      <c r="D85" s="137"/>
      <c r="E85" s="137"/>
      <c r="F85" s="129">
        <f t="shared" ref="F85:Z85" ca="1" si="67">+SUM(F82:F84)</f>
        <v>0</v>
      </c>
      <c r="G85" s="129">
        <f t="shared" ca="1" si="67"/>
        <v>0</v>
      </c>
      <c r="H85" s="129">
        <f t="shared" ca="1" si="67"/>
        <v>0</v>
      </c>
      <c r="I85" s="129">
        <f t="shared" ca="1" si="67"/>
        <v>7236223.269565288</v>
      </c>
      <c r="J85" s="129">
        <f t="shared" ca="1" si="67"/>
        <v>14548714.301073939</v>
      </c>
      <c r="K85" s="129">
        <f t="shared" ca="1" si="67"/>
        <v>14627270.095875602</v>
      </c>
      <c r="L85" s="129">
        <f t="shared" ca="1" si="67"/>
        <v>15204941.314521313</v>
      </c>
      <c r="M85" s="129">
        <f t="shared" ca="1" si="67"/>
        <v>15288281.157226399</v>
      </c>
      <c r="N85" s="129">
        <f t="shared" ca="1" si="67"/>
        <v>15374121.195212636</v>
      </c>
      <c r="O85" s="129">
        <f t="shared" ca="1" si="67"/>
        <v>15462536.434338458</v>
      </c>
      <c r="P85" s="129">
        <f t="shared" ca="1" si="67"/>
        <v>15553604.130638057</v>
      </c>
      <c r="Q85" s="129">
        <f t="shared" ca="1" si="67"/>
        <v>16169000.545326643</v>
      </c>
      <c r="R85" s="129">
        <f t="shared" ca="1" si="67"/>
        <v>16265614.264330886</v>
      </c>
      <c r="S85" s="129">
        <f t="shared" ca="1" si="67"/>
        <v>16365126.394905258</v>
      </c>
      <c r="T85" s="129">
        <f t="shared" ca="1" si="67"/>
        <v>16467623.889396861</v>
      </c>
      <c r="U85" s="129">
        <f t="shared" ca="1" si="67"/>
        <v>16573196.308723211</v>
      </c>
      <c r="V85" s="129">
        <f t="shared" ca="1" si="67"/>
        <v>17229612.422504354</v>
      </c>
      <c r="W85" s="129">
        <f t="shared" ca="1" si="67"/>
        <v>17341614.202167682</v>
      </c>
      <c r="X85" s="129">
        <f t="shared" ca="1" si="67"/>
        <v>17456976.035220906</v>
      </c>
      <c r="Y85" s="129">
        <f t="shared" ca="1" si="67"/>
        <v>17575798.723265726</v>
      </c>
      <c r="Z85" s="129">
        <f t="shared" ca="1" si="67"/>
        <v>17698186.091951896</v>
      </c>
    </row>
    <row r="87" spans="2:26">
      <c r="B87" s="33" t="s">
        <v>371</v>
      </c>
      <c r="F87" s="34">
        <f>+F76*Assumptions!$O$122*'Phase II Pro Forma'!F80</f>
        <v>0</v>
      </c>
      <c r="G87" s="34">
        <f>+G76*Assumptions!$O$122*'Phase II Pro Forma'!G80</f>
        <v>0</v>
      </c>
      <c r="H87" s="34">
        <f>+H76*Assumptions!$O$122*'Phase II Pro Forma'!H80</f>
        <v>0</v>
      </c>
      <c r="I87" s="34">
        <f>+I76*Assumptions!$O$122*'Phase II Pro Forma'!I80</f>
        <v>1271129.3657226989</v>
      </c>
      <c r="J87" s="34">
        <f>+J76*Assumptions!$O$122*'Phase II Pro Forma'!J80</f>
        <v>2618526.4933887599</v>
      </c>
      <c r="K87" s="34">
        <f>+K76*Assumptions!$O$122*'Phase II Pro Forma'!K80</f>
        <v>2697082.2881904226</v>
      </c>
      <c r="L87" s="34">
        <f>+L76*Assumptions!$O$122*'Phase II Pro Forma'!L80</f>
        <v>2777994.7568361354</v>
      </c>
      <c r="M87" s="34">
        <f>+M76*Assumptions!$O$122*'Phase II Pro Forma'!M80</f>
        <v>2861334.5995412199</v>
      </c>
      <c r="N87" s="34">
        <f>+N76*Assumptions!$O$122*'Phase II Pro Forma'!N80</f>
        <v>2947174.6375274565</v>
      </c>
      <c r="O87" s="34">
        <f>+O76*Assumptions!$O$122*'Phase II Pro Forma'!O80</f>
        <v>3035589.8766532801</v>
      </c>
      <c r="P87" s="34">
        <f>+P76*Assumptions!$O$122*'Phase II Pro Forma'!P80</f>
        <v>3126657.5729528787</v>
      </c>
      <c r="Q87" s="34">
        <f>+Q76*Assumptions!$O$122*'Phase II Pro Forma'!Q80</f>
        <v>3220457.3001414649</v>
      </c>
      <c r="R87" s="34">
        <f>+R76*Assumptions!$O$122*'Phase II Pro Forma'!R80</f>
        <v>3317071.019145709</v>
      </c>
      <c r="S87" s="34">
        <f>+S76*Assumptions!$O$122*'Phase II Pro Forma'!S80</f>
        <v>3416583.1497200807</v>
      </c>
      <c r="T87" s="34">
        <f>+T76*Assumptions!$O$122*'Phase II Pro Forma'!T80</f>
        <v>3519080.6442116834</v>
      </c>
      <c r="U87" s="34">
        <f>+U76*Assumptions!$O$122*'Phase II Pro Forma'!U80</f>
        <v>3624653.063538034</v>
      </c>
      <c r="V87" s="34">
        <f>+V76*Assumptions!$O$122*'Phase II Pro Forma'!V80</f>
        <v>3733392.6554441755</v>
      </c>
      <c r="W87" s="34">
        <f>+W76*Assumptions!$O$122*'Phase II Pro Forma'!W80</f>
        <v>3845394.4351075003</v>
      </c>
      <c r="X87" s="34">
        <f>+X76*Assumptions!$O$122*'Phase II Pro Forma'!X80</f>
        <v>3960756.2681607255</v>
      </c>
      <c r="Y87" s="34">
        <f>+Y76*Assumptions!$O$122*'Phase II Pro Forma'!Y80</f>
        <v>4079578.9562055473</v>
      </c>
      <c r="Z87" s="34">
        <f>+Z76*Assumptions!$O$122*'Phase II Pro Forma'!Z80</f>
        <v>4201966.3248917144</v>
      </c>
    </row>
    <row r="88" spans="2:26">
      <c r="B88" s="33" t="s">
        <v>308</v>
      </c>
      <c r="F88" s="151">
        <f ca="1">+IFERROR(IFERROR(INDEX('Taxes and TIF'!$AC$11:$AC$45,MATCH('Phase II Pro Forma'!F$7,'Taxes and TIF'!$R$11:$R$45,0)),0)*'Loan Sizing'!$K$18*F77,0)</f>
        <v>0</v>
      </c>
      <c r="G88" s="151">
        <f ca="1">+IFERROR(IFERROR(INDEX('Taxes and TIF'!$AC$11:$AC$45,MATCH('Phase II Pro Forma'!G$7,'Taxes and TIF'!$R$11:$R$45,0)),0)*'Loan Sizing'!$K$18*G77,0)</f>
        <v>0</v>
      </c>
      <c r="H88" s="151">
        <f ca="1">+IFERROR(IFERROR(INDEX('Taxes and TIF'!$AC$11:$AC$45,MATCH('Phase II Pro Forma'!H$7,'Taxes and TIF'!$R$11:$R$45,0)),0)*'Loan Sizing'!$K$18*H77,0)</f>
        <v>0</v>
      </c>
      <c r="I88" s="151">
        <f ca="1">+IFERROR(IFERROR(INDEX('Taxes and TIF'!$AC$11:$AC$45,MATCH('Phase II Pro Forma'!I$7,'Taxes and TIF'!$R$11:$R$45,0)),0)*'Loan Sizing'!$K$18*I77,0)</f>
        <v>997506.40384258784</v>
      </c>
      <c r="J88" s="151">
        <f ca="1">+IFERROR(IFERROR(INDEX('Taxes and TIF'!$AC$11:$AC$45,MATCH('Phase II Pro Forma'!J$7,'Taxes and TIF'!$R$11:$R$45,0)),0)*'Loan Sizing'!$K$18*J77,0)</f>
        <v>1995012.8076851757</v>
      </c>
      <c r="K88" s="151">
        <f ca="1">+IFERROR(IFERROR(INDEX('Taxes and TIF'!$AC$11:$AC$45,MATCH('Phase II Pro Forma'!K$7,'Taxes and TIF'!$R$11:$R$45,0)),0)*'Loan Sizing'!$K$18*K77,0)</f>
        <v>1995012.8076851757</v>
      </c>
      <c r="L88" s="151">
        <f ca="1">+IFERROR(IFERROR(INDEX('Taxes and TIF'!$AC$11:$AC$45,MATCH('Phase II Pro Forma'!L$7,'Taxes and TIF'!$R$11:$R$45,0)),0)*'Loan Sizing'!$K$18*L77,0)</f>
        <v>1995012.8076851757</v>
      </c>
      <c r="M88" s="151">
        <f ca="1">+IFERROR(IFERROR(INDEX('Taxes and TIF'!$AC$11:$AC$45,MATCH('Phase II Pro Forma'!M$7,'Taxes and TIF'!$R$11:$R$45,0)),0)*'Loan Sizing'!$K$18*M77,0)</f>
        <v>1995012.8076851757</v>
      </c>
      <c r="N88" s="151">
        <f ca="1">+IFERROR(IFERROR(INDEX('Taxes and TIF'!$AC$11:$AC$45,MATCH('Phase II Pro Forma'!N$7,'Taxes and TIF'!$R$11:$R$45,0)),0)*'Loan Sizing'!$K$18*N77,0)</f>
        <v>1995012.8076851757</v>
      </c>
      <c r="O88" s="151">
        <f ca="1">+IFERROR(IFERROR(INDEX('Taxes and TIF'!$AC$11:$AC$45,MATCH('Phase II Pro Forma'!O$7,'Taxes and TIF'!$R$11:$R$45,0)),0)*'Loan Sizing'!$K$18*O77,0)</f>
        <v>1995012.8076851757</v>
      </c>
      <c r="P88" s="151">
        <f ca="1">+IFERROR(IFERROR(INDEX('Taxes and TIF'!$AC$11:$AC$45,MATCH('Phase II Pro Forma'!P$7,'Taxes and TIF'!$R$11:$R$45,0)),0)*'Loan Sizing'!$K$18*P77,0)</f>
        <v>1995012.8076851757</v>
      </c>
      <c r="Q88" s="151">
        <f ca="1">+IFERROR(IFERROR(INDEX('Taxes and TIF'!$AC$11:$AC$45,MATCH('Phase II Pro Forma'!Q$7,'Taxes and TIF'!$R$11:$R$45,0)),0)*'Loan Sizing'!$K$18*Q77,0)</f>
        <v>1995012.8076851757</v>
      </c>
      <c r="R88" s="151">
        <f ca="1">+IFERROR(IFERROR(INDEX('Taxes and TIF'!$AC$11:$AC$45,MATCH('Phase II Pro Forma'!R$7,'Taxes and TIF'!$R$11:$R$45,0)),0)*'Loan Sizing'!$K$18*R77,0)</f>
        <v>1995012.8076851757</v>
      </c>
      <c r="S88" s="151">
        <f ca="1">+IFERROR(IFERROR(INDEX('Taxes and TIF'!$AC$11:$AC$45,MATCH('Phase II Pro Forma'!S$7,'Taxes and TIF'!$R$11:$R$45,0)),0)*'Loan Sizing'!$K$18*S77,0)</f>
        <v>1995012.8076851757</v>
      </c>
      <c r="T88" s="151">
        <f ca="1">+IFERROR(IFERROR(INDEX('Taxes and TIF'!$AC$11:$AC$45,MATCH('Phase II Pro Forma'!T$7,'Taxes and TIF'!$R$11:$R$45,0)),0)*'Loan Sizing'!$K$18*T77,0)</f>
        <v>1995012.8076851757</v>
      </c>
      <c r="U88" s="151">
        <f ca="1">+IFERROR(IFERROR(INDEX('Taxes and TIF'!$AC$11:$AC$45,MATCH('Phase II Pro Forma'!U$7,'Taxes and TIF'!$R$11:$R$45,0)),0)*'Loan Sizing'!$K$18*U77,0)</f>
        <v>1995012.8076851757</v>
      </c>
      <c r="V88" s="151">
        <f ca="1">+IFERROR(IFERROR(INDEX('Taxes and TIF'!$AC$11:$AC$45,MATCH('Phase II Pro Forma'!V$7,'Taxes and TIF'!$R$11:$R$45,0)),0)*'Loan Sizing'!$K$18*V77,0)</f>
        <v>1995012.8076851757</v>
      </c>
      <c r="W88" s="151">
        <f ca="1">+IFERROR(IFERROR(INDEX('Taxes and TIF'!$AC$11:$AC$45,MATCH('Phase II Pro Forma'!W$7,'Taxes and TIF'!$R$11:$R$45,0)),0)*'Loan Sizing'!$K$18*W77,0)</f>
        <v>1995012.8076851757</v>
      </c>
      <c r="X88" s="151">
        <f ca="1">+IFERROR(IFERROR(INDEX('Taxes and TIF'!$AC$11:$AC$45,MATCH('Phase II Pro Forma'!X$7,'Taxes and TIF'!$R$11:$R$45,0)),0)*'Loan Sizing'!$K$18*X77,0)</f>
        <v>1995012.8076851757</v>
      </c>
      <c r="Y88" s="151">
        <f ca="1">+IFERROR(IFERROR(INDEX('Taxes and TIF'!$AC$11:$AC$45,MATCH('Phase II Pro Forma'!Y$7,'Taxes and TIF'!$R$11:$R$45,0)),0)*'Loan Sizing'!$K$18*Y77,0)</f>
        <v>1995012.8076851757</v>
      </c>
      <c r="Z88" s="151">
        <f ca="1">+IFERROR(IFERROR(INDEX('Taxes and TIF'!$AC$11:$AC$45,MATCH('Phase II Pro Forma'!Z$7,'Taxes and TIF'!$R$11:$R$45,0)),0)*'Loan Sizing'!$K$18*Z77,0)</f>
        <v>1995012.8076851757</v>
      </c>
    </row>
    <row r="89" spans="2:26">
      <c r="B89" s="137" t="s">
        <v>234</v>
      </c>
      <c r="C89" s="137"/>
      <c r="D89" s="137"/>
      <c r="E89" s="137"/>
      <c r="F89" s="129">
        <f ca="1">+SUM(F87:F88)</f>
        <v>0</v>
      </c>
      <c r="G89" s="129">
        <f t="shared" ref="G89" ca="1" si="68">+SUM(G87:G88)</f>
        <v>0</v>
      </c>
      <c r="H89" s="129">
        <f t="shared" ref="H89:Z89" ca="1" si="69">+SUM(H87:H88)</f>
        <v>0</v>
      </c>
      <c r="I89" s="129">
        <f ca="1">+SUM(I87:I88)</f>
        <v>2268635.7695652866</v>
      </c>
      <c r="J89" s="129">
        <f t="shared" ca="1" si="69"/>
        <v>4613539.3010739358</v>
      </c>
      <c r="K89" s="129">
        <f t="shared" ca="1" si="69"/>
        <v>4692095.0958755985</v>
      </c>
      <c r="L89" s="129">
        <f t="shared" ca="1" si="69"/>
        <v>4773007.5645213109</v>
      </c>
      <c r="M89" s="129">
        <f t="shared" ca="1" si="69"/>
        <v>4856347.4072263958</v>
      </c>
      <c r="N89" s="129">
        <f t="shared" ca="1" si="69"/>
        <v>4942187.4452126324</v>
      </c>
      <c r="O89" s="129">
        <f t="shared" ca="1" si="69"/>
        <v>5030602.684338456</v>
      </c>
      <c r="P89" s="129">
        <f t="shared" ca="1" si="69"/>
        <v>5121670.3806380546</v>
      </c>
      <c r="Q89" s="129">
        <f t="shared" ca="1" si="69"/>
        <v>5215470.1078266408</v>
      </c>
      <c r="R89" s="129">
        <f t="shared" ca="1" si="69"/>
        <v>5312083.8268308844</v>
      </c>
      <c r="S89" s="129">
        <f t="shared" ca="1" si="69"/>
        <v>5411595.9574052561</v>
      </c>
      <c r="T89" s="129">
        <f t="shared" ca="1" si="69"/>
        <v>5514093.4518968593</v>
      </c>
      <c r="U89" s="129">
        <f t="shared" ca="1" si="69"/>
        <v>5619665.8712232094</v>
      </c>
      <c r="V89" s="129">
        <f t="shared" ca="1" si="69"/>
        <v>5728405.4631293509</v>
      </c>
      <c r="W89" s="129">
        <f t="shared" ca="1" si="69"/>
        <v>5840407.2427926762</v>
      </c>
      <c r="X89" s="129">
        <f t="shared" ca="1" si="69"/>
        <v>5955769.0758459009</v>
      </c>
      <c r="Y89" s="129">
        <f t="shared" ca="1" si="69"/>
        <v>6074591.7638907228</v>
      </c>
      <c r="Z89" s="129">
        <f t="shared" ca="1" si="69"/>
        <v>6196979.1325768903</v>
      </c>
    </row>
    <row r="90" spans="2:26">
      <c r="B90" s="33"/>
    </row>
    <row r="91" spans="2:26" ht="15.5">
      <c r="B91" s="138" t="s">
        <v>233</v>
      </c>
      <c r="C91" s="138"/>
      <c r="D91" s="138"/>
      <c r="E91" s="138"/>
      <c r="F91" s="139">
        <f ca="1">+F85-F89</f>
        <v>0</v>
      </c>
      <c r="G91" s="139">
        <f t="shared" ref="G91:Z91" ca="1" si="70">+G85-G89</f>
        <v>0</v>
      </c>
      <c r="H91" s="139">
        <f t="shared" ca="1" si="70"/>
        <v>0</v>
      </c>
      <c r="I91" s="139">
        <f ca="1">+I85-I89</f>
        <v>4967587.5000000019</v>
      </c>
      <c r="J91" s="139">
        <f t="shared" ca="1" si="70"/>
        <v>9935175.0000000037</v>
      </c>
      <c r="K91" s="139">
        <f t="shared" ca="1" si="70"/>
        <v>9935175.0000000037</v>
      </c>
      <c r="L91" s="139">
        <f t="shared" ca="1" si="70"/>
        <v>10431933.750000002</v>
      </c>
      <c r="M91" s="139">
        <f t="shared" ca="1" si="70"/>
        <v>10431933.750000004</v>
      </c>
      <c r="N91" s="139">
        <f t="shared" ca="1" si="70"/>
        <v>10431933.750000004</v>
      </c>
      <c r="O91" s="139">
        <f t="shared" ca="1" si="70"/>
        <v>10431933.750000002</v>
      </c>
      <c r="P91" s="139">
        <f t="shared" ca="1" si="70"/>
        <v>10431933.750000004</v>
      </c>
      <c r="Q91" s="139">
        <f t="shared" ca="1" si="70"/>
        <v>10953530.437500002</v>
      </c>
      <c r="R91" s="139">
        <f t="shared" ca="1" si="70"/>
        <v>10953530.437500002</v>
      </c>
      <c r="S91" s="139">
        <f t="shared" ca="1" si="70"/>
        <v>10953530.437500002</v>
      </c>
      <c r="T91" s="139">
        <f t="shared" ca="1" si="70"/>
        <v>10953530.437500002</v>
      </c>
      <c r="U91" s="139">
        <f t="shared" ca="1" si="70"/>
        <v>10953530.437500002</v>
      </c>
      <c r="V91" s="139">
        <f t="shared" ca="1" si="70"/>
        <v>11501206.959375003</v>
      </c>
      <c r="W91" s="139">
        <f t="shared" ca="1" si="70"/>
        <v>11501206.959375005</v>
      </c>
      <c r="X91" s="139">
        <f t="shared" ca="1" si="70"/>
        <v>11501206.959375005</v>
      </c>
      <c r="Y91" s="139">
        <f t="shared" ca="1" si="70"/>
        <v>11501206.959375003</v>
      </c>
      <c r="Z91" s="139">
        <f t="shared" ca="1" si="70"/>
        <v>11501206.959375005</v>
      </c>
    </row>
    <row r="92" spans="2:26" ht="15.5">
      <c r="B92" s="143" t="s">
        <v>239</v>
      </c>
      <c r="C92" s="141"/>
      <c r="D92" s="141"/>
      <c r="E92" s="141"/>
      <c r="F92" s="144" t="str">
        <f ca="1">+IFERROR(F91/F85,"")</f>
        <v/>
      </c>
      <c r="G92" s="144" t="str">
        <f t="shared" ref="G92:Z92" ca="1" si="71">+IFERROR(G91/G85,"")</f>
        <v/>
      </c>
      <c r="H92" s="144" t="str">
        <f t="shared" ca="1" si="71"/>
        <v/>
      </c>
      <c r="I92" s="145">
        <f t="shared" ca="1" si="71"/>
        <v>0.68648897566401745</v>
      </c>
      <c r="J92" s="145">
        <f t="shared" ca="1" si="71"/>
        <v>0.68289023994832465</v>
      </c>
      <c r="K92" s="145">
        <f t="shared" ca="1" si="71"/>
        <v>0.67922277601214109</v>
      </c>
      <c r="L92" s="145">
        <f t="shared" ca="1" si="71"/>
        <v>0.68608839285930667</v>
      </c>
      <c r="M92" s="145">
        <f t="shared" ca="1" si="71"/>
        <v>0.68234837145633487</v>
      </c>
      <c r="N92" s="145">
        <f t="shared" ca="1" si="71"/>
        <v>0.67853854002714731</v>
      </c>
      <c r="O92" s="145">
        <f t="shared" ca="1" si="71"/>
        <v>0.67465863665376813</v>
      </c>
      <c r="P92" s="145">
        <f t="shared" ca="1" si="71"/>
        <v>0.67070845203336504</v>
      </c>
      <c r="Q92" s="145">
        <f t="shared" ca="1" si="71"/>
        <v>0.67744016748554825</v>
      </c>
      <c r="R92" s="145">
        <f t="shared" ca="1" si="71"/>
        <v>0.67341634072315149</v>
      </c>
      <c r="S92" s="145">
        <f t="shared" ca="1" si="71"/>
        <v>0.66932146890781252</v>
      </c>
      <c r="T92" s="145">
        <f t="shared" ca="1" si="71"/>
        <v>0.66515549001290575</v>
      </c>
      <c r="U92" s="145">
        <f t="shared" ca="1" si="71"/>
        <v>0.66091840303217009</v>
      </c>
      <c r="V92" s="145">
        <f t="shared" ca="1" si="71"/>
        <v>0.66752557616170005</v>
      </c>
      <c r="W92" s="145">
        <f t="shared" ca="1" si="71"/>
        <v>0.663214325108061</v>
      </c>
      <c r="X92" s="145">
        <f t="shared" ca="1" si="71"/>
        <v>0.65883157175506002</v>
      </c>
      <c r="Y92" s="145">
        <f t="shared" ca="1" si="71"/>
        <v>0.65437748465737922</v>
      </c>
      <c r="Z92" s="145">
        <f t="shared" ca="1" si="71"/>
        <v>0.6498523012256654</v>
      </c>
    </row>
    <row r="93" spans="2:26" ht="15.5">
      <c r="B93" s="143" t="s">
        <v>179</v>
      </c>
      <c r="C93" s="141"/>
      <c r="D93" s="141"/>
      <c r="E93" s="141"/>
      <c r="F93" s="142">
        <f ca="1">+F91/Assumptions!$O$132</f>
        <v>0</v>
      </c>
      <c r="G93" s="142">
        <f ca="1">+G91/Assumptions!$O$132</f>
        <v>0</v>
      </c>
      <c r="H93" s="142">
        <f ca="1">+H91/Assumptions!$O$132</f>
        <v>0</v>
      </c>
      <c r="I93" s="142">
        <f ca="1">+I91/Assumptions!$O$132</f>
        <v>55195416.666666687</v>
      </c>
      <c r="J93" s="142">
        <f ca="1">+J91/Assumptions!$O$132</f>
        <v>110390833.33333337</v>
      </c>
      <c r="K93" s="142">
        <f ca="1">+K91/Assumptions!$O$132</f>
        <v>110390833.33333337</v>
      </c>
      <c r="L93" s="142">
        <f ca="1">+L91/Assumptions!$O$132</f>
        <v>115910375.00000003</v>
      </c>
      <c r="M93" s="142">
        <f ca="1">+M91/Assumptions!$O$132</f>
        <v>115910375.00000004</v>
      </c>
      <c r="N93" s="142">
        <f ca="1">+N91/Assumptions!$O$132</f>
        <v>115910375.00000004</v>
      </c>
      <c r="O93" s="142">
        <f ca="1">+O91/Assumptions!$O$132</f>
        <v>115910375.00000003</v>
      </c>
      <c r="P93" s="142">
        <f ca="1">+P91/Assumptions!$O$132</f>
        <v>115910375.00000004</v>
      </c>
      <c r="Q93" s="142">
        <f ca="1">+Q91/Assumptions!$O$132</f>
        <v>121705893.75000003</v>
      </c>
      <c r="R93" s="142">
        <f ca="1">+R91/Assumptions!$O$132</f>
        <v>121705893.75000003</v>
      </c>
      <c r="S93" s="142">
        <f ca="1">+S91/Assumptions!$O$132</f>
        <v>121705893.75000003</v>
      </c>
      <c r="T93" s="142">
        <f ca="1">+T91/Assumptions!$O$132</f>
        <v>121705893.75000003</v>
      </c>
      <c r="U93" s="142">
        <f ca="1">+U91/Assumptions!$O$132</f>
        <v>121705893.75000003</v>
      </c>
      <c r="V93" s="142">
        <f ca="1">+V91/Assumptions!$O$132</f>
        <v>127791188.43750004</v>
      </c>
      <c r="W93" s="142">
        <f ca="1">+W91/Assumptions!$O$132</f>
        <v>127791188.43750006</v>
      </c>
      <c r="X93" s="142">
        <f ca="1">+X91/Assumptions!$O$132</f>
        <v>127791188.43750006</v>
      </c>
      <c r="Y93" s="142">
        <f ca="1">+Y91/Assumptions!$O$132</f>
        <v>127791188.43750004</v>
      </c>
      <c r="Z93" s="142">
        <f ca="1">+Z91/Assumptions!$O$132</f>
        <v>127791188.43750006</v>
      </c>
    </row>
    <row r="95" spans="2:26" ht="15.5">
      <c r="B95" s="148" t="s">
        <v>139</v>
      </c>
      <c r="C95" s="149"/>
      <c r="D95" s="149"/>
      <c r="E95" s="149"/>
      <c r="F95" s="150">
        <f>+Assumptions!$G$22</f>
        <v>45291</v>
      </c>
      <c r="G95" s="150">
        <f>+EOMONTH(F95,12)</f>
        <v>45657</v>
      </c>
      <c r="H95" s="150">
        <f t="shared" ref="H95:Z95" si="72">+EOMONTH(G95,12)</f>
        <v>46022</v>
      </c>
      <c r="I95" s="150">
        <f t="shared" si="72"/>
        <v>46387</v>
      </c>
      <c r="J95" s="150">
        <f t="shared" si="72"/>
        <v>46752</v>
      </c>
      <c r="K95" s="150">
        <f t="shared" si="72"/>
        <v>47118</v>
      </c>
      <c r="L95" s="150">
        <f t="shared" si="72"/>
        <v>47483</v>
      </c>
      <c r="M95" s="150">
        <f t="shared" si="72"/>
        <v>47848</v>
      </c>
      <c r="N95" s="150">
        <f t="shared" si="72"/>
        <v>48213</v>
      </c>
      <c r="O95" s="150">
        <f t="shared" si="72"/>
        <v>48579</v>
      </c>
      <c r="P95" s="150">
        <f t="shared" si="72"/>
        <v>48944</v>
      </c>
      <c r="Q95" s="150">
        <f t="shared" si="72"/>
        <v>49309</v>
      </c>
      <c r="R95" s="150">
        <f t="shared" si="72"/>
        <v>49674</v>
      </c>
      <c r="S95" s="150">
        <f t="shared" si="72"/>
        <v>50040</v>
      </c>
      <c r="T95" s="150">
        <f t="shared" si="72"/>
        <v>50405</v>
      </c>
      <c r="U95" s="150">
        <f t="shared" si="72"/>
        <v>50770</v>
      </c>
      <c r="V95" s="150">
        <f t="shared" si="72"/>
        <v>51135</v>
      </c>
      <c r="W95" s="150">
        <f t="shared" si="72"/>
        <v>51501</v>
      </c>
      <c r="X95" s="150">
        <f t="shared" si="72"/>
        <v>51866</v>
      </c>
      <c r="Y95" s="150">
        <f t="shared" si="72"/>
        <v>52231</v>
      </c>
      <c r="Z95" s="150">
        <f t="shared" si="72"/>
        <v>52596</v>
      </c>
    </row>
    <row r="96" spans="2:26">
      <c r="B96" s="33" t="s">
        <v>690</v>
      </c>
      <c r="C96" s="33"/>
      <c r="D96" s="40"/>
      <c r="E96" s="40"/>
      <c r="F96" s="42">
        <f>+IF(AND(F95&gt;=Assumptions!$G$26,F95&lt;Assumptions!$G$28),Assumptions!$G$172/ROUNDUP((Assumptions!$G$27/12),0),0)</f>
        <v>0</v>
      </c>
      <c r="G96" s="42">
        <f>+IF(AND(G95&gt;=Assumptions!$G$26,G95&lt;Assumptions!$G$28),Assumptions!$G$172/ROUNDUP((Assumptions!$G$27/12),0),0)</f>
        <v>0</v>
      </c>
      <c r="H96" s="42">
        <f>+IF(AND(H95&gt;=Assumptions!$G$26,H95&lt;Assumptions!$G$28),Assumptions!$G$172/ROUNDUP((Assumptions!$G$27/12),0),0)</f>
        <v>0</v>
      </c>
      <c r="I96" s="42">
        <f>+IF(AND(I95&gt;=Assumptions!$G$26,I95&lt;Assumptions!$G$28),Assumptions!$G$172/ROUNDUP((Assumptions!$G$27/12),0),0)</f>
        <v>4.9999999999999998E-7</v>
      </c>
      <c r="J96" s="42">
        <f>+IF(AND(J95&gt;=Assumptions!$G$26,J95&lt;Assumptions!$G$28),Assumptions!$G$172/ROUNDUP((Assumptions!$G$27/12),0),0)</f>
        <v>4.9999999999999998E-7</v>
      </c>
      <c r="K96" s="42">
        <f>+IF(AND(K95&gt;=Assumptions!$G$26,K95&lt;Assumptions!$G$28),Assumptions!$G$172/ROUNDUP((Assumptions!$G$27/12),0),0)</f>
        <v>0</v>
      </c>
      <c r="L96" s="42">
        <f>+IF(AND(L95&gt;=Assumptions!$G$26,L95&lt;Assumptions!$G$28),Assumptions!$G$172/ROUNDUP((Assumptions!$G$27/12),0),0)</f>
        <v>0</v>
      </c>
      <c r="M96" s="42">
        <f>+IF(AND(M95&gt;=Assumptions!$G$26,M95&lt;Assumptions!$G$28),Assumptions!$G$172/ROUNDUP((Assumptions!$G$27/12),0),0)</f>
        <v>0</v>
      </c>
      <c r="N96" s="42">
        <f>+IF(AND(N95&gt;=Assumptions!$G$26,N95&lt;Assumptions!$G$28),Assumptions!$G$172/ROUNDUP((Assumptions!$G$27/12),0),0)</f>
        <v>0</v>
      </c>
      <c r="O96" s="42">
        <f>+IF(AND(O95&gt;=Assumptions!$G$26,O95&lt;Assumptions!$G$28),Assumptions!$G$172/ROUNDUP((Assumptions!$G$27/12),0),0)</f>
        <v>0</v>
      </c>
      <c r="P96" s="42">
        <f>+IF(AND(P95&gt;=Assumptions!$G$26,P95&lt;Assumptions!$G$28),Assumptions!$G$172/ROUNDUP((Assumptions!$G$27/12),0),0)</f>
        <v>0</v>
      </c>
      <c r="Q96" s="42">
        <f>+IF(AND(Q95&gt;=Assumptions!$G$26,Q95&lt;Assumptions!$G$28),Assumptions!$G$172/ROUNDUP((Assumptions!$G$27/12),0),0)</f>
        <v>0</v>
      </c>
      <c r="R96" s="42">
        <f>+IF(AND(R95&gt;=Assumptions!$G$26,R95&lt;Assumptions!$G$28),Assumptions!$G$172/ROUNDUP((Assumptions!$G$27/12),0),0)</f>
        <v>0</v>
      </c>
      <c r="S96" s="42">
        <f>+IF(AND(S95&gt;=Assumptions!$G$26,S95&lt;Assumptions!$G$28),Assumptions!$G$172/ROUNDUP((Assumptions!$G$27/12),0),0)</f>
        <v>0</v>
      </c>
      <c r="T96" s="42">
        <f>+IF(AND(T95&gt;=Assumptions!$G$26,T95&lt;Assumptions!$G$28),Assumptions!$G$172/ROUNDUP((Assumptions!$G$27/12),0),0)</f>
        <v>0</v>
      </c>
      <c r="U96" s="42">
        <f>+IF(AND(U95&gt;=Assumptions!$G$26,U95&lt;Assumptions!$G$28),Assumptions!$G$172/ROUNDUP((Assumptions!$G$27/12),0),0)</f>
        <v>0</v>
      </c>
      <c r="V96" s="42">
        <f>+IF(AND(V95&gt;=Assumptions!$G$26,V95&lt;Assumptions!$G$28),Assumptions!$G$172/ROUNDUP((Assumptions!$G$27/12),0),0)</f>
        <v>0</v>
      </c>
      <c r="W96" s="42">
        <f>+IF(AND(W95&gt;=Assumptions!$G$26,W95&lt;Assumptions!$G$28),Assumptions!$G$172/ROUNDUP((Assumptions!$G$27/12),0),0)</f>
        <v>0</v>
      </c>
      <c r="X96" s="42">
        <f>+IF(AND(X95&gt;=Assumptions!$G$26,X95&lt;Assumptions!$G$28),Assumptions!$G$172/ROUNDUP((Assumptions!$G$27/12),0),0)</f>
        <v>0</v>
      </c>
      <c r="Y96" s="42">
        <f>+IF(AND(Y95&gt;=Assumptions!$G$26,Y95&lt;Assumptions!$G$28),Assumptions!$G$172/ROUNDUP((Assumptions!$G$27/12),0),0)</f>
        <v>0</v>
      </c>
      <c r="Z96" s="42">
        <f>+IF(AND(Z95&gt;=Assumptions!$G$26,Z95&lt;Assumptions!$G$28),Assumptions!$G$172/ROUNDUP((Assumptions!$G$27/12),0),0)</f>
        <v>0</v>
      </c>
    </row>
    <row r="97" spans="2:26">
      <c r="B97" s="33" t="s">
        <v>231</v>
      </c>
      <c r="C97" s="33"/>
      <c r="D97" s="42">
        <v>0</v>
      </c>
      <c r="E97" s="42"/>
      <c r="F97" s="42">
        <f>+D97+F96</f>
        <v>0</v>
      </c>
      <c r="G97" s="42">
        <f t="shared" ref="G97:Z97" si="73">+F97+G96</f>
        <v>0</v>
      </c>
      <c r="H97" s="42">
        <f t="shared" si="73"/>
        <v>0</v>
      </c>
      <c r="I97" s="42">
        <f t="shared" si="73"/>
        <v>4.9999999999999998E-7</v>
      </c>
      <c r="J97" s="42">
        <f t="shared" si="73"/>
        <v>9.9999999999999995E-7</v>
      </c>
      <c r="K97" s="42">
        <f t="shared" si="73"/>
        <v>9.9999999999999995E-7</v>
      </c>
      <c r="L97" s="42">
        <f t="shared" si="73"/>
        <v>9.9999999999999995E-7</v>
      </c>
      <c r="M97" s="42">
        <f t="shared" si="73"/>
        <v>9.9999999999999995E-7</v>
      </c>
      <c r="N97" s="42">
        <f t="shared" si="73"/>
        <v>9.9999999999999995E-7</v>
      </c>
      <c r="O97" s="42">
        <f t="shared" si="73"/>
        <v>9.9999999999999995E-7</v>
      </c>
      <c r="P97" s="42">
        <f t="shared" si="73"/>
        <v>9.9999999999999995E-7</v>
      </c>
      <c r="Q97" s="42">
        <f t="shared" si="73"/>
        <v>9.9999999999999995E-7</v>
      </c>
      <c r="R97" s="42">
        <f t="shared" si="73"/>
        <v>9.9999999999999995E-7</v>
      </c>
      <c r="S97" s="42">
        <f t="shared" si="73"/>
        <v>9.9999999999999995E-7</v>
      </c>
      <c r="T97" s="42">
        <f t="shared" si="73"/>
        <v>9.9999999999999995E-7</v>
      </c>
      <c r="U97" s="42">
        <f t="shared" si="73"/>
        <v>9.9999999999999995E-7</v>
      </c>
      <c r="V97" s="42">
        <f t="shared" si="73"/>
        <v>9.9999999999999995E-7</v>
      </c>
      <c r="W97" s="42">
        <f t="shared" si="73"/>
        <v>9.9999999999999995E-7</v>
      </c>
      <c r="X97" s="42">
        <f t="shared" si="73"/>
        <v>9.9999999999999995E-7</v>
      </c>
      <c r="Y97" s="42">
        <f t="shared" si="73"/>
        <v>9.9999999999999995E-7</v>
      </c>
      <c r="Z97" s="42">
        <f t="shared" si="73"/>
        <v>9.9999999999999995E-7</v>
      </c>
    </row>
    <row r="98" spans="2:26">
      <c r="B98" s="33" t="s">
        <v>285</v>
      </c>
      <c r="C98" s="33"/>
      <c r="D98" s="42"/>
      <c r="E98" s="42"/>
      <c r="F98" s="108">
        <f t="shared" ref="F98:Z98" si="74">+F97/SUM($F96:$Z96)</f>
        <v>0</v>
      </c>
      <c r="G98" s="108">
        <f t="shared" si="74"/>
        <v>0</v>
      </c>
      <c r="H98" s="108">
        <f t="shared" si="74"/>
        <v>0</v>
      </c>
      <c r="I98" s="108">
        <f t="shared" si="74"/>
        <v>0.5</v>
      </c>
      <c r="J98" s="108">
        <f t="shared" si="74"/>
        <v>1</v>
      </c>
      <c r="K98" s="108">
        <f t="shared" si="74"/>
        <v>1</v>
      </c>
      <c r="L98" s="108">
        <f t="shared" si="74"/>
        <v>1</v>
      </c>
      <c r="M98" s="108">
        <f t="shared" si="74"/>
        <v>1</v>
      </c>
      <c r="N98" s="108">
        <f t="shared" si="74"/>
        <v>1</v>
      </c>
      <c r="O98" s="108">
        <f t="shared" si="74"/>
        <v>1</v>
      </c>
      <c r="P98" s="108">
        <f t="shared" si="74"/>
        <v>1</v>
      </c>
      <c r="Q98" s="108">
        <f t="shared" si="74"/>
        <v>1</v>
      </c>
      <c r="R98" s="108">
        <f t="shared" si="74"/>
        <v>1</v>
      </c>
      <c r="S98" s="108">
        <f t="shared" si="74"/>
        <v>1</v>
      </c>
      <c r="T98" s="108">
        <f t="shared" si="74"/>
        <v>1</v>
      </c>
      <c r="U98" s="108">
        <f t="shared" si="74"/>
        <v>1</v>
      </c>
      <c r="V98" s="108">
        <f t="shared" si="74"/>
        <v>1</v>
      </c>
      <c r="W98" s="108">
        <f t="shared" si="74"/>
        <v>1</v>
      </c>
      <c r="X98" s="108">
        <f t="shared" si="74"/>
        <v>1</v>
      </c>
      <c r="Y98" s="108">
        <f t="shared" si="74"/>
        <v>1</v>
      </c>
      <c r="Z98" s="108">
        <f t="shared" si="74"/>
        <v>1</v>
      </c>
    </row>
    <row r="99" spans="2:26">
      <c r="B99" s="33"/>
      <c r="C99" s="33"/>
      <c r="D99" s="40"/>
      <c r="E99" s="40"/>
      <c r="F99" s="34"/>
      <c r="G99" s="34"/>
      <c r="H99" s="34"/>
      <c r="I99" s="34"/>
      <c r="J99" s="34"/>
      <c r="K99" s="34"/>
      <c r="L99" s="34"/>
      <c r="M99" s="34"/>
      <c r="N99" s="34"/>
      <c r="O99" s="34"/>
      <c r="P99" s="34"/>
      <c r="Q99" s="34"/>
      <c r="R99" s="34"/>
      <c r="S99" s="34"/>
      <c r="T99" s="34"/>
      <c r="U99" s="34"/>
      <c r="V99" s="34"/>
      <c r="W99" s="34"/>
      <c r="X99" s="34"/>
      <c r="Y99" s="34"/>
      <c r="Z99" s="34"/>
    </row>
    <row r="100" spans="2:26">
      <c r="B100" s="33" t="s">
        <v>236</v>
      </c>
      <c r="C100" s="33"/>
      <c r="D100" s="42"/>
      <c r="E100" s="42"/>
      <c r="F100" s="108">
        <v>1</v>
      </c>
      <c r="G100" s="108">
        <f>+IF(MOD(G$2,Assumptions!$O$71)=(Assumptions!$O$71-1),F100*(1+Assumptions!$O$70),'Phase II Pro Forma'!F100)</f>
        <v>1</v>
      </c>
      <c r="H100" s="108">
        <f>+IF(MOD(H$2,Assumptions!$O$71)=(Assumptions!$O$71-1),G100*(1+Assumptions!$O$70),'Phase II Pro Forma'!G100)</f>
        <v>1</v>
      </c>
      <c r="I100" s="108">
        <f>+IF(MOD(I$2,Assumptions!$O$71)=(Assumptions!$O$71-1),H100*(1+Assumptions!$O$70),'Phase II Pro Forma'!H100)</f>
        <v>1</v>
      </c>
      <c r="J100" s="108">
        <f>+IF(MOD(J$2,Assumptions!$O$71)=(Assumptions!$O$71-1),I100*(1+Assumptions!$O$70),'Phase II Pro Forma'!I100)</f>
        <v>1</v>
      </c>
      <c r="K100" s="108">
        <f>+IF(MOD(K$2,Assumptions!$O$71)=(Assumptions!$O$71-1),J100*(1+Assumptions!$O$70),'Phase II Pro Forma'!J100)</f>
        <v>1</v>
      </c>
      <c r="L100" s="108">
        <f>+IF(MOD(L$2,Assumptions!$O$71)=(Assumptions!$O$71-1),K100*(1+Assumptions!$O$70),'Phase II Pro Forma'!K100)</f>
        <v>1.1000000000000001</v>
      </c>
      <c r="M100" s="108">
        <f>+IF(MOD(M$2,Assumptions!$O$71)=(Assumptions!$O$71-1),L100*(1+Assumptions!$O$70),'Phase II Pro Forma'!L100)</f>
        <v>1.1000000000000001</v>
      </c>
      <c r="N100" s="108">
        <f>+IF(MOD(N$2,Assumptions!$O$71)=(Assumptions!$O$71-1),M100*(1+Assumptions!$O$70),'Phase II Pro Forma'!M100)</f>
        <v>1.1000000000000001</v>
      </c>
      <c r="O100" s="108">
        <f>+IF(MOD(O$2,Assumptions!$O$71)=(Assumptions!$O$71-1),N100*(1+Assumptions!$O$70),'Phase II Pro Forma'!N100)</f>
        <v>1.1000000000000001</v>
      </c>
      <c r="P100" s="108">
        <f>+IF(MOD(P$2,Assumptions!$O$71)=(Assumptions!$O$71-1),O100*(1+Assumptions!$O$70),'Phase II Pro Forma'!O100)</f>
        <v>1.1000000000000001</v>
      </c>
      <c r="Q100" s="108">
        <f>+IF(MOD(Q$2,Assumptions!$O$71)=(Assumptions!$O$71-1),P100*(1+Assumptions!$O$70),'Phase II Pro Forma'!P100)</f>
        <v>1.2100000000000002</v>
      </c>
      <c r="R100" s="108">
        <f>+IF(MOD(R$2,Assumptions!$O$71)=(Assumptions!$O$71-1),Q100*(1+Assumptions!$O$70),'Phase II Pro Forma'!Q100)</f>
        <v>1.2100000000000002</v>
      </c>
      <c r="S100" s="108">
        <f>+IF(MOD(S$2,Assumptions!$O$71)=(Assumptions!$O$71-1),R100*(1+Assumptions!$O$70),'Phase II Pro Forma'!R100)</f>
        <v>1.2100000000000002</v>
      </c>
      <c r="T100" s="108">
        <f>+IF(MOD(T$2,Assumptions!$O$71)=(Assumptions!$O$71-1),S100*(1+Assumptions!$O$70),'Phase II Pro Forma'!S100)</f>
        <v>1.2100000000000002</v>
      </c>
      <c r="U100" s="108">
        <f>+IF(MOD(U$2,Assumptions!$O$71)=(Assumptions!$O$71-1),T100*(1+Assumptions!$O$70),'Phase II Pro Forma'!T100)</f>
        <v>1.2100000000000002</v>
      </c>
      <c r="V100" s="108">
        <f>+IF(MOD(V$2,Assumptions!$O$71)=(Assumptions!$O$71-1),U100*(1+Assumptions!$O$70),'Phase II Pro Forma'!U100)</f>
        <v>1.3310000000000004</v>
      </c>
      <c r="W100" s="108">
        <f>+IF(MOD(W$2,Assumptions!$O$71)=(Assumptions!$O$71-1),V100*(1+Assumptions!$O$70),'Phase II Pro Forma'!V100)</f>
        <v>1.3310000000000004</v>
      </c>
      <c r="X100" s="108">
        <f>+IF(MOD(X$2,Assumptions!$O$71)=(Assumptions!$O$71-1),W100*(1+Assumptions!$O$70),'Phase II Pro Forma'!W100)</f>
        <v>1.3310000000000004</v>
      </c>
      <c r="Y100" s="108">
        <f>+IF(MOD(Y$2,Assumptions!$O$71)=(Assumptions!$O$71-1),X100*(1+Assumptions!$O$70),'Phase II Pro Forma'!X100)</f>
        <v>1.3310000000000004</v>
      </c>
      <c r="Z100" s="108">
        <f>+IF(MOD(Z$2,Assumptions!$O$71)=(Assumptions!$O$71-1),Y100*(1+Assumptions!$O$70),'Phase II Pro Forma'!Y100)</f>
        <v>1.3310000000000004</v>
      </c>
    </row>
    <row r="101" spans="2:26">
      <c r="B101" s="33" t="s">
        <v>237</v>
      </c>
      <c r="C101" s="33"/>
      <c r="D101" s="42"/>
      <c r="E101" s="42"/>
      <c r="F101" s="108">
        <v>1</v>
      </c>
      <c r="G101" s="108">
        <f>+F101*(1+Assumptions!$O$80)</f>
        <v>1.03</v>
      </c>
      <c r="H101" s="108">
        <f>+G101*(1+Assumptions!$O$80)</f>
        <v>1.0609</v>
      </c>
      <c r="I101" s="108">
        <f>+H101*(1+Assumptions!$O$80)</f>
        <v>1.092727</v>
      </c>
      <c r="J101" s="108">
        <f>+I101*(1+Assumptions!$O$80)</f>
        <v>1.1255088100000001</v>
      </c>
      <c r="K101" s="108">
        <f>+J101*(1+Assumptions!$O$80)</f>
        <v>1.1592740743000001</v>
      </c>
      <c r="L101" s="108">
        <f>+K101*(1+Assumptions!$O$80)</f>
        <v>1.1940522965290001</v>
      </c>
      <c r="M101" s="108">
        <f>+L101*(1+Assumptions!$O$80)</f>
        <v>1.2298738654248702</v>
      </c>
      <c r="N101" s="108">
        <f>+M101*(1+Assumptions!$O$80)</f>
        <v>1.2667700813876164</v>
      </c>
      <c r="O101" s="108">
        <f>+N101*(1+Assumptions!$O$80)</f>
        <v>1.3047731838292449</v>
      </c>
      <c r="P101" s="108">
        <f>+O101*(1+Assumptions!$O$80)</f>
        <v>1.3439163793441222</v>
      </c>
      <c r="Q101" s="108">
        <f>+P101*(1+Assumptions!$O$80)</f>
        <v>1.3842338707244459</v>
      </c>
      <c r="R101" s="108">
        <f>+Q101*(1+Assumptions!$O$80)</f>
        <v>1.4257608868461793</v>
      </c>
      <c r="S101" s="108">
        <f>+R101*(1+Assumptions!$O$80)</f>
        <v>1.4685337134515648</v>
      </c>
      <c r="T101" s="108">
        <f>+S101*(1+Assumptions!$O$80)</f>
        <v>1.5125897248551119</v>
      </c>
      <c r="U101" s="108">
        <f>+T101*(1+Assumptions!$O$80)</f>
        <v>1.5579674166007653</v>
      </c>
      <c r="V101" s="108">
        <f>+U101*(1+Assumptions!$O$80)</f>
        <v>1.6047064390987884</v>
      </c>
      <c r="W101" s="108">
        <f>+V101*(1+Assumptions!$O$80)</f>
        <v>1.652847632271752</v>
      </c>
      <c r="X101" s="108">
        <f>+W101*(1+Assumptions!$O$80)</f>
        <v>1.7024330612399046</v>
      </c>
      <c r="Y101" s="108">
        <f>+X101*(1+Assumptions!$O$80)</f>
        <v>1.7535060530771018</v>
      </c>
      <c r="Z101" s="108">
        <f>+Y101*(1+Assumptions!$O$80)</f>
        <v>1.806111234669415</v>
      </c>
    </row>
    <row r="102" spans="2:26">
      <c r="B102" s="33"/>
      <c r="C102" s="33"/>
      <c r="D102" s="40"/>
      <c r="E102" s="40"/>
      <c r="F102" s="34"/>
      <c r="G102" s="34"/>
      <c r="H102" s="34"/>
      <c r="I102" s="34"/>
      <c r="J102" s="34"/>
      <c r="K102" s="34"/>
      <c r="L102" s="34"/>
      <c r="M102" s="34"/>
      <c r="N102" s="34"/>
      <c r="O102" s="34"/>
      <c r="P102" s="34"/>
      <c r="Q102" s="34"/>
      <c r="R102" s="34"/>
      <c r="S102" s="34"/>
      <c r="T102" s="34"/>
      <c r="U102" s="34"/>
      <c r="V102" s="34"/>
      <c r="W102" s="34"/>
      <c r="X102" s="34"/>
      <c r="Y102" s="34"/>
      <c r="Z102" s="34"/>
    </row>
    <row r="103" spans="2:26">
      <c r="B103" s="33" t="s">
        <v>228</v>
      </c>
      <c r="C103" s="33"/>
      <c r="D103" s="40"/>
      <c r="E103" s="40"/>
      <c r="F103" s="34">
        <f>+F98*Assumptions!$G$171*F100</f>
        <v>0</v>
      </c>
      <c r="G103" s="34">
        <f>+G98*Assumptions!$G$171*G100</f>
        <v>0</v>
      </c>
      <c r="H103" s="34">
        <f>+H98*Assumptions!$G$171*H100</f>
        <v>0</v>
      </c>
      <c r="I103" s="34">
        <f>+I98*Assumptions!$G$171*I100</f>
        <v>1.97676E-5</v>
      </c>
      <c r="J103" s="34">
        <f>+J98*Assumptions!$G$171*J100</f>
        <v>3.9535200000000001E-5</v>
      </c>
      <c r="K103" s="34">
        <f>+K98*Assumptions!$G$171*K100</f>
        <v>3.9535200000000001E-5</v>
      </c>
      <c r="L103" s="34">
        <f>+L98*Assumptions!$G$171*L100</f>
        <v>4.3488720000000004E-5</v>
      </c>
      <c r="M103" s="34">
        <f>+M98*Assumptions!$G$171*M100</f>
        <v>4.3488720000000004E-5</v>
      </c>
      <c r="N103" s="34">
        <f>+N98*Assumptions!$G$171*N100</f>
        <v>4.3488720000000004E-5</v>
      </c>
      <c r="O103" s="34">
        <f>+O98*Assumptions!$G$171*O100</f>
        <v>4.3488720000000004E-5</v>
      </c>
      <c r="P103" s="34">
        <f>+P98*Assumptions!$G$171*P100</f>
        <v>4.3488720000000004E-5</v>
      </c>
      <c r="Q103" s="34">
        <f>+Q98*Assumptions!$G$171*Q100</f>
        <v>4.7837592000000009E-5</v>
      </c>
      <c r="R103" s="34">
        <f>+R98*Assumptions!$G$171*R100</f>
        <v>4.7837592000000009E-5</v>
      </c>
      <c r="S103" s="34">
        <f>+S98*Assumptions!$G$171*S100</f>
        <v>4.7837592000000009E-5</v>
      </c>
      <c r="T103" s="34">
        <f>+T98*Assumptions!$G$171*T100</f>
        <v>4.7837592000000009E-5</v>
      </c>
      <c r="U103" s="34">
        <f>+U98*Assumptions!$G$171*U100</f>
        <v>4.7837592000000009E-5</v>
      </c>
      <c r="V103" s="34">
        <f>+V98*Assumptions!$G$171*V100</f>
        <v>5.2621351200000013E-5</v>
      </c>
      <c r="W103" s="34">
        <f>+W98*Assumptions!$G$171*W100</f>
        <v>5.2621351200000013E-5</v>
      </c>
      <c r="X103" s="34">
        <f>+X98*Assumptions!$G$171*X100</f>
        <v>5.2621351200000013E-5</v>
      </c>
      <c r="Y103" s="34">
        <f>+Y98*Assumptions!$G$171*Y100</f>
        <v>5.2621351200000013E-5</v>
      </c>
      <c r="Z103" s="34">
        <f>+Z98*Assumptions!$G$171*Z100</f>
        <v>5.2621351200000013E-5</v>
      </c>
    </row>
    <row r="104" spans="2:26">
      <c r="B104" s="33" t="s">
        <v>229</v>
      </c>
      <c r="C104" s="33"/>
      <c r="D104" s="40"/>
      <c r="E104" s="40"/>
      <c r="F104" s="42">
        <f>-F103*Assumptions!$O$58</f>
        <v>0</v>
      </c>
      <c r="G104" s="42">
        <f>-G103*Assumptions!$O$58</f>
        <v>0</v>
      </c>
      <c r="H104" s="42">
        <f>-H103*Assumptions!$O$58</f>
        <v>0</v>
      </c>
      <c r="I104" s="42">
        <f>-I103*Assumptions!$O$58</f>
        <v>-2.6883936E-6</v>
      </c>
      <c r="J104" s="42">
        <f>-J103*Assumptions!$O$58</f>
        <v>-5.3767872000000001E-6</v>
      </c>
      <c r="K104" s="42">
        <f>-K103*Assumptions!$O$58</f>
        <v>-5.3767872000000001E-6</v>
      </c>
      <c r="L104" s="42">
        <f>-L103*Assumptions!$O$58</f>
        <v>-5.9144659200000008E-6</v>
      </c>
      <c r="M104" s="42">
        <f>-M103*Assumptions!$O$58</f>
        <v>-5.9144659200000008E-6</v>
      </c>
      <c r="N104" s="42">
        <f>-N103*Assumptions!$O$58</f>
        <v>-5.9144659200000008E-6</v>
      </c>
      <c r="O104" s="42">
        <f>-O103*Assumptions!$O$58</f>
        <v>-5.9144659200000008E-6</v>
      </c>
      <c r="P104" s="42">
        <f>-P103*Assumptions!$O$58</f>
        <v>-5.9144659200000008E-6</v>
      </c>
      <c r="Q104" s="42">
        <f>-Q103*Assumptions!$O$58</f>
        <v>-6.505912512000002E-6</v>
      </c>
      <c r="R104" s="42">
        <f>-R103*Assumptions!$O$58</f>
        <v>-6.505912512000002E-6</v>
      </c>
      <c r="S104" s="42">
        <f>-S103*Assumptions!$O$58</f>
        <v>-6.505912512000002E-6</v>
      </c>
      <c r="T104" s="42">
        <f>-T103*Assumptions!$O$58</f>
        <v>-6.505912512000002E-6</v>
      </c>
      <c r="U104" s="42">
        <f>-U103*Assumptions!$O$58</f>
        <v>-6.505912512000002E-6</v>
      </c>
      <c r="V104" s="42">
        <f>-V103*Assumptions!$O$58</f>
        <v>-7.1565037632000025E-6</v>
      </c>
      <c r="W104" s="42">
        <f>-W103*Assumptions!$O$58</f>
        <v>-7.1565037632000025E-6</v>
      </c>
      <c r="X104" s="42">
        <f>-X103*Assumptions!$O$58</f>
        <v>-7.1565037632000025E-6</v>
      </c>
      <c r="Y104" s="42">
        <f>-Y103*Assumptions!$O$58</f>
        <v>-7.1565037632000025E-6</v>
      </c>
      <c r="Z104" s="42">
        <f>-Z103*Assumptions!$O$58</f>
        <v>-7.1565037632000025E-6</v>
      </c>
    </row>
    <row r="105" spans="2:26">
      <c r="B105" s="33" t="s">
        <v>244</v>
      </c>
      <c r="C105" s="33"/>
      <c r="D105" s="40"/>
      <c r="E105" s="40"/>
      <c r="F105" s="151">
        <f ca="1">+F110*Assumptions!$O$91</f>
        <v>0</v>
      </c>
      <c r="G105" s="151">
        <f ca="1">+G110*Assumptions!$O$91</f>
        <v>0</v>
      </c>
      <c r="H105" s="151">
        <f ca="1">+H110*Assumptions!$O$91</f>
        <v>0</v>
      </c>
      <c r="I105" s="151">
        <f ca="1">+I110*Assumptions!$O$91</f>
        <v>6.7826570881687015E-6</v>
      </c>
      <c r="J105" s="151">
        <f ca="1">+J110*Assumptions!$O$91</f>
        <v>1.3795530993424402E-5</v>
      </c>
      <c r="K105" s="151">
        <f ca="1">+K110*Assumptions!$O$91</f>
        <v>1.4032654315024012E-5</v>
      </c>
      <c r="L105" s="151">
        <f ca="1">+L110*Assumptions!$O$91</f>
        <v>1.427689133627161E-5</v>
      </c>
      <c r="M105" s="151">
        <f ca="1">+M110*Assumptions!$O$91</f>
        <v>1.4528455468156636E-5</v>
      </c>
      <c r="N105" s="151">
        <f ca="1">+N110*Assumptions!$O$91</f>
        <v>1.4787566523998216E-5</v>
      </c>
      <c r="O105" s="151">
        <f ca="1">+O110*Assumptions!$O$91</f>
        <v>1.5054450911515039E-5</v>
      </c>
      <c r="P105" s="151">
        <f ca="1">+P110*Assumptions!$O$91</f>
        <v>1.5329341830657369E-5</v>
      </c>
      <c r="Q105" s="151">
        <f ca="1">+Q110*Assumptions!$O$91</f>
        <v>1.5612479477373968E-5</v>
      </c>
      <c r="R105" s="151">
        <f ca="1">+R110*Assumptions!$O$91</f>
        <v>1.5904111253492064E-5</v>
      </c>
      <c r="S105" s="151">
        <f ca="1">+S110*Assumptions!$O$91</f>
        <v>1.6204491982893704E-5</v>
      </c>
      <c r="T105" s="151">
        <f ca="1">+T110*Assumptions!$O$91</f>
        <v>1.6513884134177396E-5</v>
      </c>
      <c r="U105" s="151">
        <f ca="1">+U110*Assumptions!$O$91</f>
        <v>1.6832558049999596E-5</v>
      </c>
      <c r="V105" s="151">
        <f ca="1">+V110*Assumptions!$O$91</f>
        <v>1.7160792183296461E-5</v>
      </c>
      <c r="W105" s="151">
        <f ca="1">+W110*Assumptions!$O$91</f>
        <v>1.7498873340592235E-5</v>
      </c>
      <c r="X105" s="151">
        <f ca="1">+X110*Assumptions!$O$91</f>
        <v>1.784709693260688E-5</v>
      </c>
      <c r="Y105" s="151">
        <f ca="1">+Y110*Assumptions!$O$91</f>
        <v>1.8205767232381965E-5</v>
      </c>
      <c r="Z105" s="151">
        <f ca="1">+Z110*Assumptions!$O$91</f>
        <v>1.8575197641150303E-5</v>
      </c>
    </row>
    <row r="106" spans="2:26">
      <c r="B106" s="137" t="s">
        <v>238</v>
      </c>
      <c r="C106" s="137"/>
      <c r="D106" s="137"/>
      <c r="E106" s="137"/>
      <c r="F106" s="129">
        <f t="shared" ref="F106:Z106" ca="1" si="75">+SUM(F103:F105)</f>
        <v>0</v>
      </c>
      <c r="G106" s="129">
        <f t="shared" ca="1" si="75"/>
        <v>0</v>
      </c>
      <c r="H106" s="129">
        <f t="shared" ca="1" si="75"/>
        <v>0</v>
      </c>
      <c r="I106" s="129">
        <f t="shared" ca="1" si="75"/>
        <v>2.3861863488168701E-5</v>
      </c>
      <c r="J106" s="129">
        <f t="shared" ca="1" si="75"/>
        <v>4.7953943793424401E-5</v>
      </c>
      <c r="K106" s="129">
        <f t="shared" ca="1" si="75"/>
        <v>4.8191067115024015E-5</v>
      </c>
      <c r="L106" s="129">
        <f t="shared" ca="1" si="75"/>
        <v>5.185114541627161E-5</v>
      </c>
      <c r="M106" s="129">
        <f t="shared" ca="1" si="75"/>
        <v>5.2102709548156636E-5</v>
      </c>
      <c r="N106" s="129">
        <f t="shared" ca="1" si="75"/>
        <v>5.2361820603998221E-5</v>
      </c>
      <c r="O106" s="129">
        <f t="shared" ca="1" si="75"/>
        <v>5.2628704991515041E-5</v>
      </c>
      <c r="P106" s="129">
        <f t="shared" ca="1" si="75"/>
        <v>5.2903595910657372E-5</v>
      </c>
      <c r="Q106" s="129">
        <f t="shared" ca="1" si="75"/>
        <v>5.6944158965373975E-5</v>
      </c>
      <c r="R106" s="129">
        <f t="shared" ca="1" si="75"/>
        <v>5.7235790741492071E-5</v>
      </c>
      <c r="S106" s="129">
        <f t="shared" ca="1" si="75"/>
        <v>5.753617147089371E-5</v>
      </c>
      <c r="T106" s="129">
        <f t="shared" ca="1" si="75"/>
        <v>5.7845563622177398E-5</v>
      </c>
      <c r="U106" s="129">
        <f t="shared" ca="1" si="75"/>
        <v>5.8164237537999599E-5</v>
      </c>
      <c r="V106" s="129">
        <f t="shared" ca="1" si="75"/>
        <v>6.2625639620096475E-5</v>
      </c>
      <c r="W106" s="129">
        <f t="shared" ca="1" si="75"/>
        <v>6.2963720777392253E-5</v>
      </c>
      <c r="X106" s="129">
        <f t="shared" ca="1" si="75"/>
        <v>6.3311944369406897E-5</v>
      </c>
      <c r="Y106" s="129">
        <f t="shared" ca="1" si="75"/>
        <v>6.3670614669181973E-5</v>
      </c>
      <c r="Z106" s="129">
        <f t="shared" ca="1" si="75"/>
        <v>6.4040045077950314E-5</v>
      </c>
    </row>
    <row r="108" spans="2:26">
      <c r="B108" s="33" t="s">
        <v>371</v>
      </c>
      <c r="F108" s="34">
        <f>+F97*Assumptions!$O$123*'Phase II Pro Forma'!F101</f>
        <v>0</v>
      </c>
      <c r="G108" s="34">
        <f>+G97*Assumptions!$O$123*'Phase II Pro Forma'!G101</f>
        <v>0</v>
      </c>
      <c r="H108" s="34">
        <f>+H97*Assumptions!$O$123*'Phase II Pro Forma'!H101</f>
        <v>0</v>
      </c>
      <c r="I108" s="34">
        <f>+I97*Assumptions!$O$123*'Phase II Pro Forma'!I101</f>
        <v>4.2632743905000001E-6</v>
      </c>
      <c r="J108" s="34">
        <f>+J97*Assumptions!$O$123*'Phase II Pro Forma'!J101</f>
        <v>8.7823452444300005E-6</v>
      </c>
      <c r="K108" s="34">
        <f>+K97*Assumptions!$O$123*'Phase II Pro Forma'!K101</f>
        <v>9.0458156017629006E-6</v>
      </c>
      <c r="L108" s="34">
        <f>+L97*Assumptions!$O$123*'Phase II Pro Forma'!L101</f>
        <v>9.3171900698157882E-6</v>
      </c>
      <c r="M108" s="34">
        <f>+M97*Assumptions!$O$123*'Phase II Pro Forma'!M101</f>
        <v>9.5967057719102621E-6</v>
      </c>
      <c r="N108" s="34">
        <f>+N97*Assumptions!$O$123*'Phase II Pro Forma'!N101</f>
        <v>9.8846069450675698E-6</v>
      </c>
      <c r="O108" s="34">
        <f>+O97*Assumptions!$O$123*'Phase II Pro Forma'!O101</f>
        <v>1.0181145153419598E-5</v>
      </c>
      <c r="P108" s="34">
        <f>+P97*Assumptions!$O$123*'Phase II Pro Forma'!P101</f>
        <v>1.0486579508022186E-5</v>
      </c>
      <c r="Q108" s="34">
        <f>+Q97*Assumptions!$O$123*'Phase II Pro Forma'!Q101</f>
        <v>1.080117689326285E-5</v>
      </c>
      <c r="R108" s="34">
        <f>+R97*Assumptions!$O$123*'Phase II Pro Forma'!R101</f>
        <v>1.1125212200060737E-5</v>
      </c>
      <c r="S108" s="34">
        <f>+S97*Assumptions!$O$123*'Phase II Pro Forma'!S101</f>
        <v>1.145896856606256E-5</v>
      </c>
      <c r="T108" s="34">
        <f>+T97*Assumptions!$O$123*'Phase II Pro Forma'!T101</f>
        <v>1.1802737623044438E-5</v>
      </c>
      <c r="U108" s="34">
        <f>+U97*Assumptions!$O$123*'Phase II Pro Forma'!U101</f>
        <v>1.2156819751735771E-5</v>
      </c>
      <c r="V108" s="34">
        <f>+V97*Assumptions!$O$123*'Phase II Pro Forma'!V101</f>
        <v>1.2521524344287845E-5</v>
      </c>
      <c r="W108" s="34">
        <f>+W97*Assumptions!$O$123*'Phase II Pro Forma'!W101</f>
        <v>1.2897170074616481E-5</v>
      </c>
      <c r="X108" s="34">
        <f>+X97*Assumptions!$O$123*'Phase II Pro Forma'!X101</f>
        <v>1.3284085176854975E-5</v>
      </c>
      <c r="Y108" s="34">
        <f>+Y97*Assumptions!$O$123*'Phase II Pro Forma'!Y101</f>
        <v>1.3682607732160625E-5</v>
      </c>
      <c r="Z108" s="34">
        <f>+Z97*Assumptions!$O$123*'Phase II Pro Forma'!Z101</f>
        <v>1.4093085964125445E-5</v>
      </c>
    </row>
    <row r="109" spans="2:26">
      <c r="B109" s="33" t="s">
        <v>308</v>
      </c>
      <c r="F109" s="151">
        <f ca="1">+IFERROR(IFERROR(INDEX('Taxes and TIF'!$AC$11:$AC$45,MATCH('Phase II Pro Forma'!F$7,'Taxes and TIF'!$R$11:$R$45,0)),0)*'Loan Sizing'!$K$19*F98,0)</f>
        <v>0</v>
      </c>
      <c r="G109" s="151">
        <f ca="1">+IFERROR(IFERROR(INDEX('Taxes and TIF'!$AC$11:$AC$45,MATCH('Phase II Pro Forma'!G$7,'Taxes and TIF'!$R$11:$R$45,0)),0)*'Loan Sizing'!$K$19*G98,0)</f>
        <v>0</v>
      </c>
      <c r="H109" s="151">
        <f ca="1">+IFERROR(IFERROR(INDEX('Taxes and TIF'!$AC$11:$AC$45,MATCH('Phase II Pro Forma'!H$7,'Taxes and TIF'!$R$11:$R$45,0)),0)*'Loan Sizing'!$K$19*H98,0)</f>
        <v>0</v>
      </c>
      <c r="I109" s="151">
        <f ca="1">+IFERROR(IFERROR(INDEX('Taxes and TIF'!$AC$11:$AC$45,MATCH('Phase II Pro Forma'!I$7,'Taxes and TIF'!$R$11:$R$45,0)),0)*'Loan Sizing'!$K$19*I98,0)</f>
        <v>3.2730112630207757E-6</v>
      </c>
      <c r="J109" s="151">
        <f ca="1">+IFERROR(IFERROR(INDEX('Taxes and TIF'!$AC$11:$AC$45,MATCH('Phase II Pro Forma'!J$7,'Taxes and TIF'!$R$11:$R$45,0)),0)*'Loan Sizing'!$K$19*J98,0)</f>
        <v>6.5460225260415515E-6</v>
      </c>
      <c r="K109" s="151">
        <f ca="1">+IFERROR(IFERROR(INDEX('Taxes and TIF'!$AC$11:$AC$45,MATCH('Phase II Pro Forma'!K$7,'Taxes and TIF'!$R$11:$R$45,0)),0)*'Loan Sizing'!$K$19*K98,0)</f>
        <v>6.5460225260415515E-6</v>
      </c>
      <c r="L109" s="151">
        <f ca="1">+IFERROR(IFERROR(INDEX('Taxes and TIF'!$AC$11:$AC$45,MATCH('Phase II Pro Forma'!L$7,'Taxes and TIF'!$R$11:$R$45,0)),0)*'Loan Sizing'!$K$19*L98,0)</f>
        <v>6.5460225260415515E-6</v>
      </c>
      <c r="M109" s="151">
        <f ca="1">+IFERROR(IFERROR(INDEX('Taxes and TIF'!$AC$11:$AC$45,MATCH('Phase II Pro Forma'!M$7,'Taxes and TIF'!$R$11:$R$45,0)),0)*'Loan Sizing'!$K$19*M98,0)</f>
        <v>6.5460225260415515E-6</v>
      </c>
      <c r="N109" s="151">
        <f ca="1">+IFERROR(IFERROR(INDEX('Taxes and TIF'!$AC$11:$AC$45,MATCH('Phase II Pro Forma'!N$7,'Taxes and TIF'!$R$11:$R$45,0)),0)*'Loan Sizing'!$K$19*N98,0)</f>
        <v>6.5460225260415515E-6</v>
      </c>
      <c r="O109" s="151">
        <f ca="1">+IFERROR(IFERROR(INDEX('Taxes and TIF'!$AC$11:$AC$45,MATCH('Phase II Pro Forma'!O$7,'Taxes and TIF'!$R$11:$R$45,0)),0)*'Loan Sizing'!$K$19*O98,0)</f>
        <v>6.5460225260415515E-6</v>
      </c>
      <c r="P109" s="151">
        <f ca="1">+IFERROR(IFERROR(INDEX('Taxes and TIF'!$AC$11:$AC$45,MATCH('Phase II Pro Forma'!P$7,'Taxes and TIF'!$R$11:$R$45,0)),0)*'Loan Sizing'!$K$19*P98,0)</f>
        <v>6.5460225260415515E-6</v>
      </c>
      <c r="Q109" s="151">
        <f ca="1">+IFERROR(IFERROR(INDEX('Taxes and TIF'!$AC$11:$AC$45,MATCH('Phase II Pro Forma'!Q$7,'Taxes and TIF'!$R$11:$R$45,0)),0)*'Loan Sizing'!$K$19*Q98,0)</f>
        <v>6.5460225260415515E-6</v>
      </c>
      <c r="R109" s="151">
        <f ca="1">+IFERROR(IFERROR(INDEX('Taxes and TIF'!$AC$11:$AC$45,MATCH('Phase II Pro Forma'!R$7,'Taxes and TIF'!$R$11:$R$45,0)),0)*'Loan Sizing'!$K$19*R98,0)</f>
        <v>6.5460225260415515E-6</v>
      </c>
      <c r="S109" s="151">
        <f ca="1">+IFERROR(IFERROR(INDEX('Taxes and TIF'!$AC$11:$AC$45,MATCH('Phase II Pro Forma'!S$7,'Taxes and TIF'!$R$11:$R$45,0)),0)*'Loan Sizing'!$K$19*S98,0)</f>
        <v>6.5460225260415515E-6</v>
      </c>
      <c r="T109" s="151">
        <f ca="1">+IFERROR(IFERROR(INDEX('Taxes and TIF'!$AC$11:$AC$45,MATCH('Phase II Pro Forma'!T$7,'Taxes and TIF'!$R$11:$R$45,0)),0)*'Loan Sizing'!$K$19*T98,0)</f>
        <v>6.5460225260415515E-6</v>
      </c>
      <c r="U109" s="151">
        <f ca="1">+IFERROR(IFERROR(INDEX('Taxes and TIF'!$AC$11:$AC$45,MATCH('Phase II Pro Forma'!U$7,'Taxes and TIF'!$R$11:$R$45,0)),0)*'Loan Sizing'!$K$19*U98,0)</f>
        <v>6.5460225260415515E-6</v>
      </c>
      <c r="V109" s="151">
        <f ca="1">+IFERROR(IFERROR(INDEX('Taxes and TIF'!$AC$11:$AC$45,MATCH('Phase II Pro Forma'!V$7,'Taxes and TIF'!$R$11:$R$45,0)),0)*'Loan Sizing'!$K$19*V98,0)</f>
        <v>6.5460225260415515E-6</v>
      </c>
      <c r="W109" s="151">
        <f ca="1">+IFERROR(IFERROR(INDEX('Taxes and TIF'!$AC$11:$AC$45,MATCH('Phase II Pro Forma'!W$7,'Taxes and TIF'!$R$11:$R$45,0)),0)*'Loan Sizing'!$K$19*W98,0)</f>
        <v>6.5460225260415515E-6</v>
      </c>
      <c r="X109" s="151">
        <f ca="1">+IFERROR(IFERROR(INDEX('Taxes and TIF'!$AC$11:$AC$45,MATCH('Phase II Pro Forma'!X$7,'Taxes and TIF'!$R$11:$R$45,0)),0)*'Loan Sizing'!$K$19*X98,0)</f>
        <v>6.5460225260415515E-6</v>
      </c>
      <c r="Y109" s="151">
        <f ca="1">+IFERROR(IFERROR(INDEX('Taxes and TIF'!$AC$11:$AC$45,MATCH('Phase II Pro Forma'!Y$7,'Taxes and TIF'!$R$11:$R$45,0)),0)*'Loan Sizing'!$K$19*Y98,0)</f>
        <v>6.5460225260415515E-6</v>
      </c>
      <c r="Z109" s="151">
        <f ca="1">+IFERROR(IFERROR(INDEX('Taxes and TIF'!$AC$11:$AC$45,MATCH('Phase II Pro Forma'!Z$7,'Taxes and TIF'!$R$11:$R$45,0)),0)*'Loan Sizing'!$K$19*Z98,0)</f>
        <v>6.5460225260415515E-6</v>
      </c>
    </row>
    <row r="110" spans="2:26">
      <c r="B110" s="137" t="s">
        <v>234</v>
      </c>
      <c r="C110" s="137"/>
      <c r="D110" s="137"/>
      <c r="E110" s="137"/>
      <c r="F110" s="129">
        <f ca="1">+SUM(F108:F109)</f>
        <v>0</v>
      </c>
      <c r="G110" s="129">
        <f t="shared" ref="G110" ca="1" si="76">+SUM(G108:G109)</f>
        <v>0</v>
      </c>
      <c r="H110" s="129">
        <f t="shared" ref="H110:Z110" ca="1" si="77">+SUM(H108:H109)</f>
        <v>0</v>
      </c>
      <c r="I110" s="129">
        <f t="shared" ca="1" si="77"/>
        <v>7.5362856535207759E-6</v>
      </c>
      <c r="J110" s="129">
        <f t="shared" ca="1" si="77"/>
        <v>1.5328367770471554E-5</v>
      </c>
      <c r="K110" s="129">
        <f t="shared" ca="1" si="77"/>
        <v>1.559183812780445E-5</v>
      </c>
      <c r="L110" s="129">
        <f t="shared" ca="1" si="77"/>
        <v>1.5863212595857341E-5</v>
      </c>
      <c r="M110" s="129">
        <f t="shared" ca="1" si="77"/>
        <v>1.6142728297951815E-5</v>
      </c>
      <c r="N110" s="129">
        <f t="shared" ca="1" si="77"/>
        <v>1.6430629471109121E-5</v>
      </c>
      <c r="O110" s="129">
        <f t="shared" ca="1" si="77"/>
        <v>1.6727167679461147E-5</v>
      </c>
      <c r="P110" s="129">
        <f t="shared" ca="1" si="77"/>
        <v>1.7032602034063737E-5</v>
      </c>
      <c r="Q110" s="129">
        <f t="shared" ca="1" si="77"/>
        <v>1.7347199419304402E-5</v>
      </c>
      <c r="R110" s="129">
        <f t="shared" ca="1" si="77"/>
        <v>1.7671234726102288E-5</v>
      </c>
      <c r="S110" s="129">
        <f t="shared" ca="1" si="77"/>
        <v>1.800499109210411E-5</v>
      </c>
      <c r="T110" s="129">
        <f t="shared" ca="1" si="77"/>
        <v>1.8348760149085991E-5</v>
      </c>
      <c r="U110" s="129">
        <f t="shared" ca="1" si="77"/>
        <v>1.8702842277777321E-5</v>
      </c>
      <c r="V110" s="129">
        <f t="shared" ca="1" si="77"/>
        <v>1.9067546870329395E-5</v>
      </c>
      <c r="W110" s="129">
        <f t="shared" ca="1" si="77"/>
        <v>1.9443192600658034E-5</v>
      </c>
      <c r="X110" s="129">
        <f t="shared" ca="1" si="77"/>
        <v>1.9830107702896526E-5</v>
      </c>
      <c r="Y110" s="129">
        <f t="shared" ca="1" si="77"/>
        <v>2.0228630258202178E-5</v>
      </c>
      <c r="Z110" s="129">
        <f t="shared" ca="1" si="77"/>
        <v>2.0639108490166995E-5</v>
      </c>
    </row>
    <row r="111" spans="2:26">
      <c r="B111" s="33"/>
    </row>
    <row r="112" spans="2:26" ht="15.5">
      <c r="B112" s="138" t="s">
        <v>233</v>
      </c>
      <c r="C112" s="138"/>
      <c r="D112" s="138"/>
      <c r="E112" s="138"/>
      <c r="F112" s="139">
        <f ca="1">+F106-F110</f>
        <v>0</v>
      </c>
      <c r="G112" s="139">
        <f t="shared" ref="G112:Z112" ca="1" si="78">+G106-G110</f>
        <v>0</v>
      </c>
      <c r="H112" s="139">
        <f t="shared" ca="1" si="78"/>
        <v>0</v>
      </c>
      <c r="I112" s="139">
        <f t="shared" ca="1" si="78"/>
        <v>1.6325577834647925E-5</v>
      </c>
      <c r="J112" s="139">
        <f t="shared" ca="1" si="78"/>
        <v>3.2625576022952847E-5</v>
      </c>
      <c r="K112" s="139">
        <f t="shared" ca="1" si="78"/>
        <v>3.2599228987219564E-5</v>
      </c>
      <c r="L112" s="139">
        <f t="shared" ca="1" si="78"/>
        <v>3.5987932820414268E-5</v>
      </c>
      <c r="M112" s="139">
        <f t="shared" ca="1" si="78"/>
        <v>3.5959981250204821E-5</v>
      </c>
      <c r="N112" s="139">
        <f t="shared" ca="1" si="78"/>
        <v>3.5931191132889103E-5</v>
      </c>
      <c r="O112" s="139">
        <f t="shared" ca="1" si="78"/>
        <v>3.5901537312053893E-5</v>
      </c>
      <c r="P112" s="139">
        <f t="shared" ca="1" si="78"/>
        <v>3.5870993876593635E-5</v>
      </c>
      <c r="Q112" s="139">
        <f t="shared" ca="1" si="78"/>
        <v>3.9596959546069573E-5</v>
      </c>
      <c r="R112" s="139">
        <f t="shared" ca="1" si="78"/>
        <v>3.9564556015389779E-5</v>
      </c>
      <c r="S112" s="139">
        <f t="shared" ca="1" si="78"/>
        <v>3.9531180378789601E-5</v>
      </c>
      <c r="T112" s="139">
        <f t="shared" ca="1" si="78"/>
        <v>3.9496803473091407E-5</v>
      </c>
      <c r="U112" s="139">
        <f t="shared" ca="1" si="78"/>
        <v>3.9461395260222278E-5</v>
      </c>
      <c r="V112" s="139">
        <f t="shared" ca="1" si="78"/>
        <v>4.355809274976708E-5</v>
      </c>
      <c r="W112" s="139">
        <f t="shared" ca="1" si="78"/>
        <v>4.3520528176734218E-5</v>
      </c>
      <c r="X112" s="139">
        <f t="shared" ca="1" si="78"/>
        <v>4.3481836666510371E-5</v>
      </c>
      <c r="Y112" s="139">
        <f t="shared" ca="1" si="78"/>
        <v>4.3441984410979794E-5</v>
      </c>
      <c r="Z112" s="139">
        <f t="shared" ca="1" si="78"/>
        <v>4.340093658778332E-5</v>
      </c>
    </row>
    <row r="113" spans="2:26" ht="15.5">
      <c r="B113" s="143" t="s">
        <v>239</v>
      </c>
      <c r="C113" s="141"/>
      <c r="D113" s="141"/>
      <c r="E113" s="141"/>
      <c r="F113" s="144" t="str">
        <f ca="1">+IFERROR(F112/F106,"")</f>
        <v/>
      </c>
      <c r="G113" s="144" t="str">
        <f t="shared" ref="G113:Z113" ca="1" si="79">+IFERROR(G112/G106,"")</f>
        <v/>
      </c>
      <c r="H113" s="144" t="str">
        <f t="shared" ca="1" si="79"/>
        <v/>
      </c>
      <c r="I113" s="145">
        <f t="shared" ca="1" si="79"/>
        <v>0.68417028044530337</v>
      </c>
      <c r="J113" s="145">
        <f t="shared" ca="1" si="79"/>
        <v>0.68035230143941927</v>
      </c>
      <c r="K113" s="145">
        <f t="shared" ca="1" si="79"/>
        <v>0.67645791925318144</v>
      </c>
      <c r="L113" s="145">
        <f t="shared" ca="1" si="79"/>
        <v>0.69406244609440693</v>
      </c>
      <c r="M113" s="145">
        <f t="shared" ca="1" si="79"/>
        <v>0.69017487885094186</v>
      </c>
      <c r="N113" s="145">
        <f t="shared" ca="1" si="79"/>
        <v>0.68620973675895225</v>
      </c>
      <c r="O113" s="145">
        <f t="shared" ca="1" si="79"/>
        <v>0.68216645873847837</v>
      </c>
      <c r="P113" s="145">
        <f t="shared" ca="1" si="79"/>
        <v>0.67804453098371453</v>
      </c>
      <c r="Q113" s="145">
        <f t="shared" ca="1" si="79"/>
        <v>0.69536472687474915</v>
      </c>
      <c r="R113" s="145">
        <f t="shared" ca="1" si="79"/>
        <v>0.69125551517379769</v>
      </c>
      <c r="S113" s="145">
        <f t="shared" ca="1" si="79"/>
        <v>0.68706657687134365</v>
      </c>
      <c r="T113" s="145">
        <f t="shared" ca="1" si="79"/>
        <v>0.68279745238662926</v>
      </c>
      <c r="U113" s="145">
        <f t="shared" ca="1" si="79"/>
        <v>0.67844773576618345</v>
      </c>
      <c r="V113" s="145">
        <f t="shared" ca="1" si="79"/>
        <v>0.69553130337672997</v>
      </c>
      <c r="W113" s="145">
        <f t="shared" ca="1" si="79"/>
        <v>0.69120006949082169</v>
      </c>
      <c r="X113" s="145">
        <f t="shared" ca="1" si="79"/>
        <v>0.68678725791149964</v>
      </c>
      <c r="Y113" s="145">
        <f t="shared" ca="1" si="79"/>
        <v>0.68229252437241983</v>
      </c>
      <c r="Z113" s="145">
        <f t="shared" ca="1" si="79"/>
        <v>0.67771558459952952</v>
      </c>
    </row>
    <row r="114" spans="2:26" ht="15.5">
      <c r="B114" s="143" t="s">
        <v>179</v>
      </c>
      <c r="C114" s="141"/>
      <c r="D114" s="141"/>
      <c r="E114" s="141"/>
      <c r="F114" s="142">
        <f ca="1">+F112/Assumptions!$O$133</f>
        <v>0</v>
      </c>
      <c r="G114" s="142">
        <f ca="1">+G112/Assumptions!$O$133</f>
        <v>0</v>
      </c>
      <c r="H114" s="142">
        <f ca="1">+H112/Assumptions!$O$133</f>
        <v>0</v>
      </c>
      <c r="I114" s="142">
        <f ca="1">+I112/Assumptions!$O$133</f>
        <v>2.5116273591766039E-4</v>
      </c>
      <c r="J114" s="142">
        <f ca="1">+J112/Assumptions!$O$133</f>
        <v>5.0193193881465921E-4</v>
      </c>
      <c r="K114" s="142">
        <f ca="1">+K112/Assumptions!$O$133</f>
        <v>5.0152659980337794E-4</v>
      </c>
      <c r="L114" s="142">
        <f ca="1">+L112/Assumptions!$O$133</f>
        <v>5.5366050492945023E-4</v>
      </c>
      <c r="M114" s="142">
        <f ca="1">+M112/Assumptions!$O$133</f>
        <v>5.532304807723818E-4</v>
      </c>
      <c r="N114" s="142">
        <f ca="1">+N112/Assumptions!$O$133</f>
        <v>5.5278755589060157E-4</v>
      </c>
      <c r="O114" s="142">
        <f ca="1">+O112/Assumptions!$O$133</f>
        <v>5.5233134326236762E-4</v>
      </c>
      <c r="P114" s="142">
        <f ca="1">+P112/Assumptions!$O$133</f>
        <v>5.518614442552867E-4</v>
      </c>
      <c r="Q114" s="142">
        <f ca="1">+Q112/Assumptions!$O$133</f>
        <v>6.0918399301645499E-4</v>
      </c>
      <c r="R114" s="142">
        <f ca="1">+R112/Assumptions!$O$133</f>
        <v>6.0868547715984276E-4</v>
      </c>
      <c r="S114" s="142">
        <f ca="1">+S112/Assumptions!$O$133</f>
        <v>6.0817200582753228E-4</v>
      </c>
      <c r="T114" s="142">
        <f ca="1">+T112/Assumptions!$O$133</f>
        <v>6.0764313035525236E-4</v>
      </c>
      <c r="U114" s="142">
        <f ca="1">+U112/Assumptions!$O$133</f>
        <v>6.0709838861880427E-4</v>
      </c>
      <c r="V114" s="142">
        <f ca="1">+V112/Assumptions!$O$133</f>
        <v>6.7012450384257044E-4</v>
      </c>
      <c r="W114" s="142">
        <f ca="1">+W112/Assumptions!$O$133</f>
        <v>6.6954658733437257E-4</v>
      </c>
      <c r="X114" s="142">
        <f ca="1">+X112/Assumptions!$O$133</f>
        <v>6.6895133333092882E-4</v>
      </c>
      <c r="Y114" s="142">
        <f ca="1">+Y112/Assumptions!$O$133</f>
        <v>6.6833822170738139E-4</v>
      </c>
      <c r="Z114" s="142">
        <f ca="1">+Z112/Assumptions!$O$133</f>
        <v>6.6770671673512796E-4</v>
      </c>
    </row>
    <row r="116" spans="2:26" ht="15.5">
      <c r="B116" s="148" t="s">
        <v>212</v>
      </c>
      <c r="C116" s="149"/>
      <c r="D116" s="149"/>
      <c r="E116" s="149"/>
      <c r="F116" s="150">
        <f>+Assumptions!$G$22</f>
        <v>45291</v>
      </c>
      <c r="G116" s="150">
        <f>+EOMONTH(F116,12)</f>
        <v>45657</v>
      </c>
      <c r="H116" s="150">
        <f t="shared" ref="H116:Z116" si="80">+EOMONTH(G116,12)</f>
        <v>46022</v>
      </c>
      <c r="I116" s="150">
        <f t="shared" si="80"/>
        <v>46387</v>
      </c>
      <c r="J116" s="150">
        <f t="shared" si="80"/>
        <v>46752</v>
      </c>
      <c r="K116" s="150">
        <f t="shared" si="80"/>
        <v>47118</v>
      </c>
      <c r="L116" s="150">
        <f t="shared" si="80"/>
        <v>47483</v>
      </c>
      <c r="M116" s="150">
        <f t="shared" si="80"/>
        <v>47848</v>
      </c>
      <c r="N116" s="150">
        <f t="shared" si="80"/>
        <v>48213</v>
      </c>
      <c r="O116" s="150">
        <f t="shared" si="80"/>
        <v>48579</v>
      </c>
      <c r="P116" s="150">
        <f t="shared" si="80"/>
        <v>48944</v>
      </c>
      <c r="Q116" s="150">
        <f t="shared" si="80"/>
        <v>49309</v>
      </c>
      <c r="R116" s="150">
        <f t="shared" si="80"/>
        <v>49674</v>
      </c>
      <c r="S116" s="150">
        <f t="shared" si="80"/>
        <v>50040</v>
      </c>
      <c r="T116" s="150">
        <f t="shared" si="80"/>
        <v>50405</v>
      </c>
      <c r="U116" s="150">
        <f t="shared" si="80"/>
        <v>50770</v>
      </c>
      <c r="V116" s="150">
        <f t="shared" si="80"/>
        <v>51135</v>
      </c>
      <c r="W116" s="150">
        <f t="shared" si="80"/>
        <v>51501</v>
      </c>
      <c r="X116" s="150">
        <f t="shared" si="80"/>
        <v>51866</v>
      </c>
      <c r="Y116" s="150">
        <f t="shared" si="80"/>
        <v>52231</v>
      </c>
      <c r="Z116" s="150">
        <f t="shared" si="80"/>
        <v>52596</v>
      </c>
    </row>
    <row r="117" spans="2:26">
      <c r="B117" s="33" t="s">
        <v>690</v>
      </c>
      <c r="C117" s="33"/>
      <c r="D117" s="40"/>
      <c r="E117" s="40"/>
      <c r="F117" s="42">
        <f>+IF(AND(F116&gt;=Assumptions!$G$26,F116&lt;Assumptions!$G$28),SUM(Assumptions!$G$204:$G$205)/ROUNDUP((Assumptions!$G$27/12),0),0)</f>
        <v>0</v>
      </c>
      <c r="G117" s="42">
        <f>+IF(AND(G116&gt;=Assumptions!$G$26,G116&lt;Assumptions!$G$28),SUM(Assumptions!$G$204:$G$205)/ROUNDUP((Assumptions!$G$27/12),0),0)</f>
        <v>0</v>
      </c>
      <c r="H117" s="42">
        <f>+IF(AND(H116&gt;=Assumptions!$G$26,H116&lt;Assumptions!$G$28),SUM(Assumptions!$G$204:$G$205)/ROUNDUP((Assumptions!$G$27/12),0),0)</f>
        <v>0</v>
      </c>
      <c r="I117" s="42">
        <f>+IF(AND(I116&gt;=Assumptions!$G$26,I116&lt;Assumptions!$G$28),SUM(Assumptions!$G$204:$G$205)/ROUNDUP((Assumptions!$G$27/12),0),0)</f>
        <v>1.4999999999999999E-4</v>
      </c>
      <c r="J117" s="42">
        <f>+IF(AND(J116&gt;=Assumptions!$G$26,J116&lt;Assumptions!$G$28),SUM(Assumptions!$G$204:$G$205)/ROUNDUP((Assumptions!$G$27/12),0),0)</f>
        <v>1.4999999999999999E-4</v>
      </c>
      <c r="K117" s="42">
        <f>+IF(AND(K116&gt;=Assumptions!$G$26,K116&lt;Assumptions!$G$28),SUM(Assumptions!$G$204:$G$205)/ROUNDUP((Assumptions!$G$27/12),0),0)</f>
        <v>0</v>
      </c>
      <c r="L117" s="42">
        <f>+IF(AND(L116&gt;=Assumptions!$G$26,L116&lt;Assumptions!$G$28),SUM(Assumptions!$G$204:$G$205)/ROUNDUP((Assumptions!$G$27/12),0),0)</f>
        <v>0</v>
      </c>
      <c r="M117" s="42">
        <f>+IF(AND(M116&gt;=Assumptions!$G$26,M116&lt;Assumptions!$G$28),SUM(Assumptions!$G$204:$G$205)/ROUNDUP((Assumptions!$G$27/12),0),0)</f>
        <v>0</v>
      </c>
      <c r="N117" s="42">
        <f>+IF(AND(N116&gt;=Assumptions!$G$26,N116&lt;Assumptions!$G$28),SUM(Assumptions!$G$204:$G$205)/ROUNDUP((Assumptions!$G$27/12),0),0)</f>
        <v>0</v>
      </c>
      <c r="O117" s="42">
        <f>+IF(AND(O116&gt;=Assumptions!$G$26,O116&lt;Assumptions!$G$28),SUM(Assumptions!$G$204:$G$205)/ROUNDUP((Assumptions!$G$27/12),0),0)</f>
        <v>0</v>
      </c>
      <c r="P117" s="42">
        <f>+IF(AND(P116&gt;=Assumptions!$G$26,P116&lt;Assumptions!$G$28),SUM(Assumptions!$G$204:$G$205)/ROUNDUP((Assumptions!$G$27/12),0),0)</f>
        <v>0</v>
      </c>
      <c r="Q117" s="42">
        <f>+IF(AND(Q116&gt;=Assumptions!$G$26,Q116&lt;Assumptions!$G$28),SUM(Assumptions!$G$204:$G$205)/ROUNDUP((Assumptions!$G$27/12),0),0)</f>
        <v>0</v>
      </c>
      <c r="R117" s="42">
        <f>+IF(AND(R116&gt;=Assumptions!$G$26,R116&lt;Assumptions!$G$28),SUM(Assumptions!$G$204:$G$205)/ROUNDUP((Assumptions!$G$27/12),0),0)</f>
        <v>0</v>
      </c>
      <c r="S117" s="42">
        <f>+IF(AND(S116&gt;=Assumptions!$G$26,S116&lt;Assumptions!$G$28),SUM(Assumptions!$G$204:$G$205)/ROUNDUP((Assumptions!$G$27/12),0),0)</f>
        <v>0</v>
      </c>
      <c r="T117" s="42">
        <f>+IF(AND(T116&gt;=Assumptions!$G$26,T116&lt;Assumptions!$G$28),SUM(Assumptions!$G$204:$G$205)/ROUNDUP((Assumptions!$G$27/12),0),0)</f>
        <v>0</v>
      </c>
      <c r="U117" s="42">
        <f>+IF(AND(U116&gt;=Assumptions!$G$26,U116&lt;Assumptions!$G$28),SUM(Assumptions!$G$204:$G$205)/ROUNDUP((Assumptions!$G$27/12),0),0)</f>
        <v>0</v>
      </c>
      <c r="V117" s="42">
        <f>+IF(AND(V116&gt;=Assumptions!$G$26,V116&lt;Assumptions!$G$28),SUM(Assumptions!$G$204:$G$205)/ROUNDUP((Assumptions!$G$27/12),0),0)</f>
        <v>0</v>
      </c>
      <c r="W117" s="42">
        <f>+IF(AND(W116&gt;=Assumptions!$G$26,W116&lt;Assumptions!$G$28),SUM(Assumptions!$G$204:$G$205)/ROUNDUP((Assumptions!$G$27/12),0),0)</f>
        <v>0</v>
      </c>
      <c r="X117" s="42">
        <f>+IF(AND(X116&gt;=Assumptions!$G$26,X116&lt;Assumptions!$G$28),SUM(Assumptions!$G$204:$G$205)/ROUNDUP((Assumptions!$G$27/12),0),0)</f>
        <v>0</v>
      </c>
      <c r="Y117" s="42">
        <f>+IF(AND(Y116&gt;=Assumptions!$G$26,Y116&lt;Assumptions!$G$28),SUM(Assumptions!$G$204:$G$205)/ROUNDUP((Assumptions!$G$27/12),0),0)</f>
        <v>0</v>
      </c>
      <c r="Z117" s="42">
        <f>+IF(AND(Z116&gt;=Assumptions!$G$26,Z116&lt;Assumptions!$G$28),SUM(Assumptions!$G$204:$G$205)/ROUNDUP((Assumptions!$G$27/12),0),0)</f>
        <v>0</v>
      </c>
    </row>
    <row r="118" spans="2:26">
      <c r="B118" s="33" t="s">
        <v>466</v>
      </c>
      <c r="C118" s="33"/>
      <c r="D118" s="42"/>
      <c r="E118" s="42"/>
      <c r="F118" s="42">
        <f>+F119-E119</f>
        <v>0</v>
      </c>
      <c r="G118" s="42">
        <f t="shared" ref="G118:Z118" si="81">+G119-F119</f>
        <v>0</v>
      </c>
      <c r="H118" s="42">
        <f t="shared" si="81"/>
        <v>0</v>
      </c>
      <c r="I118" s="42">
        <f t="shared" si="81"/>
        <v>4.9999999999999998E-7</v>
      </c>
      <c r="J118" s="42">
        <f t="shared" si="81"/>
        <v>4.9999999999999998E-7</v>
      </c>
      <c r="K118" s="42">
        <f t="shared" si="81"/>
        <v>0</v>
      </c>
      <c r="L118" s="42">
        <f t="shared" si="81"/>
        <v>0</v>
      </c>
      <c r="M118" s="42">
        <f t="shared" si="81"/>
        <v>0</v>
      </c>
      <c r="N118" s="42">
        <f t="shared" si="81"/>
        <v>0</v>
      </c>
      <c r="O118" s="42">
        <f t="shared" si="81"/>
        <v>0</v>
      </c>
      <c r="P118" s="42">
        <f t="shared" si="81"/>
        <v>0</v>
      </c>
      <c r="Q118" s="42">
        <f t="shared" si="81"/>
        <v>0</v>
      </c>
      <c r="R118" s="42">
        <f t="shared" si="81"/>
        <v>0</v>
      </c>
      <c r="S118" s="42">
        <f t="shared" si="81"/>
        <v>0</v>
      </c>
      <c r="T118" s="42">
        <f t="shared" si="81"/>
        <v>0</v>
      </c>
      <c r="U118" s="42">
        <f t="shared" si="81"/>
        <v>0</v>
      </c>
      <c r="V118" s="42">
        <f t="shared" si="81"/>
        <v>0</v>
      </c>
      <c r="W118" s="42">
        <f t="shared" si="81"/>
        <v>0</v>
      </c>
      <c r="X118" s="42">
        <f t="shared" si="81"/>
        <v>0</v>
      </c>
      <c r="Y118" s="42">
        <f t="shared" si="81"/>
        <v>0</v>
      </c>
      <c r="Z118" s="42">
        <f t="shared" si="81"/>
        <v>0</v>
      </c>
    </row>
    <row r="119" spans="2:26">
      <c r="B119" s="33" t="s">
        <v>232</v>
      </c>
      <c r="C119" s="33"/>
      <c r="D119" s="40"/>
      <c r="E119" s="40"/>
      <c r="F119" s="42">
        <f>+F121*SUM(Assumptions!$O$49:$O$50)</f>
        <v>0</v>
      </c>
      <c r="G119" s="42">
        <f>+G121*SUM(Assumptions!$O$49:$O$50)</f>
        <v>0</v>
      </c>
      <c r="H119" s="42">
        <f>+H121*SUM(Assumptions!$O$49:$O$50)</f>
        <v>0</v>
      </c>
      <c r="I119" s="42">
        <f>+I121*SUM(Assumptions!$O$49:$O$50)</f>
        <v>4.9999999999999998E-7</v>
      </c>
      <c r="J119" s="42">
        <f>+J121*SUM(Assumptions!$O$49:$O$50)</f>
        <v>9.9999999999999995E-7</v>
      </c>
      <c r="K119" s="42">
        <f>+K121*SUM(Assumptions!$O$49:$O$50)</f>
        <v>9.9999999999999995E-7</v>
      </c>
      <c r="L119" s="42">
        <f>+L121*SUM(Assumptions!$O$49:$O$50)</f>
        <v>9.9999999999999995E-7</v>
      </c>
      <c r="M119" s="42">
        <f>+M121*SUM(Assumptions!$O$49:$O$50)</f>
        <v>9.9999999999999995E-7</v>
      </c>
      <c r="N119" s="42">
        <f>+N121*SUM(Assumptions!$O$49:$O$50)</f>
        <v>9.9999999999999995E-7</v>
      </c>
      <c r="O119" s="42">
        <f>+O121*SUM(Assumptions!$O$49:$O$50)</f>
        <v>9.9999999999999995E-7</v>
      </c>
      <c r="P119" s="42">
        <f>+P121*SUM(Assumptions!$O$49:$O$50)</f>
        <v>9.9999999999999995E-7</v>
      </c>
      <c r="Q119" s="42">
        <f>+Q121*SUM(Assumptions!$O$49:$O$50)</f>
        <v>9.9999999999999995E-7</v>
      </c>
      <c r="R119" s="42">
        <f>+R121*SUM(Assumptions!$O$49:$O$50)</f>
        <v>9.9999999999999995E-7</v>
      </c>
      <c r="S119" s="42">
        <f>+S121*SUM(Assumptions!$O$49:$O$50)</f>
        <v>9.9999999999999995E-7</v>
      </c>
      <c r="T119" s="42">
        <f>+T121*SUM(Assumptions!$O$49:$O$50)</f>
        <v>9.9999999999999995E-7</v>
      </c>
      <c r="U119" s="42">
        <f>+U121*SUM(Assumptions!$O$49:$O$50)</f>
        <v>9.9999999999999995E-7</v>
      </c>
      <c r="V119" s="42">
        <f>+V121*SUM(Assumptions!$O$49:$O$50)</f>
        <v>9.9999999999999995E-7</v>
      </c>
      <c r="W119" s="42">
        <f>+W121*SUM(Assumptions!$O$49:$O$50)</f>
        <v>9.9999999999999995E-7</v>
      </c>
      <c r="X119" s="42">
        <f>+X121*SUM(Assumptions!$O$49:$O$50)</f>
        <v>9.9999999999999995E-7</v>
      </c>
      <c r="Y119" s="42">
        <f>+Y121*SUM(Assumptions!$O$49:$O$50)</f>
        <v>9.9999999999999995E-7</v>
      </c>
      <c r="Z119" s="42">
        <f>+Z121*SUM(Assumptions!$O$49:$O$50)</f>
        <v>9.9999999999999995E-7</v>
      </c>
    </row>
    <row r="120" spans="2:26">
      <c r="B120" s="33" t="s">
        <v>231</v>
      </c>
      <c r="C120" s="33"/>
      <c r="D120" s="42">
        <v>0</v>
      </c>
      <c r="E120" s="42"/>
      <c r="F120" s="42">
        <f>+D120+F117</f>
        <v>0</v>
      </c>
      <c r="G120" s="42">
        <f t="shared" ref="G120:Z120" si="82">+F120+G117</f>
        <v>0</v>
      </c>
      <c r="H120" s="42">
        <f t="shared" si="82"/>
        <v>0</v>
      </c>
      <c r="I120" s="42">
        <f t="shared" si="82"/>
        <v>1.4999999999999999E-4</v>
      </c>
      <c r="J120" s="42">
        <f t="shared" si="82"/>
        <v>2.9999999999999997E-4</v>
      </c>
      <c r="K120" s="42">
        <f t="shared" si="82"/>
        <v>2.9999999999999997E-4</v>
      </c>
      <c r="L120" s="42">
        <f t="shared" si="82"/>
        <v>2.9999999999999997E-4</v>
      </c>
      <c r="M120" s="42">
        <f t="shared" si="82"/>
        <v>2.9999999999999997E-4</v>
      </c>
      <c r="N120" s="42">
        <f t="shared" si="82"/>
        <v>2.9999999999999997E-4</v>
      </c>
      <c r="O120" s="42">
        <f t="shared" si="82"/>
        <v>2.9999999999999997E-4</v>
      </c>
      <c r="P120" s="42">
        <f t="shared" si="82"/>
        <v>2.9999999999999997E-4</v>
      </c>
      <c r="Q120" s="42">
        <f t="shared" si="82"/>
        <v>2.9999999999999997E-4</v>
      </c>
      <c r="R120" s="42">
        <f t="shared" si="82"/>
        <v>2.9999999999999997E-4</v>
      </c>
      <c r="S120" s="42">
        <f t="shared" si="82"/>
        <v>2.9999999999999997E-4</v>
      </c>
      <c r="T120" s="42">
        <f t="shared" si="82"/>
        <v>2.9999999999999997E-4</v>
      </c>
      <c r="U120" s="42">
        <f t="shared" si="82"/>
        <v>2.9999999999999997E-4</v>
      </c>
      <c r="V120" s="42">
        <f t="shared" si="82"/>
        <v>2.9999999999999997E-4</v>
      </c>
      <c r="W120" s="42">
        <f t="shared" si="82"/>
        <v>2.9999999999999997E-4</v>
      </c>
      <c r="X120" s="42">
        <f t="shared" si="82"/>
        <v>2.9999999999999997E-4</v>
      </c>
      <c r="Y120" s="42">
        <f t="shared" si="82"/>
        <v>2.9999999999999997E-4</v>
      </c>
      <c r="Z120" s="42">
        <f t="shared" si="82"/>
        <v>2.9999999999999997E-4</v>
      </c>
    </row>
    <row r="121" spans="2:26">
      <c r="B121" s="33" t="s">
        <v>285</v>
      </c>
      <c r="C121" s="33"/>
      <c r="D121" s="42"/>
      <c r="E121" s="42"/>
      <c r="F121" s="108">
        <f t="shared" ref="F121:Z121" si="83">+F120/SUM($F117:$Z117)</f>
        <v>0</v>
      </c>
      <c r="G121" s="108">
        <f t="shared" si="83"/>
        <v>0</v>
      </c>
      <c r="H121" s="108">
        <f t="shared" si="83"/>
        <v>0</v>
      </c>
      <c r="I121" s="108">
        <f t="shared" si="83"/>
        <v>0.5</v>
      </c>
      <c r="J121" s="108">
        <f t="shared" si="83"/>
        <v>1</v>
      </c>
      <c r="K121" s="108">
        <f t="shared" si="83"/>
        <v>1</v>
      </c>
      <c r="L121" s="108">
        <f t="shared" si="83"/>
        <v>1</v>
      </c>
      <c r="M121" s="108">
        <f t="shared" si="83"/>
        <v>1</v>
      </c>
      <c r="N121" s="108">
        <f t="shared" si="83"/>
        <v>1</v>
      </c>
      <c r="O121" s="108">
        <f t="shared" si="83"/>
        <v>1</v>
      </c>
      <c r="P121" s="108">
        <f t="shared" si="83"/>
        <v>1</v>
      </c>
      <c r="Q121" s="108">
        <f t="shared" si="83"/>
        <v>1</v>
      </c>
      <c r="R121" s="108">
        <f t="shared" si="83"/>
        <v>1</v>
      </c>
      <c r="S121" s="108">
        <f t="shared" si="83"/>
        <v>1</v>
      </c>
      <c r="T121" s="108">
        <f t="shared" si="83"/>
        <v>1</v>
      </c>
      <c r="U121" s="108">
        <f t="shared" si="83"/>
        <v>1</v>
      </c>
      <c r="V121" s="108">
        <f t="shared" si="83"/>
        <v>1</v>
      </c>
      <c r="W121" s="108">
        <f t="shared" si="83"/>
        <v>1</v>
      </c>
      <c r="X121" s="108">
        <f t="shared" si="83"/>
        <v>1</v>
      </c>
      <c r="Y121" s="108">
        <f t="shared" si="83"/>
        <v>1</v>
      </c>
      <c r="Z121" s="108">
        <f t="shared" si="83"/>
        <v>1</v>
      </c>
    </row>
    <row r="122" spans="2:26">
      <c r="B122" s="33"/>
      <c r="C122" s="33"/>
      <c r="D122" s="40"/>
      <c r="E122" s="40"/>
      <c r="F122" s="34"/>
      <c r="G122" s="34"/>
      <c r="H122" s="34"/>
      <c r="I122" s="34"/>
      <c r="J122" s="34"/>
      <c r="K122" s="34"/>
      <c r="L122" s="34"/>
      <c r="M122" s="34"/>
      <c r="N122" s="34"/>
      <c r="O122" s="34"/>
      <c r="P122" s="34"/>
      <c r="Q122" s="34"/>
      <c r="R122" s="34"/>
      <c r="S122" s="34"/>
      <c r="T122" s="34"/>
      <c r="U122" s="34"/>
      <c r="V122" s="34"/>
      <c r="W122" s="34"/>
      <c r="X122" s="34"/>
      <c r="Y122" s="34"/>
      <c r="Z122" s="34"/>
    </row>
    <row r="123" spans="2:26">
      <c r="B123" s="33" t="s">
        <v>236</v>
      </c>
      <c r="C123" s="33"/>
      <c r="D123" s="42"/>
      <c r="E123" s="42"/>
      <c r="F123" s="108">
        <v>1</v>
      </c>
      <c r="G123" s="108">
        <f>+F123*(1+Assumptions!$O$74)</f>
        <v>1.02</v>
      </c>
      <c r="H123" s="108">
        <f>+G123*(1+Assumptions!$O$74)</f>
        <v>1.0404</v>
      </c>
      <c r="I123" s="108">
        <f>+H123*(1+Assumptions!$O$74)</f>
        <v>1.0612079999999999</v>
      </c>
      <c r="J123" s="108">
        <f>+I123*(1+Assumptions!$O$74)</f>
        <v>1.08243216</v>
      </c>
      <c r="K123" s="108">
        <f>+J123*(1+Assumptions!$O$74)</f>
        <v>1.1040808032</v>
      </c>
      <c r="L123" s="108">
        <f>+K123*(1+Assumptions!$O$74)</f>
        <v>1.1261624192640001</v>
      </c>
      <c r="M123" s="108">
        <f>+L123*(1+Assumptions!$O$74)</f>
        <v>1.14868566764928</v>
      </c>
      <c r="N123" s="108">
        <f>+M123*(1+Assumptions!$O$74)</f>
        <v>1.1716593810022657</v>
      </c>
      <c r="O123" s="108">
        <f>+N123*(1+Assumptions!$O$74)</f>
        <v>1.1950925686223111</v>
      </c>
      <c r="P123" s="108">
        <f>+O123*(1+Assumptions!$O$74)</f>
        <v>1.2189944199947573</v>
      </c>
      <c r="Q123" s="108">
        <f>+P123*(1+Assumptions!$O$74)</f>
        <v>1.2433743083946525</v>
      </c>
      <c r="R123" s="108">
        <f>+Q123*(1+Assumptions!$O$74)</f>
        <v>1.2682417945625455</v>
      </c>
      <c r="S123" s="108">
        <f>+R123*(1+Assumptions!$O$74)</f>
        <v>1.2936066304537963</v>
      </c>
      <c r="T123" s="108">
        <f>+S123*(1+Assumptions!$O$74)</f>
        <v>1.3194787630628724</v>
      </c>
      <c r="U123" s="108">
        <f>+T123*(1+Assumptions!$O$74)</f>
        <v>1.3458683383241299</v>
      </c>
      <c r="V123" s="108">
        <f>+U123*(1+Assumptions!$O$74)</f>
        <v>1.3727857050906125</v>
      </c>
      <c r="W123" s="108">
        <f>+V123*(1+Assumptions!$O$74)</f>
        <v>1.4002414191924248</v>
      </c>
      <c r="X123" s="108">
        <f>+W123*(1+Assumptions!$O$74)</f>
        <v>1.4282462475762734</v>
      </c>
      <c r="Y123" s="108">
        <f>+X123*(1+Assumptions!$O$74)</f>
        <v>1.4568111725277988</v>
      </c>
      <c r="Z123" s="108">
        <f>+Y123*(1+Assumptions!$O$74)</f>
        <v>1.4859473959783549</v>
      </c>
    </row>
    <row r="124" spans="2:26">
      <c r="B124" s="33" t="s">
        <v>237</v>
      </c>
      <c r="C124" s="33"/>
      <c r="D124" s="42"/>
      <c r="E124" s="42"/>
      <c r="F124" s="108">
        <v>1</v>
      </c>
      <c r="G124" s="108">
        <f>+F124*(1+Assumptions!$O$82)</f>
        <v>1.03</v>
      </c>
      <c r="H124" s="108">
        <f>+G124*(1+Assumptions!$O$82)</f>
        <v>1.0609</v>
      </c>
      <c r="I124" s="108">
        <f>+H124*(1+Assumptions!$O$82)</f>
        <v>1.092727</v>
      </c>
      <c r="J124" s="108">
        <f>+I124*(1+Assumptions!$O$82)</f>
        <v>1.1255088100000001</v>
      </c>
      <c r="K124" s="108">
        <f>+J124*(1+Assumptions!$O$82)</f>
        <v>1.1592740743000001</v>
      </c>
      <c r="L124" s="108">
        <f>+K124*(1+Assumptions!$O$82)</f>
        <v>1.1940522965290001</v>
      </c>
      <c r="M124" s="108">
        <f>+L124*(1+Assumptions!$O$82)</f>
        <v>1.2298738654248702</v>
      </c>
      <c r="N124" s="108">
        <f>+M124*(1+Assumptions!$O$82)</f>
        <v>1.2667700813876164</v>
      </c>
      <c r="O124" s="108">
        <f>+N124*(1+Assumptions!$O$82)</f>
        <v>1.3047731838292449</v>
      </c>
      <c r="P124" s="108">
        <f>+O124*(1+Assumptions!$O$82)</f>
        <v>1.3439163793441222</v>
      </c>
      <c r="Q124" s="108">
        <f>+P124*(1+Assumptions!$O$82)</f>
        <v>1.3842338707244459</v>
      </c>
      <c r="R124" s="108">
        <f>+Q124*(1+Assumptions!$O$82)</f>
        <v>1.4257608868461793</v>
      </c>
      <c r="S124" s="108">
        <f>+R124*(1+Assumptions!$O$82)</f>
        <v>1.4685337134515648</v>
      </c>
      <c r="T124" s="108">
        <f>+S124*(1+Assumptions!$O$82)</f>
        <v>1.5125897248551119</v>
      </c>
      <c r="U124" s="108">
        <f>+T124*(1+Assumptions!$O$82)</f>
        <v>1.5579674166007653</v>
      </c>
      <c r="V124" s="108">
        <f>+U124*(1+Assumptions!$O$82)</f>
        <v>1.6047064390987884</v>
      </c>
      <c r="W124" s="108">
        <f>+V124*(1+Assumptions!$O$82)</f>
        <v>1.652847632271752</v>
      </c>
      <c r="X124" s="108">
        <f>+W124*(1+Assumptions!$O$82)</f>
        <v>1.7024330612399046</v>
      </c>
      <c r="Y124" s="108">
        <f>+X124*(1+Assumptions!$O$82)</f>
        <v>1.7535060530771018</v>
      </c>
      <c r="Z124" s="108">
        <f>+Y124*(1+Assumptions!$O$82)</f>
        <v>1.806111234669415</v>
      </c>
    </row>
    <row r="125" spans="2:26">
      <c r="B125" s="33"/>
      <c r="C125" s="33"/>
      <c r="D125" s="40"/>
      <c r="E125" s="40"/>
      <c r="F125" s="34"/>
      <c r="G125" s="34"/>
      <c r="H125" s="34"/>
      <c r="I125" s="34"/>
      <c r="J125" s="34"/>
      <c r="K125" s="34"/>
      <c r="L125" s="34"/>
      <c r="M125" s="34"/>
      <c r="N125" s="34"/>
      <c r="O125" s="34"/>
      <c r="P125" s="34"/>
      <c r="Q125" s="34"/>
      <c r="R125" s="34"/>
      <c r="S125" s="34"/>
      <c r="T125" s="34"/>
      <c r="U125" s="34"/>
      <c r="V125" s="34"/>
      <c r="W125" s="34"/>
      <c r="X125" s="34"/>
      <c r="Y125" s="34"/>
      <c r="Z125" s="34"/>
    </row>
    <row r="126" spans="2:26">
      <c r="B126" s="33" t="s">
        <v>228</v>
      </c>
      <c r="C126" s="33"/>
      <c r="D126" s="40"/>
      <c r="E126" s="40"/>
      <c r="F126" s="34">
        <f>+F121*Assumptions!$G$203*F123</f>
        <v>0</v>
      </c>
      <c r="G126" s="34">
        <f>+G121*Assumptions!$G$203*G123</f>
        <v>0</v>
      </c>
      <c r="H126" s="34">
        <f>+H121*Assumptions!$G$203*H123</f>
        <v>0</v>
      </c>
      <c r="I126" s="34">
        <f>+I121*Assumptions!$G$203*I123</f>
        <v>6.6244848191999983E-4</v>
      </c>
      <c r="J126" s="34">
        <f>+J121*Assumptions!$G$203*J123</f>
        <v>1.3513949031167998E-3</v>
      </c>
      <c r="K126" s="34">
        <f>+K121*Assumptions!$G$203*K123</f>
        <v>1.3784228011791356E-3</v>
      </c>
      <c r="L126" s="34">
        <f>+L121*Assumptions!$G$203*L123</f>
        <v>1.4059912572027184E-3</v>
      </c>
      <c r="M126" s="34">
        <f>+M121*Assumptions!$G$203*M123</f>
        <v>1.4341110823467729E-3</v>
      </c>
      <c r="N126" s="34">
        <f>+N121*Assumptions!$G$203*N123</f>
        <v>1.4627933039937085E-3</v>
      </c>
      <c r="O126" s="34">
        <f>+O121*Assumptions!$G$203*O123</f>
        <v>1.4920491700735827E-3</v>
      </c>
      <c r="P126" s="34">
        <f>+P121*Assumptions!$G$203*P123</f>
        <v>1.5218901534750542E-3</v>
      </c>
      <c r="Q126" s="34">
        <f>+Q121*Assumptions!$G$203*Q123</f>
        <v>1.5523279565445554E-3</v>
      </c>
      <c r="R126" s="34">
        <f>+R121*Assumptions!$G$203*R123</f>
        <v>1.5833745156754464E-3</v>
      </c>
      <c r="S126" s="34">
        <f>+S121*Assumptions!$G$203*S123</f>
        <v>1.6150420059889553E-3</v>
      </c>
      <c r="T126" s="34">
        <f>+T121*Assumptions!$G$203*T123</f>
        <v>1.6473428461087345E-3</v>
      </c>
      <c r="U126" s="34">
        <f>+U121*Assumptions!$G$203*U123</f>
        <v>1.6802897030309093E-3</v>
      </c>
      <c r="V126" s="34">
        <f>+V121*Assumptions!$G$203*V123</f>
        <v>1.7138954970915274E-3</v>
      </c>
      <c r="W126" s="34">
        <f>+W121*Assumptions!$G$203*W123</f>
        <v>1.7481734070333582E-3</v>
      </c>
      <c r="X126" s="34">
        <f>+X121*Assumptions!$G$203*X123</f>
        <v>1.7831368751740253E-3</v>
      </c>
      <c r="Y126" s="34">
        <f>+Y121*Assumptions!$G$203*Y123</f>
        <v>1.8187996126775058E-3</v>
      </c>
      <c r="Z126" s="34">
        <f>+Z121*Assumptions!$G$203*Z123</f>
        <v>1.8551756049310561E-3</v>
      </c>
    </row>
    <row r="127" spans="2:26">
      <c r="B127" s="33" t="s">
        <v>229</v>
      </c>
      <c r="C127" s="33"/>
      <c r="D127" s="40"/>
      <c r="E127" s="40"/>
      <c r="F127" s="42">
        <f>-F126*Assumptions!$O$60</f>
        <v>0</v>
      </c>
      <c r="G127" s="42">
        <f>-G126*Assumptions!$O$60</f>
        <v>0</v>
      </c>
      <c r="H127" s="42">
        <f>-H126*Assumptions!$O$60</f>
        <v>0</v>
      </c>
      <c r="I127" s="42">
        <f>-I126*Assumptions!$O$60</f>
        <v>-6.6244848191999992E-5</v>
      </c>
      <c r="J127" s="42">
        <f>-J126*Assumptions!$O$60</f>
        <v>-1.3513949031167998E-4</v>
      </c>
      <c r="K127" s="42">
        <f>-K126*Assumptions!$O$60</f>
        <v>-1.3784228011791356E-4</v>
      </c>
      <c r="L127" s="42">
        <f>-L126*Assumptions!$O$60</f>
        <v>-1.4059912572027185E-4</v>
      </c>
      <c r="M127" s="42">
        <f>-M126*Assumptions!$O$60</f>
        <v>-1.434111082346773E-4</v>
      </c>
      <c r="N127" s="42">
        <f>-N126*Assumptions!$O$60</f>
        <v>-1.4627933039937084E-4</v>
      </c>
      <c r="O127" s="42">
        <f>-O126*Assumptions!$O$60</f>
        <v>-1.4920491700735829E-4</v>
      </c>
      <c r="P127" s="42">
        <f>-P126*Assumptions!$O$60</f>
        <v>-1.5218901534750544E-4</v>
      </c>
      <c r="Q127" s="42">
        <f>-Q126*Assumptions!$O$60</f>
        <v>-1.5523279565445556E-4</v>
      </c>
      <c r="R127" s="42">
        <f>-R126*Assumptions!$O$60</f>
        <v>-1.5833745156754465E-4</v>
      </c>
      <c r="S127" s="42">
        <f>-S126*Assumptions!$O$60</f>
        <v>-1.6150420059889554E-4</v>
      </c>
      <c r="T127" s="42">
        <f>-T126*Assumptions!$O$60</f>
        <v>-1.6473428461087346E-4</v>
      </c>
      <c r="U127" s="42">
        <f>-U126*Assumptions!$O$60</f>
        <v>-1.6802897030309094E-4</v>
      </c>
      <c r="V127" s="42">
        <f>-V126*Assumptions!$O$60</f>
        <v>-1.7138954970915274E-4</v>
      </c>
      <c r="W127" s="42">
        <f>-W126*Assumptions!$O$60</f>
        <v>-1.7481734070333584E-4</v>
      </c>
      <c r="X127" s="42">
        <f>-X126*Assumptions!$O$60</f>
        <v>-1.7831368751740253E-4</v>
      </c>
      <c r="Y127" s="42">
        <f>-Y126*Assumptions!$O$60</f>
        <v>-1.8187996126775059E-4</v>
      </c>
      <c r="Z127" s="42">
        <f>-Z126*Assumptions!$O$60</f>
        <v>-1.8551756049310563E-4</v>
      </c>
    </row>
    <row r="128" spans="2:26">
      <c r="B128" s="137" t="s">
        <v>238</v>
      </c>
      <c r="C128" s="137"/>
      <c r="D128" s="137"/>
      <c r="E128" s="137"/>
      <c r="F128" s="129">
        <f t="shared" ref="F128:Z128" si="84">+SUM(F126:F127)</f>
        <v>0</v>
      </c>
      <c r="G128" s="129">
        <f t="shared" si="84"/>
        <v>0</v>
      </c>
      <c r="H128" s="129">
        <f t="shared" si="84"/>
        <v>0</v>
      </c>
      <c r="I128" s="129">
        <f t="shared" si="84"/>
        <v>5.9620363372799988E-4</v>
      </c>
      <c r="J128" s="129">
        <f t="shared" si="84"/>
        <v>1.2162554128051198E-3</v>
      </c>
      <c r="K128" s="129">
        <f t="shared" si="84"/>
        <v>1.2405805210612222E-3</v>
      </c>
      <c r="L128" s="129">
        <f t="shared" si="84"/>
        <v>1.2653921314824466E-3</v>
      </c>
      <c r="M128" s="129">
        <f t="shared" si="84"/>
        <v>1.2906999741120956E-3</v>
      </c>
      <c r="N128" s="129">
        <f t="shared" si="84"/>
        <v>1.3165139735943376E-3</v>
      </c>
      <c r="O128" s="129">
        <f t="shared" si="84"/>
        <v>1.3428442530662244E-3</v>
      </c>
      <c r="P128" s="129">
        <f t="shared" si="84"/>
        <v>1.3697011381275488E-3</v>
      </c>
      <c r="Q128" s="129">
        <f t="shared" si="84"/>
        <v>1.3970951608901E-3</v>
      </c>
      <c r="R128" s="129">
        <f t="shared" si="84"/>
        <v>1.4250370641079018E-3</v>
      </c>
      <c r="S128" s="129">
        <f t="shared" si="84"/>
        <v>1.4535378053900597E-3</v>
      </c>
      <c r="T128" s="129">
        <f t="shared" si="84"/>
        <v>1.4826085614978611E-3</v>
      </c>
      <c r="U128" s="129">
        <f t="shared" si="84"/>
        <v>1.5122607327278184E-3</v>
      </c>
      <c r="V128" s="129">
        <f t="shared" si="84"/>
        <v>1.5425059473823748E-3</v>
      </c>
      <c r="W128" s="129">
        <f t="shared" si="84"/>
        <v>1.5733560663300224E-3</v>
      </c>
      <c r="X128" s="129">
        <f t="shared" si="84"/>
        <v>1.6048231876566229E-3</v>
      </c>
      <c r="Y128" s="129">
        <f t="shared" si="84"/>
        <v>1.6369196514097553E-3</v>
      </c>
      <c r="Z128" s="129">
        <f t="shared" si="84"/>
        <v>1.6696580444379506E-3</v>
      </c>
    </row>
    <row r="130" spans="2:26">
      <c r="B130" s="33" t="s">
        <v>371</v>
      </c>
      <c r="F130" s="34">
        <f>+F119*Assumptions!$O$97*'Phase II Pro Forma'!F124</f>
        <v>0</v>
      </c>
      <c r="G130" s="34">
        <f>+G119*Assumptions!$O$97*'Phase II Pro Forma'!G124</f>
        <v>0</v>
      </c>
      <c r="H130" s="34">
        <f>+H119*Assumptions!$O$97*'Phase II Pro Forma'!H124</f>
        <v>0</v>
      </c>
      <c r="I130" s="34">
        <f>+I119*Assumptions!$O$97*'Phase II Pro Forma'!I124</f>
        <v>2.8421829270000002E-4</v>
      </c>
      <c r="J130" s="34">
        <f>+J119*Assumptions!$O$97*'Phase II Pro Forma'!J124</f>
        <v>5.8548968296200012E-4</v>
      </c>
      <c r="K130" s="34">
        <f>+K119*Assumptions!$O$97*'Phase II Pro Forma'!K124</f>
        <v>6.0305437345086008E-4</v>
      </c>
      <c r="L130" s="34">
        <f>+L119*Assumptions!$O$97*'Phase II Pro Forma'!L124</f>
        <v>6.2114600465438597E-4</v>
      </c>
      <c r="M130" s="34">
        <f>+M119*Assumptions!$O$97*'Phase II Pro Forma'!M124</f>
        <v>6.3978038479401756E-4</v>
      </c>
      <c r="N130" s="34">
        <f>+N119*Assumptions!$O$97*'Phase II Pro Forma'!N124</f>
        <v>6.589737963378381E-4</v>
      </c>
      <c r="O130" s="34">
        <f>+O119*Assumptions!$O$97*'Phase II Pro Forma'!O124</f>
        <v>6.787430102279733E-4</v>
      </c>
      <c r="P130" s="34">
        <f>+P119*Assumptions!$O$97*'Phase II Pro Forma'!P124</f>
        <v>6.9910530053481253E-4</v>
      </c>
      <c r="Q130" s="34">
        <f>+Q119*Assumptions!$O$97*'Phase II Pro Forma'!Q124</f>
        <v>7.2007845955085687E-4</v>
      </c>
      <c r="R130" s="34">
        <f>+R119*Assumptions!$O$97*'Phase II Pro Forma'!R124</f>
        <v>7.4168081333738257E-4</v>
      </c>
      <c r="S130" s="34">
        <f>+S119*Assumptions!$O$97*'Phase II Pro Forma'!S124</f>
        <v>7.6393123773750408E-4</v>
      </c>
      <c r="T130" s="34">
        <f>+T119*Assumptions!$O$97*'Phase II Pro Forma'!T124</f>
        <v>7.8684917486962936E-4</v>
      </c>
      <c r="U130" s="34">
        <f>+U119*Assumptions!$O$97*'Phase II Pro Forma'!U124</f>
        <v>8.1045465011571826E-4</v>
      </c>
      <c r="V130" s="34">
        <f>+V119*Assumptions!$O$97*'Phase II Pro Forma'!V124</f>
        <v>8.347682896191898E-4</v>
      </c>
      <c r="W130" s="34">
        <f>+W119*Assumptions!$O$97*'Phase II Pro Forma'!W124</f>
        <v>8.5981133830776552E-4</v>
      </c>
      <c r="X130" s="34">
        <f>+X119*Assumptions!$O$97*'Phase II Pro Forma'!X124</f>
        <v>8.8560567845699851E-4</v>
      </c>
      <c r="Y130" s="34">
        <f>+Y119*Assumptions!$O$97*'Phase II Pro Forma'!Y124</f>
        <v>9.1217384881070852E-4</v>
      </c>
      <c r="Z130" s="34">
        <f>+Z119*Assumptions!$O$97*'Phase II Pro Forma'!Z124</f>
        <v>9.3953906427502983E-4</v>
      </c>
    </row>
    <row r="131" spans="2:26">
      <c r="B131" s="33" t="s">
        <v>308</v>
      </c>
      <c r="F131" s="151">
        <f ca="1">+IFERROR(IFERROR(INDEX('Taxes and TIF'!$AC$11:$AC$45,MATCH('Phase II Pro Forma'!F$7,'Taxes and TIF'!$R$11:$R$45,0)),0)*'Loan Sizing'!$K$20*F121,0)</f>
        <v>0</v>
      </c>
      <c r="G131" s="151">
        <f ca="1">+IFERROR(IFERROR(INDEX('Taxes and TIF'!$AC$11:$AC$45,MATCH('Phase II Pro Forma'!G$7,'Taxes and TIF'!$R$11:$R$45,0)),0)*'Loan Sizing'!$K$20*G121,0)</f>
        <v>0</v>
      </c>
      <c r="H131" s="151">
        <f ca="1">+IFERROR(IFERROR(INDEX('Taxes and TIF'!$AC$11:$AC$45,MATCH('Phase II Pro Forma'!H$7,'Taxes and TIF'!$R$11:$R$45,0)),0)*'Loan Sizing'!$K$20*H121,0)</f>
        <v>0</v>
      </c>
      <c r="I131" s="151">
        <f ca="1">+IFERROR(IFERROR(INDEX('Taxes and TIF'!$AC$11:$AC$45,MATCH('Phase II Pro Forma'!I$7,'Taxes and TIF'!$R$11:$R$45,0)),0)*'Loan Sizing'!$K$20*I121,0)</f>
        <v>5.330481171878739E-5</v>
      </c>
      <c r="J131" s="151">
        <f ca="1">+IFERROR(IFERROR(INDEX('Taxes and TIF'!$AC$11:$AC$45,MATCH('Phase II Pro Forma'!J$7,'Taxes and TIF'!$R$11:$R$45,0)),0)*'Loan Sizing'!$K$20*J121,0)</f>
        <v>1.0660962343757478E-4</v>
      </c>
      <c r="K131" s="151">
        <f ca="1">+IFERROR(IFERROR(INDEX('Taxes and TIF'!$AC$11:$AC$45,MATCH('Phase II Pro Forma'!K$7,'Taxes and TIF'!$R$11:$R$45,0)),0)*'Loan Sizing'!$K$20*K121,0)</f>
        <v>1.0660962343757478E-4</v>
      </c>
      <c r="L131" s="151">
        <f ca="1">+IFERROR(IFERROR(INDEX('Taxes and TIF'!$AC$11:$AC$45,MATCH('Phase II Pro Forma'!L$7,'Taxes and TIF'!$R$11:$R$45,0)),0)*'Loan Sizing'!$K$20*L121,0)</f>
        <v>1.0660962343757478E-4</v>
      </c>
      <c r="M131" s="151">
        <f ca="1">+IFERROR(IFERROR(INDEX('Taxes and TIF'!$AC$11:$AC$45,MATCH('Phase II Pro Forma'!M$7,'Taxes and TIF'!$R$11:$R$45,0)),0)*'Loan Sizing'!$K$20*M121,0)</f>
        <v>1.0660962343757478E-4</v>
      </c>
      <c r="N131" s="151">
        <f ca="1">+IFERROR(IFERROR(INDEX('Taxes and TIF'!$AC$11:$AC$45,MATCH('Phase II Pro Forma'!N$7,'Taxes and TIF'!$R$11:$R$45,0)),0)*'Loan Sizing'!$K$20*N121,0)</f>
        <v>1.0660962343757478E-4</v>
      </c>
      <c r="O131" s="151">
        <f ca="1">+IFERROR(IFERROR(INDEX('Taxes and TIF'!$AC$11:$AC$45,MATCH('Phase II Pro Forma'!O$7,'Taxes and TIF'!$R$11:$R$45,0)),0)*'Loan Sizing'!$K$20*O121,0)</f>
        <v>1.0660962343757478E-4</v>
      </c>
      <c r="P131" s="151">
        <f ca="1">+IFERROR(IFERROR(INDEX('Taxes and TIF'!$AC$11:$AC$45,MATCH('Phase II Pro Forma'!P$7,'Taxes and TIF'!$R$11:$R$45,0)),0)*'Loan Sizing'!$K$20*P121,0)</f>
        <v>1.0660962343757478E-4</v>
      </c>
      <c r="Q131" s="151">
        <f ca="1">+IFERROR(IFERROR(INDEX('Taxes and TIF'!$AC$11:$AC$45,MATCH('Phase II Pro Forma'!Q$7,'Taxes and TIF'!$R$11:$R$45,0)),0)*'Loan Sizing'!$K$20*Q121,0)</f>
        <v>1.0660962343757478E-4</v>
      </c>
      <c r="R131" s="151">
        <f ca="1">+IFERROR(IFERROR(INDEX('Taxes and TIF'!$AC$11:$AC$45,MATCH('Phase II Pro Forma'!R$7,'Taxes and TIF'!$R$11:$R$45,0)),0)*'Loan Sizing'!$K$20*R121,0)</f>
        <v>1.0660962343757478E-4</v>
      </c>
      <c r="S131" s="151">
        <f ca="1">+IFERROR(IFERROR(INDEX('Taxes and TIF'!$AC$11:$AC$45,MATCH('Phase II Pro Forma'!S$7,'Taxes and TIF'!$R$11:$R$45,0)),0)*'Loan Sizing'!$K$20*S121,0)</f>
        <v>1.0660962343757478E-4</v>
      </c>
      <c r="T131" s="151">
        <f ca="1">+IFERROR(IFERROR(INDEX('Taxes and TIF'!$AC$11:$AC$45,MATCH('Phase II Pro Forma'!T$7,'Taxes and TIF'!$R$11:$R$45,0)),0)*'Loan Sizing'!$K$20*T121,0)</f>
        <v>1.0660962343757478E-4</v>
      </c>
      <c r="U131" s="151">
        <f ca="1">+IFERROR(IFERROR(INDEX('Taxes and TIF'!$AC$11:$AC$45,MATCH('Phase II Pro Forma'!U$7,'Taxes and TIF'!$R$11:$R$45,0)),0)*'Loan Sizing'!$K$20*U121,0)</f>
        <v>1.0660962343757478E-4</v>
      </c>
      <c r="V131" s="151">
        <f ca="1">+IFERROR(IFERROR(INDEX('Taxes and TIF'!$AC$11:$AC$45,MATCH('Phase II Pro Forma'!V$7,'Taxes and TIF'!$R$11:$R$45,0)),0)*'Loan Sizing'!$K$20*V121,0)</f>
        <v>1.0660962343757478E-4</v>
      </c>
      <c r="W131" s="151">
        <f ca="1">+IFERROR(IFERROR(INDEX('Taxes and TIF'!$AC$11:$AC$45,MATCH('Phase II Pro Forma'!W$7,'Taxes and TIF'!$R$11:$R$45,0)),0)*'Loan Sizing'!$K$20*W121,0)</f>
        <v>1.0660962343757478E-4</v>
      </c>
      <c r="X131" s="151">
        <f ca="1">+IFERROR(IFERROR(INDEX('Taxes and TIF'!$AC$11:$AC$45,MATCH('Phase II Pro Forma'!X$7,'Taxes and TIF'!$R$11:$R$45,0)),0)*'Loan Sizing'!$K$20*X121,0)</f>
        <v>1.0660962343757478E-4</v>
      </c>
      <c r="Y131" s="151">
        <f ca="1">+IFERROR(IFERROR(INDEX('Taxes and TIF'!$AC$11:$AC$45,MATCH('Phase II Pro Forma'!Y$7,'Taxes and TIF'!$R$11:$R$45,0)),0)*'Loan Sizing'!$K$20*Y121,0)</f>
        <v>1.0660962343757478E-4</v>
      </c>
      <c r="Z131" s="151">
        <f ca="1">+IFERROR(IFERROR(INDEX('Taxes and TIF'!$AC$11:$AC$45,MATCH('Phase II Pro Forma'!Z$7,'Taxes and TIF'!$R$11:$R$45,0)),0)*'Loan Sizing'!$K$20*Z121,0)</f>
        <v>1.0660962343757478E-4</v>
      </c>
    </row>
    <row r="132" spans="2:26">
      <c r="B132" s="137" t="s">
        <v>234</v>
      </c>
      <c r="C132" s="137"/>
      <c r="D132" s="137"/>
      <c r="E132" s="137"/>
      <c r="F132" s="129">
        <f ca="1">+SUM(F130:F131)</f>
        <v>0</v>
      </c>
      <c r="G132" s="129">
        <f t="shared" ref="G132" ca="1" si="85">+SUM(G130:G131)</f>
        <v>0</v>
      </c>
      <c r="H132" s="129">
        <f t="shared" ref="H132:Z132" ca="1" si="86">+SUM(H130:H131)</f>
        <v>0</v>
      </c>
      <c r="I132" s="129">
        <f t="shared" ca="1" si="86"/>
        <v>3.3752310441878742E-4</v>
      </c>
      <c r="J132" s="129">
        <f t="shared" ca="1" si="86"/>
        <v>6.9209930639957493E-4</v>
      </c>
      <c r="K132" s="129">
        <f t="shared" ca="1" si="86"/>
        <v>7.0966399688843489E-4</v>
      </c>
      <c r="L132" s="129">
        <f t="shared" ca="1" si="86"/>
        <v>7.2775562809196078E-4</v>
      </c>
      <c r="M132" s="129">
        <f t="shared" ca="1" si="86"/>
        <v>7.4639000823159237E-4</v>
      </c>
      <c r="N132" s="129">
        <f t="shared" ca="1" si="86"/>
        <v>7.6558341977541291E-4</v>
      </c>
      <c r="O132" s="129">
        <f t="shared" ca="1" si="86"/>
        <v>7.853526336655481E-4</v>
      </c>
      <c r="P132" s="129">
        <f t="shared" ca="1" si="86"/>
        <v>8.0571492397238733E-4</v>
      </c>
      <c r="Q132" s="129">
        <f t="shared" ca="1" si="86"/>
        <v>8.2668808298843168E-4</v>
      </c>
      <c r="R132" s="129">
        <f t="shared" ca="1" si="86"/>
        <v>8.4829043677495737E-4</v>
      </c>
      <c r="S132" s="129">
        <f t="shared" ca="1" si="86"/>
        <v>8.7054086117507889E-4</v>
      </c>
      <c r="T132" s="129">
        <f t="shared" ca="1" si="86"/>
        <v>8.9345879830720417E-4</v>
      </c>
      <c r="U132" s="129">
        <f t="shared" ca="1" si="86"/>
        <v>9.1706427355329307E-4</v>
      </c>
      <c r="V132" s="129">
        <f t="shared" ca="1" si="86"/>
        <v>9.413779130567646E-4</v>
      </c>
      <c r="W132" s="129">
        <f t="shared" ca="1" si="86"/>
        <v>9.6642096174534033E-4</v>
      </c>
      <c r="X132" s="129">
        <f t="shared" ca="1" si="86"/>
        <v>9.9221530189457321E-4</v>
      </c>
      <c r="Y132" s="129">
        <f t="shared" ca="1" si="86"/>
        <v>1.0187834722482833E-3</v>
      </c>
      <c r="Z132" s="129">
        <f t="shared" ca="1" si="86"/>
        <v>1.0461486877126045E-3</v>
      </c>
    </row>
    <row r="133" spans="2:26">
      <c r="B133" s="33"/>
    </row>
    <row r="134" spans="2:26" ht="15.5">
      <c r="B134" s="138" t="s">
        <v>233</v>
      </c>
      <c r="C134" s="138"/>
      <c r="D134" s="138"/>
      <c r="E134" s="138"/>
      <c r="F134" s="139">
        <f ca="1">+F128-F132</f>
        <v>0</v>
      </c>
      <c r="G134" s="139">
        <f t="shared" ref="G134:Z134" ca="1" si="87">+G128-G132</f>
        <v>0</v>
      </c>
      <c r="H134" s="139">
        <f t="shared" ca="1" si="87"/>
        <v>0</v>
      </c>
      <c r="I134" s="139">
        <f t="shared" ca="1" si="87"/>
        <v>2.5868052930921246E-4</v>
      </c>
      <c r="J134" s="139">
        <f t="shared" ca="1" si="87"/>
        <v>5.2415610640554487E-4</v>
      </c>
      <c r="K134" s="139">
        <f t="shared" ca="1" si="87"/>
        <v>5.309165241727873E-4</v>
      </c>
      <c r="L134" s="139">
        <f t="shared" ca="1" si="87"/>
        <v>5.3763650339048584E-4</v>
      </c>
      <c r="M134" s="139">
        <f t="shared" ca="1" si="87"/>
        <v>5.4430996588050327E-4</v>
      </c>
      <c r="N134" s="139">
        <f t="shared" ca="1" si="87"/>
        <v>5.5093055381892468E-4</v>
      </c>
      <c r="O134" s="139">
        <f t="shared" ca="1" si="87"/>
        <v>5.5749161940067628E-4</v>
      </c>
      <c r="P134" s="139">
        <f t="shared" ca="1" si="87"/>
        <v>5.6398621415516142E-4</v>
      </c>
      <c r="Q134" s="139">
        <f t="shared" ca="1" si="87"/>
        <v>5.7040707790166829E-4</v>
      </c>
      <c r="R134" s="139">
        <f t="shared" ca="1" si="87"/>
        <v>5.7674662733294443E-4</v>
      </c>
      <c r="S134" s="139">
        <f t="shared" ca="1" si="87"/>
        <v>5.8299694421498085E-4</v>
      </c>
      <c r="T134" s="139">
        <f t="shared" ca="1" si="87"/>
        <v>5.8914976319065691E-4</v>
      </c>
      <c r="U134" s="139">
        <f t="shared" ca="1" si="87"/>
        <v>5.9519645917452532E-4</v>
      </c>
      <c r="V134" s="139">
        <f t="shared" ca="1" si="87"/>
        <v>6.0112803432561021E-4</v>
      </c>
      <c r="W134" s="139">
        <f t="shared" ca="1" si="87"/>
        <v>6.0693510458468202E-4</v>
      </c>
      <c r="X134" s="139">
        <f t="shared" ca="1" si="87"/>
        <v>6.1260788576204968E-4</v>
      </c>
      <c r="Y134" s="139">
        <f t="shared" ca="1" si="87"/>
        <v>6.1813617916147193E-4</v>
      </c>
      <c r="Z134" s="139">
        <f t="shared" ca="1" si="87"/>
        <v>6.2350935672534605E-4</v>
      </c>
    </row>
    <row r="135" spans="2:26" ht="15.5">
      <c r="B135" s="143" t="s">
        <v>239</v>
      </c>
      <c r="C135" s="141"/>
      <c r="D135" s="141"/>
      <c r="E135" s="141"/>
      <c r="F135" s="144" t="str">
        <f ca="1">+IFERROR(F134/F128,"")</f>
        <v/>
      </c>
      <c r="G135" s="144" t="str">
        <f t="shared" ref="G135:Z135" ca="1" si="88">+IFERROR(G134/G128,"")</f>
        <v/>
      </c>
      <c r="H135" s="144" t="str">
        <f t="shared" ca="1" si="88"/>
        <v/>
      </c>
      <c r="I135" s="145">
        <f t="shared" ca="1" si="88"/>
        <v>0.43387949129345249</v>
      </c>
      <c r="J135" s="145">
        <f t="shared" ca="1" si="88"/>
        <v>0.43095890952431898</v>
      </c>
      <c r="K135" s="145">
        <f t="shared" ca="1" si="88"/>
        <v>0.42795813343790745</v>
      </c>
      <c r="L135" s="145">
        <f t="shared" ca="1" si="88"/>
        <v>0.42487738781861067</v>
      </c>
      <c r="M135" s="145">
        <f t="shared" ca="1" si="88"/>
        <v>0.42171687983099831</v>
      </c>
      <c r="N135" s="145">
        <f t="shared" ca="1" si="88"/>
        <v>0.41847679923577097</v>
      </c>
      <c r="O135" s="145">
        <f t="shared" ca="1" si="88"/>
        <v>0.41515731860021055</v>
      </c>
      <c r="P135" s="145">
        <f t="shared" ca="1" si="88"/>
        <v>0.41175859350322169</v>
      </c>
      <c r="Q135" s="145">
        <f t="shared" ca="1" si="88"/>
        <v>0.40828076273505781</v>
      </c>
      <c r="R135" s="145">
        <f t="shared" ca="1" si="88"/>
        <v>0.40472394849182253</v>
      </c>
      <c r="S135" s="145">
        <f t="shared" ca="1" si="88"/>
        <v>0.40108825656483871</v>
      </c>
      <c r="T135" s="145">
        <f t="shared" ca="1" si="88"/>
        <v>0.39737377652496908</v>
      </c>
      <c r="U135" s="145">
        <f t="shared" ca="1" si="88"/>
        <v>0.39358058190197731</v>
      </c>
      <c r="V135" s="145">
        <f t="shared" ca="1" si="88"/>
        <v>0.38970873035901199</v>
      </c>
      <c r="W135" s="145">
        <f t="shared" ca="1" si="88"/>
        <v>0.38575826386229672</v>
      </c>
      <c r="X135" s="145">
        <f t="shared" ca="1" si="88"/>
        <v>0.38172920884610673</v>
      </c>
      <c r="Y135" s="145">
        <f t="shared" ca="1" si="88"/>
        <v>0.37762157637310906</v>
      </c>
      <c r="Z135" s="145">
        <f t="shared" ca="1" si="88"/>
        <v>0.37343536229014795</v>
      </c>
    </row>
    <row r="136" spans="2:26" ht="15.5">
      <c r="B136" s="143" t="s">
        <v>179</v>
      </c>
      <c r="C136" s="141"/>
      <c r="D136" s="141"/>
      <c r="E136" s="141"/>
      <c r="F136" s="142">
        <f ca="1">+F134/Assumptions!$O$135</f>
        <v>0</v>
      </c>
      <c r="G136" s="142">
        <f ca="1">+G134/Assumptions!$O$135</f>
        <v>0</v>
      </c>
      <c r="H136" s="142">
        <f ca="1">+H134/Assumptions!$O$135</f>
        <v>0</v>
      </c>
      <c r="I136" s="142">
        <f ca="1">+I134/Assumptions!$O$135</f>
        <v>3.6954361329887492E-3</v>
      </c>
      <c r="J136" s="142">
        <f ca="1">+J134/Assumptions!$O$135</f>
        <v>7.4879443772220685E-3</v>
      </c>
      <c r="K136" s="142">
        <f ca="1">+K134/Assumptions!$O$135</f>
        <v>7.5845217738969607E-3</v>
      </c>
      <c r="L136" s="142">
        <f ca="1">+L134/Assumptions!$O$135</f>
        <v>7.6805214770069401E-3</v>
      </c>
      <c r="M136" s="142">
        <f ca="1">+M134/Assumptions!$O$135</f>
        <v>7.7758566554357606E-3</v>
      </c>
      <c r="N136" s="142">
        <f ca="1">+N134/Assumptions!$O$135</f>
        <v>7.8704364831274944E-3</v>
      </c>
      <c r="O136" s="142">
        <f ca="1">+O134/Assumptions!$O$135</f>
        <v>7.9641659914382323E-3</v>
      </c>
      <c r="P136" s="142">
        <f ca="1">+P134/Assumptions!$O$135</f>
        <v>8.0569459165023057E-3</v>
      </c>
      <c r="Q136" s="142">
        <f ca="1">+Q134/Assumptions!$O$135</f>
        <v>8.1486725414524029E-3</v>
      </c>
      <c r="R136" s="142">
        <f ca="1">+R134/Assumptions!$O$135</f>
        <v>8.239237533327776E-3</v>
      </c>
      <c r="S136" s="142">
        <f ca="1">+S134/Assumptions!$O$135</f>
        <v>8.3285277744997253E-3</v>
      </c>
      <c r="T136" s="142">
        <f ca="1">+T134/Assumptions!$O$135</f>
        <v>8.4164251884379544E-3</v>
      </c>
      <c r="U136" s="142">
        <f ca="1">+U134/Assumptions!$O$135</f>
        <v>8.5028065596360752E-3</v>
      </c>
      <c r="V136" s="142">
        <f ca="1">+V134/Assumptions!$O$135</f>
        <v>8.5875433475087158E-3</v>
      </c>
      <c r="W136" s="142">
        <f ca="1">+W134/Assumptions!$O$135</f>
        <v>8.6705014940668852E-3</v>
      </c>
      <c r="X136" s="142">
        <f ca="1">+X134/Assumptions!$O$135</f>
        <v>8.7515412251721377E-3</v>
      </c>
      <c r="Y136" s="142">
        <f ca="1">+Y134/Assumptions!$O$135</f>
        <v>8.8305168451638834E-3</v>
      </c>
      <c r="Z136" s="142">
        <f ca="1">+Z134/Assumptions!$O$135</f>
        <v>8.9072765246477996E-3</v>
      </c>
    </row>
    <row r="138" spans="2:26" ht="15.5">
      <c r="B138" s="138" t="s">
        <v>699</v>
      </c>
      <c r="C138" s="138"/>
      <c r="D138" s="138"/>
      <c r="E138" s="138"/>
      <c r="F138" s="139">
        <f ca="1">+F134+F112+F91+F70+F49+F26</f>
        <v>0</v>
      </c>
      <c r="G138" s="139">
        <f t="shared" ref="G138:Z138" ca="1" si="89">+G134+G112+G91+G70+G49+G26</f>
        <v>0</v>
      </c>
      <c r="H138" s="139">
        <f t="shared" ca="1" si="89"/>
        <v>0</v>
      </c>
      <c r="I138" s="139">
        <f ca="1">+I134+I112+I91+I70+I49+I26</f>
        <v>4967587.6240572277</v>
      </c>
      <c r="J138" s="139">
        <f t="shared" ca="1" si="89"/>
        <v>9935175.2554793134</v>
      </c>
      <c r="K138" s="139">
        <f t="shared" ca="1" si="89"/>
        <v>9935175.2630360331</v>
      </c>
      <c r="L138" s="139">
        <f t="shared" ca="1" si="89"/>
        <v>10431934.02079788</v>
      </c>
      <c r="M138" s="139">
        <f t="shared" ca="1" si="89"/>
        <v>10431934.028753996</v>
      </c>
      <c r="N138" s="139">
        <f t="shared" ca="1" si="89"/>
        <v>10431934.036917932</v>
      </c>
      <c r="O138" s="139">
        <f t="shared" ca="1" si="89"/>
        <v>10431934.045295304</v>
      </c>
      <c r="P138" s="139">
        <f t="shared" ca="1" si="89"/>
        <v>10431934.053891888</v>
      </c>
      <c r="Q138" s="139">
        <f t="shared" ca="1" si="89"/>
        <v>10953530.750222515</v>
      </c>
      <c r="R138" s="139">
        <f t="shared" ca="1" si="89"/>
        <v>10953530.759275492</v>
      </c>
      <c r="S138" s="139">
        <f t="shared" ca="1" si="89"/>
        <v>10953530.768565981</v>
      </c>
      <c r="T138" s="139">
        <f t="shared" ca="1" si="89"/>
        <v>10953530.778100425</v>
      </c>
      <c r="U138" s="139">
        <f t="shared" ca="1" si="89"/>
        <v>10953530.787885455</v>
      </c>
      <c r="V138" s="139">
        <f t="shared" ca="1" si="89"/>
        <v>11501207.319812668</v>
      </c>
      <c r="W138" s="139">
        <f t="shared" ca="1" si="89"/>
        <v>11501207.330119479</v>
      </c>
      <c r="X138" s="139">
        <f t="shared" ca="1" si="89"/>
        <v>11501207.340697868</v>
      </c>
      <c r="Y138" s="139">
        <f t="shared" ca="1" si="89"/>
        <v>11501207.351555238</v>
      </c>
      <c r="Z138" s="139">
        <f t="shared" ca="1" si="89"/>
        <v>11501207.362699188</v>
      </c>
    </row>
    <row r="140" spans="2:26" ht="15.5">
      <c r="B140" s="148" t="s">
        <v>31</v>
      </c>
      <c r="F140" s="150">
        <f>+Assumptions!$G$22</f>
        <v>45291</v>
      </c>
      <c r="G140" s="150">
        <f>+EOMONTH(F140,12)</f>
        <v>45657</v>
      </c>
      <c r="H140" s="150">
        <f t="shared" ref="H140:Z140" si="90">+EOMONTH(G140,12)</f>
        <v>46022</v>
      </c>
      <c r="I140" s="150">
        <f t="shared" si="90"/>
        <v>46387</v>
      </c>
      <c r="J140" s="150">
        <f t="shared" si="90"/>
        <v>46752</v>
      </c>
      <c r="K140" s="150">
        <f t="shared" si="90"/>
        <v>47118</v>
      </c>
      <c r="L140" s="150">
        <f t="shared" si="90"/>
        <v>47483</v>
      </c>
      <c r="M140" s="150">
        <f t="shared" si="90"/>
        <v>47848</v>
      </c>
      <c r="N140" s="150">
        <f t="shared" si="90"/>
        <v>48213</v>
      </c>
      <c r="O140" s="150">
        <f t="shared" si="90"/>
        <v>48579</v>
      </c>
      <c r="P140" s="150">
        <f t="shared" si="90"/>
        <v>48944</v>
      </c>
      <c r="Q140" s="150">
        <f t="shared" si="90"/>
        <v>49309</v>
      </c>
      <c r="R140" s="150">
        <f t="shared" si="90"/>
        <v>49674</v>
      </c>
      <c r="S140" s="150">
        <f t="shared" si="90"/>
        <v>50040</v>
      </c>
      <c r="T140" s="150">
        <f t="shared" si="90"/>
        <v>50405</v>
      </c>
      <c r="U140" s="150">
        <f t="shared" si="90"/>
        <v>50770</v>
      </c>
      <c r="V140" s="150">
        <f t="shared" si="90"/>
        <v>51135</v>
      </c>
      <c r="W140" s="150">
        <f t="shared" si="90"/>
        <v>51501</v>
      </c>
      <c r="X140" s="150">
        <f t="shared" si="90"/>
        <v>51866</v>
      </c>
      <c r="Y140" s="150">
        <f t="shared" si="90"/>
        <v>52231</v>
      </c>
      <c r="Z140" s="150">
        <f t="shared" si="90"/>
        <v>52596</v>
      </c>
    </row>
    <row r="141" spans="2:26">
      <c r="B141" s="33" t="s">
        <v>313</v>
      </c>
      <c r="F141" s="34">
        <v>0</v>
      </c>
      <c r="G141" s="34">
        <f t="shared" ref="G141:Z141" ca="1" si="91">+F144</f>
        <v>0</v>
      </c>
      <c r="H141" s="34">
        <f t="shared" ca="1" si="91"/>
        <v>0</v>
      </c>
      <c r="I141" s="34">
        <f t="shared" ca="1" si="91"/>
        <v>0</v>
      </c>
      <c r="J141" s="34">
        <f t="shared" ca="1" si="91"/>
        <v>65396707.984025709</v>
      </c>
      <c r="K141" s="34">
        <f t="shared" ca="1" si="91"/>
        <v>64508645.964855365</v>
      </c>
      <c r="L141" s="34">
        <f t="shared" ca="1" si="91"/>
        <v>63567300.224534705</v>
      </c>
      <c r="M141" s="34">
        <f t="shared" ca="1" si="91"/>
        <v>62569473.739794903</v>
      </c>
      <c r="N141" s="34">
        <f t="shared" ca="1" si="91"/>
        <v>61511777.665970616</v>
      </c>
      <c r="O141" s="34">
        <f t="shared" ca="1" si="91"/>
        <v>60390619.827716969</v>
      </c>
      <c r="P141" s="34">
        <f t="shared" ca="1" si="91"/>
        <v>59202192.519167997</v>
      </c>
      <c r="Q141" s="34">
        <f t="shared" ca="1" si="91"/>
        <v>57942459.572106197</v>
      </c>
      <c r="R141" s="34">
        <f t="shared" ca="1" si="91"/>
        <v>56607142.648220584</v>
      </c>
      <c r="S141" s="34">
        <f t="shared" ca="1" si="91"/>
        <v>55191706.708901942</v>
      </c>
      <c r="T141" s="34">
        <f t="shared" ca="1" si="91"/>
        <v>53691344.613224074</v>
      </c>
      <c r="U141" s="34">
        <f t="shared" ca="1" si="91"/>
        <v>52100960.791805632</v>
      </c>
      <c r="V141" s="34">
        <f t="shared" ca="1" si="91"/>
        <v>50415153.941101991</v>
      </c>
      <c r="W141" s="34">
        <f t="shared" ca="1" si="91"/>
        <v>48628198.679356225</v>
      </c>
      <c r="X141" s="34">
        <f t="shared" ca="1" si="91"/>
        <v>46734026.101905622</v>
      </c>
      <c r="Y141" s="34">
        <f t="shared" ca="1" si="91"/>
        <v>44726203.169808075</v>
      </c>
      <c r="Z141" s="34">
        <f t="shared" ca="1" si="91"/>
        <v>42597910.86178457</v>
      </c>
    </row>
    <row r="142" spans="2:26">
      <c r="B142" s="33" t="s">
        <v>324</v>
      </c>
      <c r="F142" s="151">
        <f>+IF(YEAR(F$140)=YEAR(Assumptions!$G$26),'S&amp;U'!$S$17,0)</f>
        <v>0</v>
      </c>
      <c r="G142" s="151">
        <f>+IF(YEAR(G$140)=YEAR(Assumptions!$G$26),'S&amp;U'!$S$17,0)</f>
        <v>0</v>
      </c>
      <c r="H142" s="151">
        <f>+IF(YEAR(H$140)=YEAR(Assumptions!$G$26),'S&amp;U'!$S$17,0)</f>
        <v>0</v>
      </c>
      <c r="I142" s="151">
        <f ca="1">+IF(YEAR(I$140)=YEAR(Assumptions!$G$26),'S&amp;U'!$S$17,0)</f>
        <v>66234502.341733672</v>
      </c>
      <c r="J142" s="151">
        <f>+IF(YEAR(J$140)=YEAR(Assumptions!$G$26),'S&amp;U'!$S$17,0)</f>
        <v>0</v>
      </c>
      <c r="K142" s="151">
        <f>+IF(YEAR(K$140)=YEAR(Assumptions!$G$26),'S&amp;U'!$S$17,0)</f>
        <v>0</v>
      </c>
      <c r="L142" s="151">
        <f>+IF(YEAR(L$140)=YEAR(Assumptions!$G$26),'S&amp;U'!$S$17,0)</f>
        <v>0</v>
      </c>
      <c r="M142" s="151">
        <f>+IF(YEAR(M$140)=YEAR(Assumptions!$G$26),'S&amp;U'!$S$17,0)</f>
        <v>0</v>
      </c>
      <c r="N142" s="151">
        <f>+IF(YEAR(N$140)=YEAR(Assumptions!$G$26),'S&amp;U'!$S$17,0)</f>
        <v>0</v>
      </c>
      <c r="O142" s="151">
        <f>+IF(YEAR(O$140)=YEAR(Assumptions!$G$26),'S&amp;U'!$S$17,0)</f>
        <v>0</v>
      </c>
      <c r="P142" s="151">
        <f>+IF(YEAR(P$140)=YEAR(Assumptions!$G$26),'S&amp;U'!$S$17,0)</f>
        <v>0</v>
      </c>
      <c r="Q142" s="151">
        <f>+IF(YEAR(Q$140)=YEAR(Assumptions!$G$26),'S&amp;U'!$S$17,0)</f>
        <v>0</v>
      </c>
      <c r="R142" s="151">
        <f>+IF(YEAR(R$140)=YEAR(Assumptions!$G$26),'S&amp;U'!$S$17,0)</f>
        <v>0</v>
      </c>
      <c r="S142" s="151">
        <f>+IF(YEAR(S$140)=YEAR(Assumptions!$G$26),'S&amp;U'!$S$17,0)</f>
        <v>0</v>
      </c>
      <c r="T142" s="151">
        <f>+IF(YEAR(T$140)=YEAR(Assumptions!$G$26),'S&amp;U'!$S$17,0)</f>
        <v>0</v>
      </c>
      <c r="U142" s="151">
        <f>+IF(YEAR(U$140)=YEAR(Assumptions!$G$26),'S&amp;U'!$S$17,0)</f>
        <v>0</v>
      </c>
      <c r="V142" s="151">
        <f>+IF(YEAR(V$140)=YEAR(Assumptions!$G$26),'S&amp;U'!$S$17,0)</f>
        <v>0</v>
      </c>
      <c r="W142" s="151">
        <f>+IF(YEAR(W$140)=YEAR(Assumptions!$G$26),'S&amp;U'!$S$17,0)</f>
        <v>0</v>
      </c>
      <c r="X142" s="151">
        <f>+IF(YEAR(X$140)=YEAR(Assumptions!$G$26),'S&amp;U'!$S$17,0)</f>
        <v>0</v>
      </c>
      <c r="Y142" s="151">
        <f>+IF(YEAR(Y$140)=YEAR(Assumptions!$G$26),'S&amp;U'!$S$17,0)</f>
        <v>0</v>
      </c>
      <c r="Z142" s="151">
        <f>+IF(YEAR(Z$140)=YEAR(Assumptions!$G$26),'S&amp;U'!$S$17,0)</f>
        <v>0</v>
      </c>
    </row>
    <row r="143" spans="2:26">
      <c r="B143" s="33" t="s">
        <v>156</v>
      </c>
      <c r="F143" s="151">
        <f ca="1">+IFERROR(PPMT(Assumptions!$O$151,F2,Assumptions!$O$153,'S&amp;U'!$S$17),0)</f>
        <v>0</v>
      </c>
      <c r="G143" s="151">
        <f ca="1">+IFERROR(PPMT(Assumptions!$O$151,G2,Assumptions!$O$153,'S&amp;U'!$S$17),0)</f>
        <v>0</v>
      </c>
      <c r="H143" s="151">
        <f ca="1">+IFERROR(PPMT(Assumptions!$O$151,H2,Assumptions!$O$153,'S&amp;U'!$S$17),0)</f>
        <v>0</v>
      </c>
      <c r="I143" s="151">
        <f ca="1">+IFERROR(PPMT(Assumptions!$O$151,I2,Assumptions!$O$153,'S&amp;U'!$S$17),0)</f>
        <v>-837794.35770791501</v>
      </c>
      <c r="J143" s="151">
        <f ca="1">+IFERROR(PPMT(Assumptions!$O$151,J2,Assumptions!$O$153,'S&amp;U'!$S$17),0)</f>
        <v>-888062.01917038998</v>
      </c>
      <c r="K143" s="151">
        <f ca="1">+IFERROR(PPMT(Assumptions!$O$151,K2,Assumptions!$O$153,'S&amp;U'!$S$17),0)</f>
        <v>-941345.74032061326</v>
      </c>
      <c r="L143" s="151">
        <f ca="1">+IFERROR(PPMT(Assumptions!$O$151,L2,Assumptions!$O$153,'S&amp;U'!$S$17),0)</f>
        <v>-997826.48473985028</v>
      </c>
      <c r="M143" s="151">
        <f ca="1">+IFERROR(PPMT(Assumptions!$O$151,M2,Assumptions!$O$153,'S&amp;U'!$S$17),0)</f>
        <v>-1057696.0738242413</v>
      </c>
      <c r="N143" s="151">
        <f ca="1">+IFERROR(PPMT(Assumptions!$O$151,N2,Assumptions!$O$153,'S&amp;U'!$S$17),0)</f>
        <v>-1121157.8382536958</v>
      </c>
      <c r="O143" s="151">
        <f ca="1">+IFERROR(PPMT(Assumptions!$O$151,O2,Assumptions!$O$153,'S&amp;U'!$S$17),0)</f>
        <v>-1188427.3085489175</v>
      </c>
      <c r="P143" s="151">
        <f ca="1">+IFERROR(PPMT(Assumptions!$O$151,P2,Assumptions!$O$153,'S&amp;U'!$S$17),0)</f>
        <v>-1259732.9470618523</v>
      </c>
      <c r="Q143" s="151">
        <f ca="1">+IFERROR(PPMT(Assumptions!$O$151,Q2,Assumptions!$O$153,'S&amp;U'!$S$17),0)</f>
        <v>-1335316.9238855632</v>
      </c>
      <c r="R143" s="151">
        <f ca="1">+IFERROR(PPMT(Assumptions!$O$151,R2,Assumptions!$O$153,'S&amp;U'!$S$17),0)</f>
        <v>-1415435.9393186972</v>
      </c>
      <c r="S143" s="151">
        <f ca="1">+IFERROR(PPMT(Assumptions!$O$151,S2,Assumptions!$O$153,'S&amp;U'!$S$17),0)</f>
        <v>-1500362.0956778191</v>
      </c>
      <c r="T143" s="151">
        <f ca="1">+IFERROR(PPMT(Assumptions!$O$151,T2,Assumptions!$O$153,'S&amp;U'!$S$17),0)</f>
        <v>-1590383.8214184882</v>
      </c>
      <c r="U143" s="151">
        <f ca="1">+IFERROR(PPMT(Assumptions!$O$151,U2,Assumptions!$O$153,'S&amp;U'!$S$17),0)</f>
        <v>-1685806.8507035973</v>
      </c>
      <c r="V143" s="151">
        <f ca="1">+IFERROR(PPMT(Assumptions!$O$151,V2,Assumptions!$O$153,'S&amp;U'!$S$17),0)</f>
        <v>-1786955.2617458133</v>
      </c>
      <c r="W143" s="151">
        <f ca="1">+IFERROR(PPMT(Assumptions!$O$151,W2,Assumptions!$O$153,'S&amp;U'!$S$17),0)</f>
        <v>-1894172.577450562</v>
      </c>
      <c r="X143" s="151">
        <f ca="1">+IFERROR(PPMT(Assumptions!$O$151,X2,Assumptions!$O$153,'S&amp;U'!$S$17),0)</f>
        <v>-2007822.9320975961</v>
      </c>
      <c r="Y143" s="151">
        <f ca="1">+IFERROR(PPMT(Assumptions!$O$151,Y2,Assumptions!$O$153,'S&amp;U'!$S$17),0)</f>
        <v>-2128292.3080234514</v>
      </c>
      <c r="Z143" s="151">
        <f ca="1">+IFERROR(PPMT(Assumptions!$O$151,Z2,Assumptions!$O$153,'S&amp;U'!$S$17),0)</f>
        <v>-2255989.8465048587</v>
      </c>
    </row>
    <row r="144" spans="2:26">
      <c r="B144" s="33" t="s">
        <v>315</v>
      </c>
      <c r="F144" s="151">
        <f t="shared" ref="F144:N144" ca="1" si="92">+SUM(F141:F143)</f>
        <v>0</v>
      </c>
      <c r="G144" s="151">
        <f t="shared" ca="1" si="92"/>
        <v>0</v>
      </c>
      <c r="H144" s="151">
        <f t="shared" ca="1" si="92"/>
        <v>0</v>
      </c>
      <c r="I144" s="151">
        <f t="shared" ca="1" si="92"/>
        <v>65396707.984025754</v>
      </c>
      <c r="J144" s="151">
        <f t="shared" ca="1" si="92"/>
        <v>64508645.964855321</v>
      </c>
      <c r="K144" s="151">
        <f t="shared" ca="1" si="92"/>
        <v>63567300.22453475</v>
      </c>
      <c r="L144" s="151">
        <f t="shared" ca="1" si="92"/>
        <v>62569473.739794858</v>
      </c>
      <c r="M144" s="151">
        <f t="shared" ca="1" si="92"/>
        <v>61511777.665970661</v>
      </c>
      <c r="N144" s="151">
        <f t="shared" ca="1" si="92"/>
        <v>60390619.827716917</v>
      </c>
      <c r="O144" s="151">
        <f t="shared" ref="O144:Z144" ca="1" si="93">+SUM(O141:O143)</f>
        <v>59202192.519168049</v>
      </c>
      <c r="P144" s="151">
        <f t="shared" ca="1" si="93"/>
        <v>57942459.572106145</v>
      </c>
      <c r="Q144" s="151">
        <f t="shared" ca="1" si="93"/>
        <v>56607142.648220636</v>
      </c>
      <c r="R144" s="151">
        <f t="shared" ca="1" si="93"/>
        <v>55191706.70890189</v>
      </c>
      <c r="S144" s="151">
        <f t="shared" ca="1" si="93"/>
        <v>53691344.613224119</v>
      </c>
      <c r="T144" s="151">
        <f t="shared" ca="1" si="93"/>
        <v>52100960.791805588</v>
      </c>
      <c r="U144" s="151">
        <f t="shared" ca="1" si="93"/>
        <v>50415153.941102035</v>
      </c>
      <c r="V144" s="151">
        <f t="shared" ca="1" si="93"/>
        <v>48628198.67935618</v>
      </c>
      <c r="W144" s="151">
        <f t="shared" ca="1" si="93"/>
        <v>46734026.101905666</v>
      </c>
      <c r="X144" s="151">
        <f t="shared" ca="1" si="93"/>
        <v>44726203.169808023</v>
      </c>
      <c r="Y144" s="151">
        <f t="shared" ca="1" si="93"/>
        <v>42597910.861784622</v>
      </c>
      <c r="Z144" s="151">
        <f t="shared" ca="1" si="93"/>
        <v>40341921.01527971</v>
      </c>
    </row>
    <row r="146" spans="1:16381">
      <c r="B146" s="41" t="s">
        <v>314</v>
      </c>
      <c r="F146" s="34">
        <f ca="1">-IFERROR(IPMT(Assumptions!$O$151,F2,Assumptions!$O$153,'S&amp;U'!$S$17),0)</f>
        <v>0</v>
      </c>
      <c r="G146" s="34">
        <f ca="1">-IFERROR(IPMT(Assumptions!$O$151,G2,Assumptions!$O$153,'S&amp;U'!$S$17),0)</f>
        <v>0</v>
      </c>
      <c r="H146" s="34">
        <f ca="1">-IFERROR(IPMT(Assumptions!$O$151,H2,Assumptions!$O$153,'S&amp;U'!$S$17),0)</f>
        <v>0</v>
      </c>
      <c r="I146" s="34">
        <f ca="1">-IFERROR(IPMT(Assumptions!$O$151,I2,Assumptions!$O$153,'S&amp;U'!$S$17),0)</f>
        <v>3974070.1405040203</v>
      </c>
      <c r="J146" s="34">
        <f ca="1">-IFERROR(IPMT(Assumptions!$O$151,J2,Assumptions!$O$153,'S&amp;U'!$S$17),0)</f>
        <v>3923802.4790415452</v>
      </c>
      <c r="K146" s="34">
        <f ca="1">-IFERROR(IPMT(Assumptions!$O$151,K2,Assumptions!$O$153,'S&amp;U'!$S$17),0)</f>
        <v>3870518.7578913216</v>
      </c>
      <c r="L146" s="34">
        <f ca="1">-IFERROR(IPMT(Assumptions!$O$151,L2,Assumptions!$O$153,'S&amp;U'!$S$17),0)</f>
        <v>3814038.0134720844</v>
      </c>
      <c r="M146" s="34">
        <f ca="1">-IFERROR(IPMT(Assumptions!$O$151,M2,Assumptions!$O$153,'S&amp;U'!$S$17),0)</f>
        <v>3754168.4243876939</v>
      </c>
      <c r="N146" s="34">
        <f ca="1">-IFERROR(IPMT(Assumptions!$O$151,N2,Assumptions!$O$153,'S&amp;U'!$S$17),0)</f>
        <v>3690706.6599582396</v>
      </c>
      <c r="O146" s="34">
        <f ca="1">-IFERROR(IPMT(Assumptions!$O$151,O2,Assumptions!$O$153,'S&amp;U'!$S$17),0)</f>
        <v>3623437.1896630176</v>
      </c>
      <c r="P146" s="34">
        <f ca="1">-IFERROR(IPMT(Assumptions!$O$151,P2,Assumptions!$O$153,'S&amp;U'!$S$17),0)</f>
        <v>3552131.5511500826</v>
      </c>
      <c r="Q146" s="34">
        <f ca="1">-IFERROR(IPMT(Assumptions!$O$151,Q2,Assumptions!$O$153,'S&amp;U'!$S$17),0)</f>
        <v>3476547.5743263718</v>
      </c>
      <c r="R146" s="34">
        <f ca="1">-IFERROR(IPMT(Assumptions!$O$151,R2,Assumptions!$O$153,'S&amp;U'!$S$17),0)</f>
        <v>3396428.5588932382</v>
      </c>
      <c r="S146" s="34">
        <f ca="1">-IFERROR(IPMT(Assumptions!$O$151,S2,Assumptions!$O$153,'S&amp;U'!$S$17),0)</f>
        <v>3311502.4025341161</v>
      </c>
      <c r="T146" s="34">
        <f ca="1">-IFERROR(IPMT(Assumptions!$O$151,T2,Assumptions!$O$153,'S&amp;U'!$S$17),0)</f>
        <v>3221480.6767934468</v>
      </c>
      <c r="U146" s="34">
        <f ca="1">-IFERROR(IPMT(Assumptions!$O$151,U2,Assumptions!$O$153,'S&amp;U'!$S$17),0)</f>
        <v>3126057.6475083376</v>
      </c>
      <c r="V146" s="34">
        <f ca="1">-IFERROR(IPMT(Assumptions!$O$151,V2,Assumptions!$O$153,'S&amp;U'!$S$17),0)</f>
        <v>3024909.2364661223</v>
      </c>
      <c r="W146" s="34">
        <f ca="1">-IFERROR(IPMT(Assumptions!$O$151,W2,Assumptions!$O$153,'S&amp;U'!$S$17),0)</f>
        <v>2917691.9207613724</v>
      </c>
      <c r="X146" s="34">
        <f ca="1">-IFERROR(IPMT(Assumptions!$O$151,X2,Assumptions!$O$153,'S&amp;U'!$S$17),0)</f>
        <v>2804041.5661143395</v>
      </c>
      <c r="Y146" s="34">
        <f ca="1">-IFERROR(IPMT(Assumptions!$O$151,Y2,Assumptions!$O$153,'S&amp;U'!$S$17),0)</f>
        <v>2683572.1901884829</v>
      </c>
      <c r="Z146" s="34">
        <f ca="1">-IFERROR(IPMT(Assumptions!$O$151,Z2,Assumptions!$O$153,'S&amp;U'!$S$17),0)</f>
        <v>2555874.6517070765</v>
      </c>
    </row>
    <row r="147" spans="1:16381">
      <c r="B147" s="137" t="s">
        <v>323</v>
      </c>
      <c r="C147" s="137"/>
      <c r="D147" s="137"/>
      <c r="E147" s="137"/>
      <c r="F147" s="129">
        <f t="shared" ref="F147:K147" ca="1" si="94">+F146-F143</f>
        <v>0</v>
      </c>
      <c r="G147" s="129">
        <f t="shared" ca="1" si="94"/>
        <v>0</v>
      </c>
      <c r="H147" s="129">
        <f t="shared" ca="1" si="94"/>
        <v>0</v>
      </c>
      <c r="I147" s="129">
        <f t="shared" ca="1" si="94"/>
        <v>4811864.4982119352</v>
      </c>
      <c r="J147" s="129">
        <f t="shared" ca="1" si="94"/>
        <v>4811864.4982119352</v>
      </c>
      <c r="K147" s="129">
        <f t="shared" ca="1" si="94"/>
        <v>4811864.4982119352</v>
      </c>
      <c r="L147" s="129">
        <f ca="1">+L146-L143</f>
        <v>4811864.4982119352</v>
      </c>
      <c r="M147" s="129">
        <f t="shared" ref="M147:Z147" ca="1" si="95">+M146-M143</f>
        <v>4811864.4982119352</v>
      </c>
      <c r="N147" s="129">
        <f t="shared" ca="1" si="95"/>
        <v>4811864.4982119352</v>
      </c>
      <c r="O147" s="129">
        <f t="shared" ca="1" si="95"/>
        <v>4811864.4982119352</v>
      </c>
      <c r="P147" s="129">
        <f t="shared" ca="1" si="95"/>
        <v>4811864.4982119352</v>
      </c>
      <c r="Q147" s="129">
        <f t="shared" ca="1" si="95"/>
        <v>4811864.4982119352</v>
      </c>
      <c r="R147" s="129">
        <f t="shared" ca="1" si="95"/>
        <v>4811864.4982119352</v>
      </c>
      <c r="S147" s="129">
        <f t="shared" ca="1" si="95"/>
        <v>4811864.4982119352</v>
      </c>
      <c r="T147" s="129">
        <f t="shared" ca="1" si="95"/>
        <v>4811864.4982119352</v>
      </c>
      <c r="U147" s="129">
        <f t="shared" ca="1" si="95"/>
        <v>4811864.4982119352</v>
      </c>
      <c r="V147" s="129">
        <f t="shared" ca="1" si="95"/>
        <v>4811864.4982119352</v>
      </c>
      <c r="W147" s="129">
        <f t="shared" ca="1" si="95"/>
        <v>4811864.4982119342</v>
      </c>
      <c r="X147" s="129">
        <f t="shared" ca="1" si="95"/>
        <v>4811864.4982119352</v>
      </c>
      <c r="Y147" s="129">
        <f t="shared" ca="1" si="95"/>
        <v>4811864.4982119342</v>
      </c>
      <c r="Z147" s="129">
        <f t="shared" ca="1" si="95"/>
        <v>4811864.4982119352</v>
      </c>
    </row>
    <row r="148" spans="1:16381" ht="15.5">
      <c r="B148" s="146" t="s">
        <v>172</v>
      </c>
      <c r="F148" s="180" t="str">
        <f ca="1">+IFERROR(F138/F147,"")</f>
        <v/>
      </c>
      <c r="G148" s="180" t="str">
        <f t="shared" ref="G148:Z148" ca="1" si="96">+IFERROR(G138/G147,"")</f>
        <v/>
      </c>
      <c r="H148" s="180" t="str">
        <f t="shared" ca="1" si="96"/>
        <v/>
      </c>
      <c r="I148" s="180">
        <f t="shared" ca="1" si="96"/>
        <v>1.0323623256438661</v>
      </c>
      <c r="J148" s="180">
        <f t="shared" ca="1" si="96"/>
        <v>2.0647246528182941</v>
      </c>
      <c r="K148" s="180">
        <f t="shared" ca="1" si="96"/>
        <v>2.064724654388729</v>
      </c>
      <c r="L148" s="180">
        <f t="shared" ca="1" si="96"/>
        <v>2.1679608859880273</v>
      </c>
      <c r="M148" s="180">
        <f t="shared" ca="1" si="96"/>
        <v>2.1679608876414642</v>
      </c>
      <c r="N148" s="180">
        <f t="shared" ca="1" si="96"/>
        <v>2.1679608893380906</v>
      </c>
      <c r="O148" s="180">
        <f t="shared" ca="1" si="96"/>
        <v>2.1679608910790731</v>
      </c>
      <c r="P148" s="180">
        <f t="shared" ca="1" si="96"/>
        <v>2.167960892865612</v>
      </c>
      <c r="Q148" s="180">
        <f t="shared" ca="1" si="96"/>
        <v>2.2763589361863352</v>
      </c>
      <c r="R148" s="180">
        <f t="shared" ca="1" si="96"/>
        <v>2.2763589380677218</v>
      </c>
      <c r="S148" s="180">
        <f t="shared" ca="1" si="96"/>
        <v>2.2763589399984681</v>
      </c>
      <c r="T148" s="180">
        <f t="shared" ca="1" si="96"/>
        <v>2.2763589419799128</v>
      </c>
      <c r="U148" s="180">
        <f t="shared" ca="1" si="96"/>
        <v>2.2763589440134346</v>
      </c>
      <c r="V148" s="180">
        <f t="shared" ca="1" si="96"/>
        <v>2.3901768896623046</v>
      </c>
      <c r="W148" s="180">
        <f t="shared" ca="1" si="96"/>
        <v>2.3901768918042627</v>
      </c>
      <c r="X148" s="180">
        <f t="shared" ca="1" si="96"/>
        <v>2.3901768940026593</v>
      </c>
      <c r="Y148" s="180">
        <f t="shared" ca="1" si="96"/>
        <v>2.3901768962590344</v>
      </c>
      <c r="Z148" s="180">
        <f t="shared" ca="1" si="96"/>
        <v>2.3901768985749658</v>
      </c>
    </row>
    <row r="150" spans="1:16381">
      <c r="B150" s="41" t="s">
        <v>150</v>
      </c>
      <c r="F150" s="34">
        <f>+F142*Assumptions!$O$152</f>
        <v>0</v>
      </c>
      <c r="G150" s="34">
        <f>+G142*Assumptions!$O$152</f>
        <v>0</v>
      </c>
      <c r="H150" s="34">
        <f>+H142*Assumptions!$O$152</f>
        <v>0</v>
      </c>
      <c r="I150" s="34">
        <f ca="1">+I142*Assumptions!$O$152</f>
        <v>662345.02341733675</v>
      </c>
      <c r="J150" s="34">
        <f>+J142*Assumptions!$O$152</f>
        <v>0</v>
      </c>
      <c r="K150" s="34">
        <f>+K142*Assumptions!$O$152</f>
        <v>0</v>
      </c>
      <c r="L150" s="34">
        <f>+L142*Assumptions!$O$152</f>
        <v>0</v>
      </c>
      <c r="M150" s="34">
        <f>+M142*Assumptions!$O$152</f>
        <v>0</v>
      </c>
      <c r="N150" s="34">
        <f>+N142*Assumptions!$O$152</f>
        <v>0</v>
      </c>
      <c r="O150" s="34">
        <f>+O142*Assumptions!$O$152</f>
        <v>0</v>
      </c>
      <c r="P150" s="34">
        <f>+P142*Assumptions!$O$152</f>
        <v>0</v>
      </c>
      <c r="Q150" s="34">
        <f>+Q142*Assumptions!$O$152</f>
        <v>0</v>
      </c>
      <c r="R150" s="34">
        <f>+R142*Assumptions!$O$152</f>
        <v>0</v>
      </c>
      <c r="S150" s="34">
        <f>+S142*Assumptions!$O$152</f>
        <v>0</v>
      </c>
      <c r="T150" s="34">
        <f>+T142*Assumptions!$O$152</f>
        <v>0</v>
      </c>
      <c r="U150" s="34">
        <f>+U142*Assumptions!$O$152</f>
        <v>0</v>
      </c>
      <c r="V150" s="34">
        <f>+V142*Assumptions!$O$152</f>
        <v>0</v>
      </c>
      <c r="W150" s="34">
        <f>+W142*Assumptions!$O$152</f>
        <v>0</v>
      </c>
      <c r="X150" s="34">
        <f>+X142*Assumptions!$O$152</f>
        <v>0</v>
      </c>
      <c r="Y150" s="34">
        <f>+Y142*Assumptions!$O$152</f>
        <v>0</v>
      </c>
      <c r="Z150" s="34">
        <f>+Z142*Assumptions!$O$152</f>
        <v>0</v>
      </c>
    </row>
    <row r="152" spans="1:16381" s="157" customFormat="1">
      <c r="B152" s="137" t="s">
        <v>316</v>
      </c>
      <c r="C152" s="137"/>
      <c r="D152" s="137"/>
      <c r="E152" s="137"/>
      <c r="F152" s="129">
        <f ca="1">+F138-F147-F150</f>
        <v>0</v>
      </c>
      <c r="G152" s="129">
        <f t="shared" ref="G152:Z152" ca="1" si="97">+G138-G147-G150</f>
        <v>0</v>
      </c>
      <c r="H152" s="129">
        <f t="shared" ca="1" si="97"/>
        <v>0</v>
      </c>
      <c r="I152" s="129">
        <f ca="1">+I138-I147-I150</f>
        <v>-506621.89757204417</v>
      </c>
      <c r="J152" s="129">
        <f t="shared" ca="1" si="97"/>
        <v>5123310.7572673783</v>
      </c>
      <c r="K152" s="129">
        <f t="shared" ca="1" si="97"/>
        <v>5123310.764824098</v>
      </c>
      <c r="L152" s="129">
        <f t="shared" ca="1" si="97"/>
        <v>5620069.5225859452</v>
      </c>
      <c r="M152" s="129">
        <f t="shared" ca="1" si="97"/>
        <v>5620069.5305420607</v>
      </c>
      <c r="N152" s="129">
        <f t="shared" ca="1" si="97"/>
        <v>5620069.5387059972</v>
      </c>
      <c r="O152" s="129">
        <f t="shared" ca="1" si="97"/>
        <v>5620069.5470833685</v>
      </c>
      <c r="P152" s="129">
        <f t="shared" ca="1" si="97"/>
        <v>5620069.5556799527</v>
      </c>
      <c r="Q152" s="129">
        <f t="shared" ca="1" si="97"/>
        <v>6141666.2520105802</v>
      </c>
      <c r="R152" s="129">
        <f t="shared" ca="1" si="97"/>
        <v>6141666.2610635571</v>
      </c>
      <c r="S152" s="129">
        <f t="shared" ca="1" si="97"/>
        <v>6141666.2703540456</v>
      </c>
      <c r="T152" s="129">
        <f t="shared" ca="1" si="97"/>
        <v>6141666.2798884902</v>
      </c>
      <c r="U152" s="129">
        <f t="shared" ca="1" si="97"/>
        <v>6141666.2896735203</v>
      </c>
      <c r="V152" s="129">
        <f t="shared" ca="1" si="97"/>
        <v>6689342.8216007333</v>
      </c>
      <c r="W152" s="129">
        <f t="shared" ca="1" si="97"/>
        <v>6689342.8319075452</v>
      </c>
      <c r="X152" s="129">
        <f t="shared" ca="1" si="97"/>
        <v>6689342.8424859326</v>
      </c>
      <c r="Y152" s="129">
        <f t="shared" ca="1" si="97"/>
        <v>6689342.8533433033</v>
      </c>
      <c r="Z152" s="129">
        <f t="shared" ca="1" si="97"/>
        <v>6689342.8644872531</v>
      </c>
    </row>
    <row r="154" spans="1:16381" ht="15.5">
      <c r="B154" s="148" t="s">
        <v>317</v>
      </c>
    </row>
    <row r="155" spans="1:16381" s="207" customFormat="1" ht="15.5">
      <c r="A155" s="829"/>
      <c r="B155" s="838"/>
      <c r="C155" s="839"/>
      <c r="D155" s="839"/>
      <c r="E155" s="839"/>
      <c r="F155" s="29"/>
      <c r="G155" s="29"/>
      <c r="H155" s="29"/>
      <c r="I155" s="29"/>
      <c r="J155" s="29"/>
      <c r="K155" s="29"/>
      <c r="L155" s="29"/>
      <c r="M155" s="29"/>
      <c r="N155" s="29"/>
      <c r="O155" s="29"/>
      <c r="P155" s="29"/>
      <c r="Q155" s="29"/>
      <c r="R155" s="29"/>
      <c r="S155" s="29"/>
      <c r="T155" s="29"/>
      <c r="U155" s="29"/>
      <c r="V155" s="29"/>
      <c r="W155" s="29"/>
      <c r="X155" s="29"/>
      <c r="Y155" s="29"/>
      <c r="Z155" s="29"/>
      <c r="AA155" s="839"/>
      <c r="AB155" s="839"/>
      <c r="AC155" s="839"/>
      <c r="AD155" s="839"/>
      <c r="AE155" s="839"/>
      <c r="AF155" s="839"/>
      <c r="AG155" s="839"/>
      <c r="AH155" s="839"/>
      <c r="AI155" s="839"/>
      <c r="AJ155" s="839"/>
      <c r="AK155" s="839"/>
      <c r="AL155" s="839"/>
      <c r="AM155" s="839"/>
      <c r="AN155" s="839"/>
      <c r="AO155" s="839"/>
      <c r="AP155" s="839"/>
      <c r="AQ155" s="839"/>
      <c r="AR155" s="839"/>
      <c r="AS155" s="839"/>
      <c r="AT155" s="839"/>
      <c r="AU155" s="839"/>
      <c r="AV155" s="839"/>
      <c r="AW155" s="839"/>
      <c r="AX155" s="839"/>
      <c r="AY155" s="839"/>
      <c r="AZ155" s="839"/>
      <c r="BA155" s="839"/>
      <c r="BB155" s="839"/>
      <c r="BC155" s="839"/>
      <c r="BD155" s="839"/>
      <c r="BE155" s="839"/>
      <c r="BF155" s="839"/>
      <c r="BG155" s="839"/>
      <c r="BH155" s="839"/>
      <c r="BI155" s="839"/>
      <c r="BJ155" s="839"/>
      <c r="BK155" s="839"/>
      <c r="BL155" s="839"/>
      <c r="BM155" s="839"/>
      <c r="BN155" s="839"/>
      <c r="BO155" s="839"/>
      <c r="BP155" s="839"/>
      <c r="BQ155" s="839"/>
      <c r="BR155" s="839"/>
      <c r="BS155" s="839"/>
      <c r="BT155" s="839"/>
      <c r="BU155" s="839"/>
      <c r="BV155" s="839"/>
      <c r="BW155" s="839"/>
      <c r="BX155" s="839"/>
      <c r="BY155" s="839"/>
      <c r="BZ155" s="839"/>
      <c r="CA155" s="839"/>
      <c r="CB155" s="839"/>
      <c r="CC155" s="839"/>
      <c r="CD155" s="839"/>
      <c r="CE155" s="839"/>
      <c r="CF155" s="839"/>
      <c r="CG155" s="839"/>
      <c r="CH155" s="839"/>
      <c r="CI155" s="839"/>
      <c r="CJ155" s="839"/>
      <c r="CK155" s="839"/>
      <c r="CL155" s="839"/>
      <c r="CM155" s="839"/>
      <c r="CN155" s="839"/>
      <c r="CO155" s="839"/>
      <c r="CP155" s="839"/>
      <c r="CQ155" s="839"/>
      <c r="CR155" s="839"/>
      <c r="CS155" s="839"/>
      <c r="CT155" s="839"/>
      <c r="CU155" s="839"/>
      <c r="CV155" s="839"/>
      <c r="CW155" s="839"/>
      <c r="CX155" s="839"/>
      <c r="CY155" s="839"/>
      <c r="CZ155" s="839"/>
      <c r="DA155" s="839"/>
      <c r="DB155" s="839"/>
      <c r="DC155" s="839"/>
      <c r="DD155" s="839"/>
      <c r="DE155" s="839"/>
      <c r="DF155" s="839"/>
      <c r="DG155" s="839"/>
      <c r="DH155" s="839"/>
      <c r="DI155" s="839"/>
      <c r="DJ155" s="839"/>
      <c r="DK155" s="839"/>
      <c r="DL155" s="839"/>
      <c r="DM155" s="839"/>
      <c r="DN155" s="839"/>
      <c r="DO155" s="839"/>
      <c r="DP155" s="839"/>
      <c r="DQ155" s="839"/>
      <c r="DR155" s="839"/>
      <c r="DS155" s="839"/>
      <c r="DT155" s="839"/>
      <c r="DU155" s="839"/>
      <c r="DV155" s="839"/>
      <c r="DW155" s="839"/>
      <c r="DX155" s="839"/>
      <c r="DY155" s="839"/>
      <c r="DZ155" s="839"/>
      <c r="EA155" s="839"/>
      <c r="EB155" s="839"/>
      <c r="EC155" s="839"/>
      <c r="ED155" s="839"/>
      <c r="EE155" s="839"/>
      <c r="EF155" s="839"/>
      <c r="EG155" s="839"/>
      <c r="EH155" s="839"/>
      <c r="EI155" s="839"/>
      <c r="EJ155" s="839"/>
      <c r="EK155" s="839"/>
      <c r="EL155" s="839"/>
      <c r="EM155" s="839"/>
      <c r="EN155" s="839"/>
      <c r="EO155" s="839"/>
      <c r="EP155" s="839"/>
      <c r="EQ155" s="839"/>
      <c r="ER155" s="839"/>
      <c r="ES155" s="839"/>
      <c r="ET155" s="839"/>
      <c r="EU155" s="839"/>
      <c r="EV155" s="839"/>
      <c r="EW155" s="839"/>
      <c r="EX155" s="839"/>
      <c r="EY155" s="839"/>
      <c r="EZ155" s="839"/>
      <c r="FA155" s="839"/>
      <c r="FB155" s="839"/>
      <c r="FC155" s="839"/>
      <c r="FD155" s="839"/>
      <c r="FE155" s="839"/>
      <c r="FF155" s="839"/>
      <c r="FG155" s="839"/>
      <c r="FH155" s="839"/>
      <c r="FI155" s="839"/>
      <c r="FJ155" s="839"/>
      <c r="FK155" s="839"/>
      <c r="FL155" s="839"/>
      <c r="FM155" s="839"/>
      <c r="FN155" s="839"/>
      <c r="FO155" s="839"/>
      <c r="FP155" s="839"/>
      <c r="FQ155" s="839"/>
      <c r="FR155" s="839"/>
      <c r="FS155" s="839"/>
      <c r="FT155" s="839"/>
      <c r="FU155" s="839"/>
      <c r="FV155" s="839"/>
      <c r="FW155" s="839"/>
      <c r="FX155" s="839"/>
      <c r="FY155" s="839"/>
      <c r="FZ155" s="839"/>
      <c r="GA155" s="839"/>
      <c r="GB155" s="839"/>
      <c r="GC155" s="839"/>
      <c r="GD155" s="839"/>
      <c r="GE155" s="839"/>
      <c r="GF155" s="839"/>
      <c r="GG155" s="839"/>
      <c r="GH155" s="839"/>
      <c r="GI155" s="839"/>
      <c r="GJ155" s="839"/>
      <c r="GK155" s="839"/>
      <c r="GL155" s="839"/>
      <c r="GM155" s="839"/>
      <c r="GN155" s="839"/>
      <c r="GO155" s="839"/>
      <c r="GP155" s="839"/>
      <c r="GQ155" s="839"/>
      <c r="GR155" s="839"/>
      <c r="GS155" s="839"/>
      <c r="GT155" s="839"/>
      <c r="GU155" s="839"/>
      <c r="GV155" s="839"/>
      <c r="GW155" s="839"/>
      <c r="GX155" s="839"/>
      <c r="GY155" s="839"/>
      <c r="GZ155" s="839"/>
      <c r="HA155" s="839"/>
      <c r="HB155" s="839"/>
      <c r="HC155" s="839"/>
      <c r="HD155" s="839"/>
      <c r="HE155" s="839"/>
      <c r="HF155" s="839"/>
      <c r="HG155" s="839"/>
      <c r="HH155" s="839"/>
      <c r="HI155" s="839"/>
      <c r="HJ155" s="839"/>
      <c r="HK155" s="839"/>
      <c r="HL155" s="839"/>
      <c r="HM155" s="839"/>
      <c r="HN155" s="839"/>
      <c r="HO155" s="839"/>
      <c r="HP155" s="839"/>
      <c r="HQ155" s="839"/>
      <c r="HR155" s="839"/>
      <c r="HS155" s="839"/>
      <c r="HT155" s="839"/>
      <c r="HU155" s="839"/>
      <c r="HV155" s="839"/>
      <c r="HW155" s="839"/>
      <c r="HX155" s="839"/>
      <c r="HY155" s="839"/>
      <c r="HZ155" s="839"/>
      <c r="IA155" s="839"/>
      <c r="IB155" s="839"/>
      <c r="IC155" s="839"/>
      <c r="ID155" s="839"/>
      <c r="IE155" s="839"/>
      <c r="IF155" s="839"/>
      <c r="IG155" s="839"/>
      <c r="IH155" s="839"/>
      <c r="II155" s="839"/>
      <c r="IJ155" s="839"/>
      <c r="IK155" s="839"/>
      <c r="IL155" s="839"/>
      <c r="IM155" s="839"/>
      <c r="IN155" s="839"/>
      <c r="IO155" s="839"/>
      <c r="IP155" s="839"/>
      <c r="IQ155" s="839"/>
      <c r="IR155" s="839"/>
      <c r="IS155" s="839"/>
      <c r="IT155" s="839"/>
      <c r="IU155" s="839"/>
      <c r="IV155" s="839"/>
      <c r="IW155" s="839"/>
      <c r="IX155" s="839"/>
      <c r="IY155" s="839"/>
      <c r="IZ155" s="839"/>
      <c r="JA155" s="839"/>
      <c r="JB155" s="839"/>
      <c r="JC155" s="839"/>
      <c r="JD155" s="839"/>
      <c r="JE155" s="839"/>
      <c r="JF155" s="839"/>
      <c r="JG155" s="839"/>
      <c r="JH155" s="839"/>
      <c r="JI155" s="839"/>
      <c r="JJ155" s="839"/>
      <c r="JK155" s="839"/>
      <c r="JL155" s="839"/>
      <c r="JM155" s="839"/>
      <c r="JN155" s="839"/>
      <c r="JO155" s="839"/>
      <c r="JP155" s="839"/>
      <c r="JQ155" s="839"/>
      <c r="JR155" s="839"/>
      <c r="JS155" s="839"/>
      <c r="JT155" s="839"/>
      <c r="JU155" s="839"/>
      <c r="JV155" s="839"/>
      <c r="JW155" s="839"/>
      <c r="JX155" s="839"/>
      <c r="JY155" s="839"/>
      <c r="JZ155" s="839"/>
      <c r="KA155" s="839"/>
      <c r="KB155" s="839"/>
      <c r="KC155" s="839"/>
      <c r="KD155" s="839"/>
      <c r="KE155" s="839"/>
      <c r="KF155" s="839"/>
      <c r="KG155" s="839"/>
      <c r="KH155" s="839"/>
      <c r="KI155" s="839"/>
      <c r="KJ155" s="839"/>
      <c r="KK155" s="839"/>
      <c r="KL155" s="839"/>
      <c r="KM155" s="839"/>
      <c r="KN155" s="839"/>
      <c r="KO155" s="839"/>
      <c r="KP155" s="839"/>
      <c r="KQ155" s="839"/>
      <c r="KR155" s="839"/>
      <c r="KS155" s="839"/>
      <c r="KT155" s="839"/>
      <c r="KU155" s="839"/>
      <c r="KV155" s="839"/>
      <c r="KW155" s="839"/>
      <c r="KX155" s="839"/>
      <c r="KY155" s="839"/>
      <c r="KZ155" s="839"/>
      <c r="LA155" s="839"/>
      <c r="LB155" s="839"/>
      <c r="LC155" s="839"/>
      <c r="LD155" s="839"/>
      <c r="LE155" s="839"/>
      <c r="LF155" s="839"/>
      <c r="LG155" s="839"/>
      <c r="LH155" s="839"/>
      <c r="LI155" s="839"/>
      <c r="LJ155" s="839"/>
      <c r="LK155" s="839"/>
      <c r="LL155" s="839"/>
      <c r="LM155" s="839"/>
      <c r="LN155" s="839"/>
      <c r="LO155" s="839"/>
      <c r="LP155" s="839"/>
      <c r="LQ155" s="839"/>
      <c r="LR155" s="839"/>
      <c r="LS155" s="839"/>
      <c r="LT155" s="839"/>
      <c r="LU155" s="839"/>
      <c r="LV155" s="839"/>
      <c r="LW155" s="839"/>
      <c r="LX155" s="839"/>
      <c r="LY155" s="839"/>
      <c r="LZ155" s="839"/>
      <c r="MA155" s="839"/>
      <c r="MB155" s="839"/>
      <c r="MC155" s="839"/>
      <c r="MD155" s="839"/>
      <c r="ME155" s="839"/>
      <c r="MF155" s="839"/>
      <c r="MG155" s="839"/>
      <c r="MH155" s="839"/>
      <c r="MI155" s="839"/>
      <c r="MJ155" s="839"/>
      <c r="MK155" s="839"/>
      <c r="ML155" s="839"/>
      <c r="MM155" s="839"/>
      <c r="MN155" s="839"/>
      <c r="MO155" s="839"/>
      <c r="MP155" s="839"/>
      <c r="MQ155" s="839"/>
      <c r="MR155" s="839"/>
      <c r="MS155" s="839"/>
      <c r="MT155" s="839"/>
      <c r="MU155" s="839"/>
      <c r="MV155" s="839"/>
      <c r="MW155" s="839"/>
      <c r="MX155" s="839"/>
      <c r="MY155" s="839"/>
      <c r="MZ155" s="839"/>
      <c r="NA155" s="839"/>
      <c r="NB155" s="839"/>
      <c r="NC155" s="839"/>
      <c r="ND155" s="839"/>
      <c r="NE155" s="839"/>
      <c r="NF155" s="839"/>
      <c r="NG155" s="839"/>
      <c r="NH155" s="839"/>
      <c r="NI155" s="839"/>
      <c r="NJ155" s="839"/>
      <c r="NK155" s="839"/>
      <c r="NL155" s="839"/>
      <c r="NM155" s="839"/>
      <c r="NN155" s="839"/>
      <c r="NO155" s="839"/>
      <c r="NP155" s="839"/>
      <c r="NQ155" s="839"/>
      <c r="NR155" s="839"/>
      <c r="NS155" s="839"/>
      <c r="NT155" s="839"/>
      <c r="NU155" s="839"/>
      <c r="NV155" s="839"/>
      <c r="NW155" s="839"/>
      <c r="NX155" s="839"/>
      <c r="NY155" s="839"/>
      <c r="NZ155" s="839"/>
      <c r="OA155" s="839"/>
      <c r="OB155" s="839"/>
      <c r="OC155" s="839"/>
      <c r="OD155" s="839"/>
      <c r="OE155" s="839"/>
      <c r="OF155" s="839"/>
      <c r="OG155" s="839"/>
      <c r="OH155" s="839"/>
      <c r="OI155" s="839"/>
      <c r="OJ155" s="839"/>
      <c r="OK155" s="839"/>
      <c r="OL155" s="839"/>
      <c r="OM155" s="839"/>
      <c r="ON155" s="839"/>
      <c r="OO155" s="839"/>
      <c r="OP155" s="839"/>
      <c r="OQ155" s="839"/>
      <c r="OR155" s="839"/>
      <c r="OS155" s="839"/>
      <c r="OT155" s="839"/>
      <c r="OU155" s="839"/>
      <c r="OV155" s="839"/>
      <c r="OW155" s="839"/>
      <c r="OX155" s="839"/>
      <c r="OY155" s="839"/>
      <c r="OZ155" s="839"/>
      <c r="PA155" s="839"/>
      <c r="PB155" s="839"/>
      <c r="PC155" s="839"/>
      <c r="PD155" s="839"/>
      <c r="PE155" s="839"/>
      <c r="PF155" s="839"/>
      <c r="PG155" s="839"/>
      <c r="PH155" s="839"/>
      <c r="PI155" s="839"/>
      <c r="PJ155" s="839"/>
      <c r="PK155" s="839"/>
      <c r="PL155" s="839"/>
      <c r="PM155" s="839"/>
      <c r="PN155" s="839"/>
      <c r="PO155" s="839"/>
      <c r="PP155" s="839"/>
      <c r="PQ155" s="839"/>
      <c r="PR155" s="839"/>
      <c r="PS155" s="839"/>
      <c r="PT155" s="839"/>
      <c r="PU155" s="839"/>
      <c r="PV155" s="839"/>
      <c r="PW155" s="839"/>
      <c r="PX155" s="839"/>
      <c r="PY155" s="839"/>
      <c r="PZ155" s="839"/>
      <c r="QA155" s="839"/>
      <c r="QB155" s="839"/>
      <c r="QC155" s="839"/>
      <c r="QD155" s="839"/>
      <c r="QE155" s="839"/>
      <c r="QF155" s="839"/>
      <c r="QG155" s="839"/>
      <c r="QH155" s="839"/>
      <c r="QI155" s="839"/>
      <c r="QJ155" s="839"/>
      <c r="QK155" s="839"/>
      <c r="QL155" s="839"/>
      <c r="QM155" s="839"/>
      <c r="QN155" s="839"/>
      <c r="QO155" s="839"/>
      <c r="QP155" s="839"/>
      <c r="QQ155" s="839"/>
      <c r="QR155" s="839"/>
      <c r="QS155" s="839"/>
      <c r="QT155" s="839"/>
      <c r="QU155" s="839"/>
      <c r="QV155" s="839"/>
      <c r="QW155" s="839"/>
      <c r="QX155" s="839"/>
      <c r="QY155" s="839"/>
      <c r="QZ155" s="839"/>
      <c r="RA155" s="839"/>
      <c r="RB155" s="839"/>
      <c r="RC155" s="839"/>
      <c r="RD155" s="839"/>
      <c r="RE155" s="839"/>
      <c r="RF155" s="839"/>
      <c r="RG155" s="839"/>
      <c r="RH155" s="839"/>
      <c r="RI155" s="839"/>
      <c r="RJ155" s="839"/>
      <c r="RK155" s="839"/>
      <c r="RL155" s="839"/>
      <c r="RM155" s="839"/>
      <c r="RN155" s="839"/>
      <c r="RO155" s="839"/>
      <c r="RP155" s="839"/>
      <c r="RQ155" s="839"/>
      <c r="RR155" s="839"/>
      <c r="RS155" s="839"/>
      <c r="RT155" s="839"/>
      <c r="RU155" s="839"/>
      <c r="RV155" s="839"/>
      <c r="RW155" s="839"/>
      <c r="RX155" s="839"/>
      <c r="RY155" s="839"/>
      <c r="RZ155" s="839"/>
      <c r="SA155" s="839"/>
      <c r="SB155" s="839"/>
      <c r="SC155" s="839"/>
      <c r="SD155" s="839"/>
      <c r="SE155" s="839"/>
      <c r="SF155" s="839"/>
      <c r="SG155" s="839"/>
      <c r="SH155" s="839"/>
      <c r="SI155" s="839"/>
      <c r="SJ155" s="839"/>
      <c r="SK155" s="839"/>
      <c r="SL155" s="839"/>
      <c r="SM155" s="839"/>
      <c r="SN155" s="839"/>
      <c r="SO155" s="839"/>
      <c r="SP155" s="839"/>
      <c r="SQ155" s="839"/>
      <c r="SR155" s="839"/>
      <c r="SS155" s="839"/>
      <c r="ST155" s="839"/>
      <c r="SU155" s="839"/>
      <c r="SV155" s="839"/>
      <c r="SW155" s="839"/>
      <c r="SX155" s="839"/>
      <c r="SY155" s="839"/>
      <c r="SZ155" s="839"/>
      <c r="TA155" s="839"/>
      <c r="TB155" s="839"/>
      <c r="TC155" s="839"/>
      <c r="TD155" s="839"/>
      <c r="TE155" s="839"/>
      <c r="TF155" s="839"/>
      <c r="TG155" s="839"/>
      <c r="TH155" s="839"/>
      <c r="TI155" s="839"/>
      <c r="TJ155" s="839"/>
      <c r="TK155" s="839"/>
      <c r="TL155" s="839"/>
      <c r="TM155" s="839"/>
      <c r="TN155" s="839"/>
      <c r="TO155" s="839"/>
      <c r="TP155" s="839"/>
      <c r="TQ155" s="839"/>
      <c r="TR155" s="839"/>
      <c r="TS155" s="839"/>
      <c r="TT155" s="839"/>
      <c r="TU155" s="839"/>
      <c r="TV155" s="839"/>
      <c r="TW155" s="839"/>
      <c r="TX155" s="839"/>
      <c r="TY155" s="839"/>
      <c r="TZ155" s="839"/>
      <c r="UA155" s="839"/>
      <c r="UB155" s="839"/>
      <c r="UC155" s="839"/>
      <c r="UD155" s="839"/>
      <c r="UE155" s="839"/>
      <c r="UF155" s="839"/>
      <c r="UG155" s="839"/>
      <c r="UH155" s="839"/>
      <c r="UI155" s="839"/>
      <c r="UJ155" s="839"/>
      <c r="UK155" s="839"/>
      <c r="UL155" s="839"/>
      <c r="UM155" s="839"/>
      <c r="UN155" s="839"/>
      <c r="UO155" s="839"/>
      <c r="UP155" s="839"/>
      <c r="UQ155" s="839"/>
      <c r="UR155" s="839"/>
      <c r="US155" s="839"/>
      <c r="UT155" s="839"/>
      <c r="UU155" s="839"/>
      <c r="UV155" s="839"/>
      <c r="UW155" s="839"/>
      <c r="UX155" s="839"/>
      <c r="UY155" s="839"/>
      <c r="UZ155" s="839"/>
      <c r="VA155" s="839"/>
      <c r="VB155" s="839"/>
      <c r="VC155" s="839"/>
      <c r="VD155" s="839"/>
      <c r="VE155" s="839"/>
      <c r="VF155" s="839"/>
      <c r="VG155" s="839"/>
      <c r="VH155" s="839"/>
      <c r="VI155" s="839"/>
      <c r="VJ155" s="839"/>
      <c r="VK155" s="839"/>
      <c r="VL155" s="839"/>
      <c r="VM155" s="839"/>
      <c r="VN155" s="839"/>
      <c r="VO155" s="839"/>
      <c r="VP155" s="839"/>
      <c r="VQ155" s="839"/>
      <c r="VR155" s="839"/>
      <c r="VS155" s="839"/>
      <c r="VT155" s="839"/>
      <c r="VU155" s="839"/>
      <c r="VV155" s="839"/>
      <c r="VW155" s="839"/>
      <c r="VX155" s="839"/>
      <c r="VY155" s="839"/>
      <c r="VZ155" s="839"/>
      <c r="WA155" s="839"/>
      <c r="WB155" s="839"/>
      <c r="WC155" s="839"/>
      <c r="WD155" s="839"/>
      <c r="WE155" s="839"/>
      <c r="WF155" s="839"/>
      <c r="WG155" s="839"/>
      <c r="WH155" s="839"/>
      <c r="WI155" s="839"/>
      <c r="WJ155" s="839"/>
      <c r="WK155" s="839"/>
      <c r="WL155" s="839"/>
      <c r="WM155" s="839"/>
      <c r="WN155" s="839"/>
      <c r="WO155" s="839"/>
      <c r="WP155" s="839"/>
      <c r="WQ155" s="839"/>
      <c r="WR155" s="839"/>
      <c r="WS155" s="839"/>
      <c r="WT155" s="839"/>
      <c r="WU155" s="839"/>
      <c r="WV155" s="839"/>
      <c r="WW155" s="839"/>
      <c r="WX155" s="839"/>
      <c r="WY155" s="839"/>
      <c r="WZ155" s="839"/>
      <c r="XA155" s="839"/>
      <c r="XB155" s="839"/>
      <c r="XC155" s="839"/>
      <c r="XD155" s="839"/>
      <c r="XE155" s="839"/>
      <c r="XF155" s="839"/>
      <c r="XG155" s="839"/>
      <c r="XH155" s="839"/>
      <c r="XI155" s="839"/>
      <c r="XJ155" s="839"/>
      <c r="XK155" s="839"/>
      <c r="XL155" s="839"/>
      <c r="XM155" s="839"/>
      <c r="XN155" s="839"/>
      <c r="XO155" s="839"/>
      <c r="XP155" s="839"/>
      <c r="XQ155" s="839"/>
      <c r="XR155" s="839"/>
      <c r="XS155" s="839"/>
      <c r="XT155" s="839"/>
      <c r="XU155" s="839"/>
      <c r="XV155" s="839"/>
      <c r="XW155" s="839"/>
      <c r="XX155" s="839"/>
      <c r="XY155" s="839"/>
      <c r="XZ155" s="839"/>
      <c r="YA155" s="839"/>
      <c r="YB155" s="839"/>
      <c r="YC155" s="839"/>
      <c r="YD155" s="839"/>
      <c r="YE155" s="839"/>
      <c r="YF155" s="839"/>
      <c r="YG155" s="839"/>
      <c r="YH155" s="839"/>
      <c r="YI155" s="839"/>
      <c r="YJ155" s="839"/>
      <c r="YK155" s="839"/>
      <c r="YL155" s="839"/>
      <c r="YM155" s="839"/>
      <c r="YN155" s="839"/>
      <c r="YO155" s="839"/>
      <c r="YP155" s="839"/>
      <c r="YQ155" s="839"/>
      <c r="YR155" s="839"/>
      <c r="YS155" s="839"/>
      <c r="YT155" s="839"/>
      <c r="YU155" s="839"/>
      <c r="YV155" s="839"/>
      <c r="YW155" s="839"/>
      <c r="YX155" s="839"/>
      <c r="YY155" s="839"/>
      <c r="YZ155" s="839"/>
      <c r="ZA155" s="839"/>
      <c r="ZB155" s="839"/>
      <c r="ZC155" s="839"/>
      <c r="ZD155" s="839"/>
      <c r="ZE155" s="839"/>
      <c r="ZF155" s="839"/>
      <c r="ZG155" s="839"/>
      <c r="ZH155" s="839"/>
      <c r="ZI155" s="839"/>
      <c r="ZJ155" s="839"/>
      <c r="ZK155" s="839"/>
      <c r="ZL155" s="839"/>
      <c r="ZM155" s="839"/>
      <c r="ZN155" s="839"/>
      <c r="ZO155" s="839"/>
      <c r="ZP155" s="839"/>
      <c r="ZQ155" s="839"/>
      <c r="ZR155" s="839"/>
      <c r="ZS155" s="839"/>
      <c r="ZT155" s="839"/>
      <c r="ZU155" s="839"/>
      <c r="ZV155" s="839"/>
      <c r="ZW155" s="839"/>
      <c r="ZX155" s="839"/>
      <c r="ZY155" s="839"/>
      <c r="ZZ155" s="839"/>
      <c r="AAA155" s="839"/>
      <c r="AAB155" s="839"/>
      <c r="AAC155" s="839"/>
      <c r="AAD155" s="839"/>
      <c r="AAE155" s="839"/>
      <c r="AAF155" s="839"/>
      <c r="AAG155" s="839"/>
      <c r="AAH155" s="839"/>
      <c r="AAI155" s="839"/>
      <c r="AAJ155" s="839"/>
      <c r="AAK155" s="839"/>
      <c r="AAL155" s="839"/>
      <c r="AAM155" s="839"/>
      <c r="AAN155" s="839"/>
      <c r="AAO155" s="839"/>
      <c r="AAP155" s="839"/>
      <c r="AAQ155" s="839"/>
      <c r="AAR155" s="839"/>
      <c r="AAS155" s="839"/>
      <c r="AAT155" s="839"/>
      <c r="AAU155" s="839"/>
      <c r="AAV155" s="839"/>
      <c r="AAW155" s="839"/>
      <c r="AAX155" s="839"/>
      <c r="AAY155" s="839"/>
      <c r="AAZ155" s="839"/>
      <c r="ABA155" s="839"/>
      <c r="ABB155" s="839"/>
      <c r="ABC155" s="839"/>
      <c r="ABD155" s="839"/>
      <c r="ABE155" s="839"/>
      <c r="ABF155" s="839"/>
      <c r="ABG155" s="839"/>
      <c r="ABH155" s="839"/>
      <c r="ABI155" s="839"/>
      <c r="ABJ155" s="839"/>
      <c r="ABK155" s="839"/>
      <c r="ABL155" s="839"/>
      <c r="ABM155" s="839"/>
      <c r="ABN155" s="839"/>
      <c r="ABO155" s="839"/>
      <c r="ABP155" s="839"/>
      <c r="ABQ155" s="839"/>
      <c r="ABR155" s="839"/>
      <c r="ABS155" s="839"/>
      <c r="ABT155" s="839"/>
      <c r="ABU155" s="839"/>
      <c r="ABV155" s="839"/>
      <c r="ABW155" s="839"/>
      <c r="ABX155" s="839"/>
      <c r="ABY155" s="839"/>
      <c r="ABZ155" s="839"/>
      <c r="ACA155" s="839"/>
      <c r="ACB155" s="839"/>
      <c r="ACC155" s="839"/>
      <c r="ACD155" s="839"/>
      <c r="ACE155" s="839"/>
      <c r="ACF155" s="839"/>
      <c r="ACG155" s="839"/>
      <c r="ACH155" s="839"/>
      <c r="ACI155" s="839"/>
      <c r="ACJ155" s="839"/>
      <c r="ACK155" s="839"/>
      <c r="ACL155" s="839"/>
      <c r="ACM155" s="839"/>
      <c r="ACN155" s="839"/>
      <c r="ACO155" s="839"/>
      <c r="ACP155" s="839"/>
      <c r="ACQ155" s="839"/>
      <c r="ACR155" s="839"/>
      <c r="ACS155" s="839"/>
      <c r="ACT155" s="839"/>
      <c r="ACU155" s="839"/>
      <c r="ACV155" s="839"/>
      <c r="ACW155" s="839"/>
      <c r="ACX155" s="839"/>
      <c r="ACY155" s="839"/>
      <c r="ACZ155" s="839"/>
      <c r="ADA155" s="839"/>
      <c r="ADB155" s="839"/>
      <c r="ADC155" s="839"/>
      <c r="ADD155" s="839"/>
      <c r="ADE155" s="839"/>
      <c r="ADF155" s="839"/>
      <c r="ADG155" s="839"/>
      <c r="ADH155" s="839"/>
      <c r="ADI155" s="839"/>
      <c r="ADJ155" s="839"/>
      <c r="ADK155" s="839"/>
      <c r="ADL155" s="839"/>
      <c r="ADM155" s="839"/>
      <c r="ADN155" s="839"/>
      <c r="ADO155" s="839"/>
      <c r="ADP155" s="839"/>
      <c r="ADQ155" s="839"/>
      <c r="ADR155" s="839"/>
      <c r="ADS155" s="839"/>
      <c r="ADT155" s="839"/>
      <c r="ADU155" s="839"/>
      <c r="ADV155" s="839"/>
      <c r="ADW155" s="839"/>
      <c r="ADX155" s="839"/>
      <c r="ADY155" s="839"/>
      <c r="ADZ155" s="839"/>
      <c r="AEA155" s="839"/>
      <c r="AEB155" s="839"/>
      <c r="AEC155" s="839"/>
      <c r="AED155" s="839"/>
      <c r="AEE155" s="839"/>
      <c r="AEF155" s="839"/>
      <c r="AEG155" s="839"/>
      <c r="AEH155" s="839"/>
      <c r="AEI155" s="839"/>
      <c r="AEJ155" s="839"/>
      <c r="AEK155" s="839"/>
      <c r="AEL155" s="839"/>
      <c r="AEM155" s="839"/>
      <c r="AEN155" s="839"/>
      <c r="AEO155" s="839"/>
      <c r="AEP155" s="839"/>
      <c r="AEQ155" s="839"/>
      <c r="AER155" s="839"/>
      <c r="AES155" s="839"/>
      <c r="AET155" s="839"/>
      <c r="AEU155" s="839"/>
      <c r="AEV155" s="839"/>
      <c r="AEW155" s="839"/>
      <c r="AEX155" s="839"/>
      <c r="AEY155" s="839"/>
      <c r="AEZ155" s="839"/>
      <c r="AFA155" s="839"/>
      <c r="AFB155" s="839"/>
      <c r="AFC155" s="839"/>
      <c r="AFD155" s="839"/>
      <c r="AFE155" s="839"/>
      <c r="AFF155" s="839"/>
      <c r="AFG155" s="839"/>
      <c r="AFH155" s="839"/>
      <c r="AFI155" s="839"/>
      <c r="AFJ155" s="839"/>
      <c r="AFK155" s="839"/>
      <c r="AFL155" s="839"/>
      <c r="AFM155" s="839"/>
      <c r="AFN155" s="839"/>
      <c r="AFO155" s="839"/>
      <c r="AFP155" s="839"/>
      <c r="AFQ155" s="839"/>
      <c r="AFR155" s="839"/>
      <c r="AFS155" s="839"/>
      <c r="AFT155" s="839"/>
      <c r="AFU155" s="839"/>
      <c r="AFV155" s="839"/>
      <c r="AFW155" s="839"/>
      <c r="AFX155" s="839"/>
      <c r="AFY155" s="839"/>
      <c r="AFZ155" s="839"/>
      <c r="AGA155" s="839"/>
      <c r="AGB155" s="839"/>
      <c r="AGC155" s="839"/>
      <c r="AGD155" s="839"/>
      <c r="AGE155" s="839"/>
      <c r="AGF155" s="839"/>
      <c r="AGG155" s="839"/>
      <c r="AGH155" s="839"/>
      <c r="AGI155" s="839"/>
      <c r="AGJ155" s="839"/>
      <c r="AGK155" s="839"/>
      <c r="AGL155" s="839"/>
      <c r="AGM155" s="839"/>
      <c r="AGN155" s="839"/>
      <c r="AGO155" s="839"/>
      <c r="AGP155" s="839"/>
      <c r="AGQ155" s="839"/>
      <c r="AGR155" s="839"/>
      <c r="AGS155" s="839"/>
      <c r="AGT155" s="839"/>
      <c r="AGU155" s="839"/>
      <c r="AGV155" s="839"/>
      <c r="AGW155" s="839"/>
      <c r="AGX155" s="839"/>
      <c r="AGY155" s="839"/>
      <c r="AGZ155" s="839"/>
      <c r="AHA155" s="839"/>
      <c r="AHB155" s="839"/>
      <c r="AHC155" s="839"/>
      <c r="AHD155" s="839"/>
      <c r="AHE155" s="839"/>
      <c r="AHF155" s="839"/>
      <c r="AHG155" s="839"/>
      <c r="AHH155" s="839"/>
      <c r="AHI155" s="839"/>
      <c r="AHJ155" s="839"/>
      <c r="AHK155" s="839"/>
      <c r="AHL155" s="839"/>
      <c r="AHM155" s="839"/>
      <c r="AHN155" s="839"/>
      <c r="AHO155" s="839"/>
      <c r="AHP155" s="839"/>
      <c r="AHQ155" s="839"/>
      <c r="AHR155" s="839"/>
      <c r="AHS155" s="839"/>
      <c r="AHT155" s="839"/>
      <c r="AHU155" s="839"/>
      <c r="AHV155" s="839"/>
      <c r="AHW155" s="839"/>
      <c r="AHX155" s="839"/>
      <c r="AHY155" s="839"/>
      <c r="AHZ155" s="839"/>
      <c r="AIA155" s="839"/>
      <c r="AIB155" s="839"/>
      <c r="AIC155" s="839"/>
      <c r="AID155" s="839"/>
      <c r="AIE155" s="839"/>
      <c r="AIF155" s="839"/>
      <c r="AIG155" s="839"/>
      <c r="AIH155" s="839"/>
      <c r="AII155" s="839"/>
      <c r="AIJ155" s="839"/>
      <c r="AIK155" s="839"/>
      <c r="AIL155" s="839"/>
      <c r="AIM155" s="839"/>
      <c r="AIN155" s="839"/>
      <c r="AIO155" s="839"/>
      <c r="AIP155" s="839"/>
      <c r="AIQ155" s="839"/>
      <c r="AIR155" s="839"/>
      <c r="AIS155" s="839"/>
      <c r="AIT155" s="839"/>
      <c r="AIU155" s="839"/>
      <c r="AIV155" s="839"/>
      <c r="AIW155" s="839"/>
      <c r="AIX155" s="839"/>
      <c r="AIY155" s="839"/>
      <c r="AIZ155" s="839"/>
      <c r="AJA155" s="839"/>
      <c r="AJB155" s="839"/>
      <c r="AJC155" s="839"/>
      <c r="AJD155" s="839"/>
      <c r="AJE155" s="839"/>
      <c r="AJF155" s="839"/>
      <c r="AJG155" s="839"/>
      <c r="AJH155" s="839"/>
      <c r="AJI155" s="839"/>
      <c r="AJJ155" s="839"/>
      <c r="AJK155" s="839"/>
      <c r="AJL155" s="839"/>
      <c r="AJM155" s="839"/>
      <c r="AJN155" s="839"/>
      <c r="AJO155" s="839"/>
      <c r="AJP155" s="839"/>
      <c r="AJQ155" s="839"/>
      <c r="AJR155" s="839"/>
      <c r="AJS155" s="839"/>
      <c r="AJT155" s="839"/>
      <c r="AJU155" s="839"/>
      <c r="AJV155" s="839"/>
      <c r="AJW155" s="839"/>
      <c r="AJX155" s="839"/>
      <c r="AJY155" s="839"/>
      <c r="AJZ155" s="839"/>
      <c r="AKA155" s="839"/>
      <c r="AKB155" s="839"/>
      <c r="AKC155" s="839"/>
      <c r="AKD155" s="839"/>
      <c r="AKE155" s="839"/>
      <c r="AKF155" s="839"/>
      <c r="AKG155" s="839"/>
      <c r="AKH155" s="839"/>
      <c r="AKI155" s="839"/>
      <c r="AKJ155" s="839"/>
      <c r="AKK155" s="839"/>
      <c r="AKL155" s="839"/>
      <c r="AKM155" s="839"/>
      <c r="AKN155" s="839"/>
      <c r="AKO155" s="839"/>
      <c r="AKP155" s="839"/>
      <c r="AKQ155" s="839"/>
      <c r="AKR155" s="839"/>
      <c r="AKS155" s="839"/>
      <c r="AKT155" s="839"/>
      <c r="AKU155" s="839"/>
      <c r="AKV155" s="839"/>
      <c r="AKW155" s="839"/>
      <c r="AKX155" s="839"/>
      <c r="AKY155" s="839"/>
      <c r="AKZ155" s="839"/>
      <c r="ALA155" s="839"/>
      <c r="ALB155" s="839"/>
      <c r="ALC155" s="839"/>
      <c r="ALD155" s="839"/>
      <c r="ALE155" s="839"/>
      <c r="ALF155" s="839"/>
      <c r="ALG155" s="839"/>
      <c r="ALH155" s="839"/>
      <c r="ALI155" s="839"/>
      <c r="ALJ155" s="839"/>
      <c r="ALK155" s="839"/>
      <c r="ALL155" s="839"/>
      <c r="ALM155" s="839"/>
      <c r="ALN155" s="839"/>
      <c r="ALO155" s="839"/>
      <c r="ALP155" s="839"/>
      <c r="ALQ155" s="839"/>
      <c r="ALR155" s="839"/>
      <c r="ALS155" s="839"/>
      <c r="ALT155" s="839"/>
      <c r="ALU155" s="839"/>
      <c r="ALV155" s="839"/>
      <c r="ALW155" s="839"/>
      <c r="ALX155" s="839"/>
      <c r="ALY155" s="839"/>
      <c r="ALZ155" s="839"/>
      <c r="AMA155" s="839"/>
      <c r="AMB155" s="839"/>
      <c r="AMC155" s="839"/>
      <c r="AMD155" s="839"/>
      <c r="AME155" s="839"/>
      <c r="AMF155" s="839"/>
      <c r="AMG155" s="839"/>
      <c r="AMH155" s="839"/>
      <c r="AMI155" s="839"/>
      <c r="AMJ155" s="839"/>
      <c r="AMK155" s="839"/>
      <c r="AML155" s="839"/>
      <c r="AMM155" s="839"/>
      <c r="AMN155" s="839"/>
      <c r="AMO155" s="839"/>
      <c r="AMP155" s="839"/>
      <c r="AMQ155" s="839"/>
      <c r="AMR155" s="839"/>
      <c r="AMS155" s="839"/>
      <c r="AMT155" s="839"/>
      <c r="AMU155" s="839"/>
      <c r="AMV155" s="839"/>
      <c r="AMW155" s="839"/>
      <c r="AMX155" s="839"/>
      <c r="AMY155" s="839"/>
      <c r="AMZ155" s="839"/>
      <c r="ANA155" s="839"/>
      <c r="ANB155" s="839"/>
      <c r="ANC155" s="839"/>
      <c r="AND155" s="839"/>
      <c r="ANE155" s="839"/>
      <c r="ANF155" s="839"/>
      <c r="ANG155" s="839"/>
      <c r="ANH155" s="839"/>
      <c r="ANI155" s="839"/>
      <c r="ANJ155" s="839"/>
      <c r="ANK155" s="839"/>
      <c r="ANL155" s="839"/>
      <c r="ANM155" s="839"/>
      <c r="ANN155" s="839"/>
      <c r="ANO155" s="839"/>
      <c r="ANP155" s="839"/>
      <c r="ANQ155" s="839"/>
      <c r="ANR155" s="839"/>
      <c r="ANS155" s="839"/>
      <c r="ANT155" s="839"/>
      <c r="ANU155" s="839"/>
      <c r="ANV155" s="839"/>
      <c r="ANW155" s="839"/>
      <c r="ANX155" s="839"/>
      <c r="ANY155" s="839"/>
      <c r="ANZ155" s="839"/>
      <c r="AOA155" s="839"/>
      <c r="AOB155" s="839"/>
      <c r="AOC155" s="839"/>
      <c r="AOD155" s="839"/>
      <c r="AOE155" s="839"/>
      <c r="AOF155" s="839"/>
      <c r="AOG155" s="839"/>
      <c r="AOH155" s="839"/>
      <c r="AOI155" s="839"/>
      <c r="AOJ155" s="839"/>
      <c r="AOK155" s="839"/>
      <c r="AOL155" s="839"/>
      <c r="AOM155" s="839"/>
      <c r="AON155" s="839"/>
      <c r="AOO155" s="839"/>
      <c r="AOP155" s="839"/>
      <c r="AOQ155" s="839"/>
      <c r="AOR155" s="839"/>
      <c r="AOS155" s="839"/>
      <c r="AOT155" s="839"/>
      <c r="AOU155" s="839"/>
      <c r="AOV155" s="839"/>
      <c r="AOW155" s="839"/>
      <c r="AOX155" s="839"/>
      <c r="AOY155" s="839"/>
      <c r="AOZ155" s="839"/>
      <c r="APA155" s="839"/>
      <c r="APB155" s="839"/>
      <c r="APC155" s="839"/>
      <c r="APD155" s="839"/>
      <c r="APE155" s="839"/>
      <c r="APF155" s="839"/>
      <c r="APG155" s="839"/>
      <c r="APH155" s="839"/>
      <c r="API155" s="839"/>
      <c r="APJ155" s="839"/>
      <c r="APK155" s="839"/>
      <c r="APL155" s="839"/>
      <c r="APM155" s="839"/>
      <c r="APN155" s="839"/>
      <c r="APO155" s="839"/>
      <c r="APP155" s="839"/>
      <c r="APQ155" s="839"/>
      <c r="APR155" s="839"/>
      <c r="APS155" s="839"/>
      <c r="APT155" s="839"/>
      <c r="APU155" s="839"/>
      <c r="APV155" s="839"/>
      <c r="APW155" s="839"/>
      <c r="APX155" s="839"/>
      <c r="APY155" s="839"/>
      <c r="APZ155" s="839"/>
      <c r="AQA155" s="839"/>
      <c r="AQB155" s="839"/>
      <c r="AQC155" s="839"/>
      <c r="AQD155" s="839"/>
      <c r="AQE155" s="839"/>
      <c r="AQF155" s="839"/>
      <c r="AQG155" s="839"/>
      <c r="AQH155" s="839"/>
      <c r="AQI155" s="839"/>
      <c r="AQJ155" s="839"/>
      <c r="AQK155" s="839"/>
      <c r="AQL155" s="839"/>
      <c r="AQM155" s="839"/>
      <c r="AQN155" s="839"/>
      <c r="AQO155" s="839"/>
      <c r="AQP155" s="839"/>
      <c r="AQQ155" s="839"/>
      <c r="AQR155" s="839"/>
      <c r="AQS155" s="839"/>
      <c r="AQT155" s="839"/>
      <c r="AQU155" s="839"/>
      <c r="AQV155" s="839"/>
      <c r="AQW155" s="839"/>
      <c r="AQX155" s="839"/>
      <c r="AQY155" s="839"/>
      <c r="AQZ155" s="839"/>
      <c r="ARA155" s="839"/>
      <c r="ARB155" s="839"/>
      <c r="ARC155" s="839"/>
      <c r="ARD155" s="839"/>
      <c r="ARE155" s="839"/>
      <c r="ARF155" s="839"/>
      <c r="ARG155" s="839"/>
      <c r="ARH155" s="839"/>
      <c r="ARI155" s="839"/>
      <c r="ARJ155" s="839"/>
      <c r="ARK155" s="839"/>
      <c r="ARL155" s="839"/>
      <c r="ARM155" s="839"/>
      <c r="ARN155" s="839"/>
      <c r="ARO155" s="839"/>
      <c r="ARP155" s="839"/>
      <c r="ARQ155" s="839"/>
      <c r="ARR155" s="839"/>
      <c r="ARS155" s="839"/>
      <c r="ART155" s="839"/>
      <c r="ARU155" s="839"/>
      <c r="ARV155" s="839"/>
      <c r="ARW155" s="839"/>
      <c r="ARX155" s="839"/>
      <c r="ARY155" s="839"/>
      <c r="ARZ155" s="839"/>
      <c r="ASA155" s="839"/>
      <c r="ASB155" s="839"/>
      <c r="ASC155" s="839"/>
      <c r="ASD155" s="839"/>
      <c r="ASE155" s="839"/>
      <c r="ASF155" s="839"/>
      <c r="ASG155" s="839"/>
      <c r="ASH155" s="839"/>
      <c r="ASI155" s="839"/>
      <c r="ASJ155" s="839"/>
      <c r="ASK155" s="839"/>
      <c r="ASL155" s="839"/>
      <c r="ASM155" s="839"/>
      <c r="ASN155" s="839"/>
      <c r="ASO155" s="839"/>
      <c r="ASP155" s="839"/>
      <c r="ASQ155" s="839"/>
      <c r="ASR155" s="839"/>
      <c r="ASS155" s="839"/>
      <c r="AST155" s="839"/>
      <c r="ASU155" s="839"/>
      <c r="ASV155" s="839"/>
      <c r="ASW155" s="839"/>
      <c r="ASX155" s="839"/>
      <c r="ASY155" s="839"/>
      <c r="ASZ155" s="839"/>
      <c r="ATA155" s="839"/>
      <c r="ATB155" s="839"/>
      <c r="ATC155" s="839"/>
      <c r="ATD155" s="839"/>
      <c r="ATE155" s="839"/>
      <c r="ATF155" s="839"/>
      <c r="ATG155" s="839"/>
      <c r="ATH155" s="839"/>
      <c r="ATI155" s="839"/>
      <c r="ATJ155" s="839"/>
      <c r="ATK155" s="839"/>
      <c r="ATL155" s="839"/>
      <c r="ATM155" s="839"/>
      <c r="ATN155" s="839"/>
      <c r="ATO155" s="839"/>
      <c r="ATP155" s="839"/>
      <c r="ATQ155" s="839"/>
      <c r="ATR155" s="839"/>
      <c r="ATS155" s="839"/>
      <c r="ATT155" s="839"/>
      <c r="ATU155" s="839"/>
      <c r="ATV155" s="839"/>
      <c r="ATW155" s="839"/>
      <c r="ATX155" s="839"/>
      <c r="ATY155" s="839"/>
      <c r="ATZ155" s="839"/>
      <c r="AUA155" s="839"/>
      <c r="AUB155" s="839"/>
      <c r="AUC155" s="839"/>
      <c r="AUD155" s="839"/>
      <c r="AUE155" s="839"/>
      <c r="AUF155" s="839"/>
      <c r="AUG155" s="839"/>
      <c r="AUH155" s="839"/>
      <c r="AUI155" s="839"/>
      <c r="AUJ155" s="839"/>
      <c r="AUK155" s="839"/>
      <c r="AUL155" s="839"/>
      <c r="AUM155" s="839"/>
      <c r="AUN155" s="839"/>
      <c r="AUO155" s="839"/>
      <c r="AUP155" s="839"/>
      <c r="AUQ155" s="839"/>
      <c r="AUR155" s="839"/>
      <c r="AUS155" s="839"/>
      <c r="AUT155" s="839"/>
      <c r="AUU155" s="839"/>
      <c r="AUV155" s="839"/>
      <c r="AUW155" s="839"/>
      <c r="AUX155" s="839"/>
      <c r="AUY155" s="839"/>
      <c r="AUZ155" s="839"/>
      <c r="AVA155" s="839"/>
      <c r="AVB155" s="839"/>
      <c r="AVC155" s="839"/>
      <c r="AVD155" s="839"/>
      <c r="AVE155" s="839"/>
      <c r="AVF155" s="839"/>
      <c r="AVG155" s="839"/>
      <c r="AVH155" s="839"/>
      <c r="AVI155" s="839"/>
      <c r="AVJ155" s="839"/>
      <c r="AVK155" s="839"/>
      <c r="AVL155" s="839"/>
      <c r="AVM155" s="839"/>
      <c r="AVN155" s="839"/>
      <c r="AVO155" s="839"/>
      <c r="AVP155" s="839"/>
      <c r="AVQ155" s="839"/>
      <c r="AVR155" s="839"/>
      <c r="AVS155" s="839"/>
      <c r="AVT155" s="839"/>
      <c r="AVU155" s="839"/>
      <c r="AVV155" s="839"/>
      <c r="AVW155" s="839"/>
      <c r="AVX155" s="839"/>
      <c r="AVY155" s="839"/>
      <c r="AVZ155" s="839"/>
      <c r="AWA155" s="839"/>
      <c r="AWB155" s="839"/>
      <c r="AWC155" s="839"/>
      <c r="AWD155" s="839"/>
      <c r="AWE155" s="839"/>
      <c r="AWF155" s="839"/>
      <c r="AWG155" s="839"/>
      <c r="AWH155" s="839"/>
      <c r="AWI155" s="839"/>
      <c r="AWJ155" s="839"/>
      <c r="AWK155" s="839"/>
      <c r="AWL155" s="839"/>
      <c r="AWM155" s="839"/>
      <c r="AWN155" s="839"/>
      <c r="AWO155" s="839"/>
      <c r="AWP155" s="839"/>
      <c r="AWQ155" s="839"/>
      <c r="AWR155" s="839"/>
      <c r="AWS155" s="839"/>
      <c r="AWT155" s="839"/>
      <c r="AWU155" s="839"/>
      <c r="AWV155" s="839"/>
      <c r="AWW155" s="839"/>
      <c r="AWX155" s="839"/>
      <c r="AWY155" s="839"/>
      <c r="AWZ155" s="839"/>
      <c r="AXA155" s="839"/>
      <c r="AXB155" s="839"/>
      <c r="AXC155" s="839"/>
      <c r="AXD155" s="839"/>
      <c r="AXE155" s="839"/>
      <c r="AXF155" s="839"/>
      <c r="AXG155" s="839"/>
      <c r="AXH155" s="839"/>
      <c r="AXI155" s="839"/>
      <c r="AXJ155" s="839"/>
      <c r="AXK155" s="839"/>
      <c r="AXL155" s="839"/>
      <c r="AXM155" s="839"/>
      <c r="AXN155" s="839"/>
      <c r="AXO155" s="839"/>
      <c r="AXP155" s="839"/>
      <c r="AXQ155" s="839"/>
      <c r="AXR155" s="839"/>
      <c r="AXS155" s="839"/>
      <c r="AXT155" s="839"/>
      <c r="AXU155" s="839"/>
      <c r="AXV155" s="839"/>
      <c r="AXW155" s="839"/>
      <c r="AXX155" s="839"/>
      <c r="AXY155" s="839"/>
      <c r="AXZ155" s="839"/>
      <c r="AYA155" s="839"/>
      <c r="AYB155" s="839"/>
      <c r="AYC155" s="839"/>
      <c r="AYD155" s="839"/>
      <c r="AYE155" s="839"/>
      <c r="AYF155" s="839"/>
      <c r="AYG155" s="839"/>
      <c r="AYH155" s="839"/>
      <c r="AYI155" s="839"/>
      <c r="AYJ155" s="839"/>
      <c r="AYK155" s="839"/>
      <c r="AYL155" s="839"/>
      <c r="AYM155" s="839"/>
      <c r="AYN155" s="839"/>
      <c r="AYO155" s="839"/>
      <c r="AYP155" s="839"/>
      <c r="AYQ155" s="839"/>
      <c r="AYR155" s="839"/>
      <c r="AYS155" s="839"/>
      <c r="AYT155" s="839"/>
      <c r="AYU155" s="839"/>
      <c r="AYV155" s="839"/>
      <c r="AYW155" s="839"/>
      <c r="AYX155" s="839"/>
      <c r="AYY155" s="839"/>
      <c r="AYZ155" s="839"/>
      <c r="AZA155" s="839"/>
      <c r="AZB155" s="839"/>
      <c r="AZC155" s="839"/>
      <c r="AZD155" s="839"/>
      <c r="AZE155" s="839"/>
      <c r="AZF155" s="839"/>
      <c r="AZG155" s="839"/>
      <c r="AZH155" s="839"/>
      <c r="AZI155" s="839"/>
      <c r="AZJ155" s="839"/>
      <c r="AZK155" s="839"/>
      <c r="AZL155" s="839"/>
      <c r="AZM155" s="839"/>
      <c r="AZN155" s="839"/>
      <c r="AZO155" s="839"/>
      <c r="AZP155" s="839"/>
      <c r="AZQ155" s="839"/>
      <c r="AZR155" s="839"/>
      <c r="AZS155" s="839"/>
      <c r="AZT155" s="839"/>
      <c r="AZU155" s="839"/>
      <c r="AZV155" s="839"/>
      <c r="AZW155" s="839"/>
      <c r="AZX155" s="839"/>
      <c r="AZY155" s="839"/>
      <c r="AZZ155" s="839"/>
      <c r="BAA155" s="839"/>
      <c r="BAB155" s="839"/>
      <c r="BAC155" s="839"/>
      <c r="BAD155" s="839"/>
      <c r="BAE155" s="839"/>
      <c r="BAF155" s="839"/>
      <c r="BAG155" s="839"/>
      <c r="BAH155" s="839"/>
      <c r="BAI155" s="839"/>
      <c r="BAJ155" s="839"/>
      <c r="BAK155" s="839"/>
      <c r="BAL155" s="839"/>
      <c r="BAM155" s="839"/>
      <c r="BAN155" s="839"/>
      <c r="BAO155" s="839"/>
      <c r="BAP155" s="839"/>
      <c r="BAQ155" s="839"/>
      <c r="BAR155" s="839"/>
      <c r="BAS155" s="839"/>
      <c r="BAT155" s="839"/>
      <c r="BAU155" s="839"/>
      <c r="BAV155" s="839"/>
      <c r="BAW155" s="839"/>
      <c r="BAX155" s="839"/>
      <c r="BAY155" s="839"/>
      <c r="BAZ155" s="839"/>
      <c r="BBA155" s="839"/>
      <c r="BBB155" s="839"/>
      <c r="BBC155" s="839"/>
      <c r="BBD155" s="839"/>
      <c r="BBE155" s="839"/>
      <c r="BBF155" s="839"/>
      <c r="BBG155" s="839"/>
      <c r="BBH155" s="839"/>
      <c r="BBI155" s="839"/>
      <c r="BBJ155" s="839"/>
      <c r="BBK155" s="839"/>
      <c r="BBL155" s="839"/>
      <c r="BBM155" s="839"/>
      <c r="BBN155" s="839"/>
      <c r="BBO155" s="839"/>
      <c r="BBP155" s="839"/>
      <c r="BBQ155" s="839"/>
      <c r="BBR155" s="839"/>
      <c r="BBS155" s="839"/>
      <c r="BBT155" s="839"/>
      <c r="BBU155" s="839"/>
      <c r="BBV155" s="839"/>
      <c r="BBW155" s="839"/>
      <c r="BBX155" s="839"/>
      <c r="BBY155" s="839"/>
      <c r="BBZ155" s="839"/>
      <c r="BCA155" s="839"/>
      <c r="BCB155" s="839"/>
      <c r="BCC155" s="839"/>
      <c r="BCD155" s="839"/>
      <c r="BCE155" s="839"/>
      <c r="BCF155" s="839"/>
      <c r="BCG155" s="839"/>
      <c r="BCH155" s="839"/>
      <c r="BCI155" s="839"/>
      <c r="BCJ155" s="839"/>
      <c r="BCK155" s="839"/>
      <c r="BCL155" s="839"/>
      <c r="BCM155" s="839"/>
      <c r="BCN155" s="839"/>
      <c r="BCO155" s="839"/>
      <c r="BCP155" s="839"/>
      <c r="BCQ155" s="839"/>
      <c r="BCR155" s="839"/>
      <c r="BCS155" s="839"/>
      <c r="BCT155" s="839"/>
      <c r="BCU155" s="839"/>
      <c r="BCV155" s="839"/>
      <c r="BCW155" s="839"/>
      <c r="BCX155" s="839"/>
      <c r="BCY155" s="839"/>
      <c r="BCZ155" s="839"/>
      <c r="BDA155" s="839"/>
      <c r="BDB155" s="839"/>
      <c r="BDC155" s="839"/>
      <c r="BDD155" s="839"/>
      <c r="BDE155" s="839"/>
      <c r="BDF155" s="839"/>
      <c r="BDG155" s="839"/>
      <c r="BDH155" s="839"/>
      <c r="BDI155" s="839"/>
      <c r="BDJ155" s="839"/>
      <c r="BDK155" s="839"/>
      <c r="BDL155" s="839"/>
      <c r="BDM155" s="839"/>
      <c r="BDN155" s="839"/>
      <c r="BDO155" s="839"/>
      <c r="BDP155" s="839"/>
      <c r="BDQ155" s="839"/>
      <c r="BDR155" s="839"/>
      <c r="BDS155" s="839"/>
      <c r="BDT155" s="839"/>
      <c r="BDU155" s="839"/>
      <c r="BDV155" s="839"/>
      <c r="BDW155" s="839"/>
      <c r="BDX155" s="839"/>
      <c r="BDY155" s="839"/>
      <c r="BDZ155" s="839"/>
      <c r="BEA155" s="839"/>
      <c r="BEB155" s="839"/>
      <c r="BEC155" s="839"/>
      <c r="BED155" s="839"/>
      <c r="BEE155" s="839"/>
      <c r="BEF155" s="839"/>
      <c r="BEG155" s="839"/>
      <c r="BEH155" s="839"/>
      <c r="BEI155" s="839"/>
      <c r="BEJ155" s="839"/>
      <c r="BEK155" s="839"/>
      <c r="BEL155" s="839"/>
      <c r="BEM155" s="839"/>
      <c r="BEN155" s="839"/>
      <c r="BEO155" s="839"/>
      <c r="BEP155" s="839"/>
      <c r="BEQ155" s="839"/>
      <c r="BER155" s="839"/>
      <c r="BES155" s="839"/>
      <c r="BET155" s="839"/>
      <c r="BEU155" s="839"/>
      <c r="BEV155" s="839"/>
      <c r="BEW155" s="839"/>
      <c r="BEX155" s="839"/>
      <c r="BEY155" s="839"/>
      <c r="BEZ155" s="839"/>
      <c r="BFA155" s="839"/>
      <c r="BFB155" s="839"/>
      <c r="BFC155" s="839"/>
      <c r="BFD155" s="839"/>
      <c r="BFE155" s="839"/>
      <c r="BFF155" s="839"/>
      <c r="BFG155" s="839"/>
      <c r="BFH155" s="839"/>
      <c r="BFI155" s="839"/>
      <c r="BFJ155" s="839"/>
      <c r="BFK155" s="839"/>
      <c r="BFL155" s="839"/>
      <c r="BFM155" s="839"/>
      <c r="BFN155" s="839"/>
      <c r="BFO155" s="839"/>
      <c r="BFP155" s="839"/>
      <c r="BFQ155" s="839"/>
      <c r="BFR155" s="839"/>
      <c r="BFS155" s="839"/>
      <c r="BFT155" s="839"/>
      <c r="BFU155" s="839"/>
      <c r="BFV155" s="839"/>
      <c r="BFW155" s="839"/>
      <c r="BFX155" s="839"/>
      <c r="BFY155" s="839"/>
      <c r="BFZ155" s="839"/>
      <c r="BGA155" s="839"/>
      <c r="BGB155" s="839"/>
      <c r="BGC155" s="839"/>
      <c r="BGD155" s="839"/>
      <c r="BGE155" s="839"/>
      <c r="BGF155" s="839"/>
      <c r="BGG155" s="839"/>
      <c r="BGH155" s="839"/>
      <c r="BGI155" s="839"/>
      <c r="BGJ155" s="839"/>
      <c r="BGK155" s="839"/>
      <c r="BGL155" s="839"/>
      <c r="BGM155" s="839"/>
      <c r="BGN155" s="839"/>
      <c r="BGO155" s="839"/>
      <c r="BGP155" s="839"/>
      <c r="BGQ155" s="839"/>
      <c r="BGR155" s="839"/>
      <c r="BGS155" s="839"/>
      <c r="BGT155" s="839"/>
      <c r="BGU155" s="839"/>
      <c r="BGV155" s="839"/>
      <c r="BGW155" s="839"/>
      <c r="BGX155" s="839"/>
      <c r="BGY155" s="839"/>
      <c r="BGZ155" s="839"/>
      <c r="BHA155" s="839"/>
      <c r="BHB155" s="839"/>
      <c r="BHC155" s="839"/>
      <c r="BHD155" s="839"/>
      <c r="BHE155" s="839"/>
      <c r="BHF155" s="839"/>
      <c r="BHG155" s="839"/>
      <c r="BHH155" s="839"/>
      <c r="BHI155" s="839"/>
      <c r="BHJ155" s="839"/>
      <c r="BHK155" s="839"/>
      <c r="BHL155" s="839"/>
      <c r="BHM155" s="839"/>
      <c r="BHN155" s="839"/>
      <c r="BHO155" s="839"/>
      <c r="BHP155" s="839"/>
      <c r="BHQ155" s="839"/>
      <c r="BHR155" s="839"/>
      <c r="BHS155" s="839"/>
      <c r="BHT155" s="839"/>
      <c r="BHU155" s="839"/>
      <c r="BHV155" s="839"/>
      <c r="BHW155" s="839"/>
      <c r="BHX155" s="839"/>
      <c r="BHY155" s="839"/>
      <c r="BHZ155" s="839"/>
      <c r="BIA155" s="839"/>
      <c r="BIB155" s="839"/>
      <c r="BIC155" s="839"/>
      <c r="BID155" s="839"/>
      <c r="BIE155" s="839"/>
      <c r="BIF155" s="839"/>
      <c r="BIG155" s="839"/>
      <c r="BIH155" s="839"/>
      <c r="BII155" s="839"/>
      <c r="BIJ155" s="839"/>
      <c r="BIK155" s="839"/>
      <c r="BIL155" s="839"/>
      <c r="BIM155" s="839"/>
      <c r="BIN155" s="839"/>
      <c r="BIO155" s="839"/>
      <c r="BIP155" s="839"/>
      <c r="BIQ155" s="839"/>
      <c r="BIR155" s="839"/>
      <c r="BIS155" s="839"/>
      <c r="BIT155" s="839"/>
      <c r="BIU155" s="839"/>
      <c r="BIV155" s="839"/>
      <c r="BIW155" s="839"/>
      <c r="BIX155" s="839"/>
      <c r="BIY155" s="839"/>
      <c r="BIZ155" s="839"/>
      <c r="BJA155" s="839"/>
      <c r="BJB155" s="839"/>
      <c r="BJC155" s="839"/>
      <c r="BJD155" s="839"/>
      <c r="BJE155" s="839"/>
      <c r="BJF155" s="839"/>
      <c r="BJG155" s="839"/>
      <c r="BJH155" s="839"/>
      <c r="BJI155" s="839"/>
      <c r="BJJ155" s="839"/>
      <c r="BJK155" s="839"/>
      <c r="BJL155" s="839"/>
      <c r="BJM155" s="839"/>
      <c r="BJN155" s="839"/>
      <c r="BJO155" s="839"/>
      <c r="BJP155" s="839"/>
      <c r="BJQ155" s="839"/>
      <c r="BJR155" s="839"/>
      <c r="BJS155" s="839"/>
      <c r="BJT155" s="839"/>
      <c r="BJU155" s="839"/>
      <c r="BJV155" s="839"/>
      <c r="BJW155" s="839"/>
      <c r="BJX155" s="839"/>
      <c r="BJY155" s="839"/>
      <c r="BJZ155" s="839"/>
      <c r="BKA155" s="839"/>
      <c r="BKB155" s="839"/>
      <c r="BKC155" s="839"/>
      <c r="BKD155" s="839"/>
      <c r="BKE155" s="839"/>
      <c r="BKF155" s="839"/>
      <c r="BKG155" s="839"/>
      <c r="BKH155" s="839"/>
      <c r="BKI155" s="839"/>
      <c r="BKJ155" s="839"/>
      <c r="BKK155" s="839"/>
      <c r="BKL155" s="839"/>
      <c r="BKM155" s="839"/>
      <c r="BKN155" s="839"/>
      <c r="BKO155" s="839"/>
      <c r="BKP155" s="839"/>
      <c r="BKQ155" s="839"/>
      <c r="BKR155" s="839"/>
      <c r="BKS155" s="839"/>
      <c r="BKT155" s="839"/>
      <c r="BKU155" s="839"/>
      <c r="BKV155" s="839"/>
      <c r="BKW155" s="839"/>
      <c r="BKX155" s="839"/>
      <c r="BKY155" s="839"/>
      <c r="BKZ155" s="839"/>
      <c r="BLA155" s="839"/>
      <c r="BLB155" s="839"/>
      <c r="BLC155" s="839"/>
      <c r="BLD155" s="839"/>
      <c r="BLE155" s="839"/>
      <c r="BLF155" s="839"/>
      <c r="BLG155" s="839"/>
      <c r="BLH155" s="839"/>
      <c r="BLI155" s="839"/>
      <c r="BLJ155" s="839"/>
      <c r="BLK155" s="839"/>
      <c r="BLL155" s="839"/>
      <c r="BLM155" s="839"/>
      <c r="BLN155" s="839"/>
      <c r="BLO155" s="839"/>
      <c r="BLP155" s="839"/>
      <c r="BLQ155" s="839"/>
      <c r="BLR155" s="839"/>
      <c r="BLS155" s="839"/>
      <c r="BLT155" s="839"/>
      <c r="BLU155" s="839"/>
      <c r="BLV155" s="839"/>
      <c r="BLW155" s="839"/>
      <c r="BLX155" s="839"/>
      <c r="BLY155" s="839"/>
      <c r="BLZ155" s="839"/>
      <c r="BMA155" s="839"/>
      <c r="BMB155" s="839"/>
      <c r="BMC155" s="839"/>
      <c r="BMD155" s="839"/>
      <c r="BME155" s="839"/>
      <c r="BMF155" s="839"/>
      <c r="BMG155" s="839"/>
      <c r="BMH155" s="839"/>
      <c r="BMI155" s="839"/>
      <c r="BMJ155" s="839"/>
      <c r="BMK155" s="839"/>
      <c r="BML155" s="839"/>
      <c r="BMM155" s="839"/>
      <c r="BMN155" s="839"/>
      <c r="BMO155" s="839"/>
      <c r="BMP155" s="839"/>
      <c r="BMQ155" s="839"/>
      <c r="BMR155" s="839"/>
      <c r="BMS155" s="839"/>
      <c r="BMT155" s="839"/>
      <c r="BMU155" s="839"/>
      <c r="BMV155" s="839"/>
      <c r="BMW155" s="839"/>
      <c r="BMX155" s="839"/>
      <c r="BMY155" s="839"/>
      <c r="BMZ155" s="839"/>
      <c r="BNA155" s="839"/>
      <c r="BNB155" s="839"/>
      <c r="BNC155" s="839"/>
      <c r="BND155" s="839"/>
      <c r="BNE155" s="839"/>
      <c r="BNF155" s="839"/>
      <c r="BNG155" s="839"/>
      <c r="BNH155" s="839"/>
      <c r="BNI155" s="839"/>
      <c r="BNJ155" s="839"/>
      <c r="BNK155" s="839"/>
      <c r="BNL155" s="839"/>
      <c r="BNM155" s="839"/>
      <c r="BNN155" s="839"/>
      <c r="BNO155" s="839"/>
      <c r="BNP155" s="839"/>
      <c r="BNQ155" s="839"/>
      <c r="BNR155" s="839"/>
      <c r="BNS155" s="839"/>
      <c r="BNT155" s="839"/>
      <c r="BNU155" s="839"/>
      <c r="BNV155" s="839"/>
      <c r="BNW155" s="839"/>
      <c r="BNX155" s="839"/>
      <c r="BNY155" s="839"/>
      <c r="BNZ155" s="839"/>
      <c r="BOA155" s="839"/>
      <c r="BOB155" s="839"/>
      <c r="BOC155" s="839"/>
      <c r="BOD155" s="839"/>
      <c r="BOE155" s="839"/>
      <c r="BOF155" s="839"/>
      <c r="BOG155" s="839"/>
      <c r="BOH155" s="839"/>
      <c r="BOI155" s="839"/>
      <c r="BOJ155" s="839"/>
      <c r="BOK155" s="839"/>
      <c r="BOL155" s="839"/>
      <c r="BOM155" s="839"/>
      <c r="BON155" s="839"/>
      <c r="BOO155" s="839"/>
      <c r="BOP155" s="839"/>
      <c r="BOQ155" s="839"/>
      <c r="BOR155" s="839"/>
      <c r="BOS155" s="839"/>
      <c r="BOT155" s="839"/>
      <c r="BOU155" s="839"/>
      <c r="BOV155" s="839"/>
      <c r="BOW155" s="839"/>
      <c r="BOX155" s="839"/>
      <c r="BOY155" s="839"/>
      <c r="BOZ155" s="839"/>
      <c r="BPA155" s="839"/>
      <c r="BPB155" s="839"/>
      <c r="BPC155" s="839"/>
      <c r="BPD155" s="839"/>
      <c r="BPE155" s="839"/>
      <c r="BPF155" s="839"/>
      <c r="BPG155" s="839"/>
      <c r="BPH155" s="839"/>
      <c r="BPI155" s="839"/>
      <c r="BPJ155" s="839"/>
      <c r="BPK155" s="839"/>
      <c r="BPL155" s="839"/>
      <c r="BPM155" s="839"/>
      <c r="BPN155" s="839"/>
      <c r="BPO155" s="839"/>
      <c r="BPP155" s="839"/>
      <c r="BPQ155" s="839"/>
      <c r="BPR155" s="839"/>
      <c r="BPS155" s="839"/>
      <c r="BPT155" s="839"/>
      <c r="BPU155" s="839"/>
      <c r="BPV155" s="839"/>
      <c r="BPW155" s="839"/>
      <c r="BPX155" s="839"/>
      <c r="BPY155" s="839"/>
      <c r="BPZ155" s="839"/>
      <c r="BQA155" s="839"/>
      <c r="BQB155" s="839"/>
      <c r="BQC155" s="839"/>
      <c r="BQD155" s="839"/>
      <c r="BQE155" s="839"/>
      <c r="BQF155" s="839"/>
      <c r="BQG155" s="839"/>
      <c r="BQH155" s="839"/>
      <c r="BQI155" s="839"/>
      <c r="BQJ155" s="839"/>
      <c r="BQK155" s="839"/>
      <c r="BQL155" s="839"/>
      <c r="BQM155" s="839"/>
      <c r="BQN155" s="839"/>
      <c r="BQO155" s="839"/>
      <c r="BQP155" s="839"/>
      <c r="BQQ155" s="839"/>
      <c r="BQR155" s="839"/>
      <c r="BQS155" s="839"/>
      <c r="BQT155" s="839"/>
      <c r="BQU155" s="839"/>
      <c r="BQV155" s="839"/>
      <c r="BQW155" s="839"/>
      <c r="BQX155" s="839"/>
      <c r="BQY155" s="839"/>
      <c r="BQZ155" s="839"/>
      <c r="BRA155" s="839"/>
      <c r="BRB155" s="839"/>
      <c r="BRC155" s="839"/>
      <c r="BRD155" s="839"/>
      <c r="BRE155" s="839"/>
      <c r="BRF155" s="839"/>
      <c r="BRG155" s="839"/>
      <c r="BRH155" s="839"/>
      <c r="BRI155" s="839"/>
      <c r="BRJ155" s="839"/>
      <c r="BRK155" s="839"/>
      <c r="BRL155" s="839"/>
      <c r="BRM155" s="839"/>
      <c r="BRN155" s="839"/>
      <c r="BRO155" s="839"/>
      <c r="BRP155" s="839"/>
      <c r="BRQ155" s="839"/>
      <c r="BRR155" s="839"/>
      <c r="BRS155" s="839"/>
      <c r="BRT155" s="839"/>
      <c r="BRU155" s="839"/>
      <c r="BRV155" s="839"/>
      <c r="BRW155" s="839"/>
      <c r="BRX155" s="839"/>
      <c r="BRY155" s="839"/>
      <c r="BRZ155" s="839"/>
      <c r="BSA155" s="839"/>
      <c r="BSB155" s="839"/>
      <c r="BSC155" s="839"/>
      <c r="BSD155" s="839"/>
      <c r="BSE155" s="839"/>
      <c r="BSF155" s="839"/>
      <c r="BSG155" s="839"/>
      <c r="BSH155" s="839"/>
      <c r="BSI155" s="839"/>
      <c r="BSJ155" s="839"/>
      <c r="BSK155" s="839"/>
      <c r="BSL155" s="839"/>
      <c r="BSM155" s="839"/>
      <c r="BSN155" s="839"/>
      <c r="BSO155" s="839"/>
      <c r="BSP155" s="839"/>
      <c r="BSQ155" s="839"/>
      <c r="BSR155" s="839"/>
      <c r="BSS155" s="839"/>
      <c r="BST155" s="839"/>
      <c r="BSU155" s="839"/>
      <c r="BSV155" s="839"/>
      <c r="BSW155" s="839"/>
      <c r="BSX155" s="839"/>
      <c r="BSY155" s="839"/>
      <c r="BSZ155" s="839"/>
      <c r="BTA155" s="839"/>
      <c r="BTB155" s="839"/>
      <c r="BTC155" s="839"/>
      <c r="BTD155" s="839"/>
      <c r="BTE155" s="839"/>
      <c r="BTF155" s="839"/>
      <c r="BTG155" s="839"/>
      <c r="BTH155" s="839"/>
      <c r="BTI155" s="839"/>
      <c r="BTJ155" s="839"/>
      <c r="BTK155" s="839"/>
      <c r="BTL155" s="839"/>
      <c r="BTM155" s="839"/>
      <c r="BTN155" s="839"/>
      <c r="BTO155" s="839"/>
      <c r="BTP155" s="839"/>
      <c r="BTQ155" s="839"/>
      <c r="BTR155" s="839"/>
      <c r="BTS155" s="839"/>
      <c r="BTT155" s="839"/>
      <c r="BTU155" s="839"/>
      <c r="BTV155" s="839"/>
      <c r="BTW155" s="839"/>
      <c r="BTX155" s="839"/>
      <c r="BTY155" s="839"/>
      <c r="BTZ155" s="839"/>
      <c r="BUA155" s="839"/>
      <c r="BUB155" s="839"/>
      <c r="BUC155" s="839"/>
      <c r="BUD155" s="839"/>
      <c r="BUE155" s="839"/>
      <c r="BUF155" s="839"/>
      <c r="BUG155" s="839"/>
      <c r="BUH155" s="839"/>
      <c r="BUI155" s="839"/>
      <c r="BUJ155" s="839"/>
      <c r="BUK155" s="839"/>
      <c r="BUL155" s="839"/>
      <c r="BUM155" s="839"/>
      <c r="BUN155" s="839"/>
      <c r="BUO155" s="839"/>
      <c r="BUP155" s="839"/>
      <c r="BUQ155" s="839"/>
      <c r="BUR155" s="839"/>
      <c r="BUS155" s="839"/>
      <c r="BUT155" s="839"/>
      <c r="BUU155" s="839"/>
      <c r="BUV155" s="839"/>
      <c r="BUW155" s="839"/>
      <c r="BUX155" s="839"/>
      <c r="BUY155" s="839"/>
      <c r="BUZ155" s="839"/>
      <c r="BVA155" s="839"/>
      <c r="BVB155" s="839"/>
      <c r="BVC155" s="839"/>
      <c r="BVD155" s="839"/>
      <c r="BVE155" s="839"/>
      <c r="BVF155" s="839"/>
      <c r="BVG155" s="839"/>
      <c r="BVH155" s="839"/>
      <c r="BVI155" s="839"/>
      <c r="BVJ155" s="839"/>
      <c r="BVK155" s="839"/>
      <c r="BVL155" s="839"/>
      <c r="BVM155" s="839"/>
      <c r="BVN155" s="839"/>
      <c r="BVO155" s="839"/>
      <c r="BVP155" s="839"/>
      <c r="BVQ155" s="839"/>
      <c r="BVR155" s="839"/>
      <c r="BVS155" s="839"/>
      <c r="BVT155" s="839"/>
      <c r="BVU155" s="839"/>
      <c r="BVV155" s="839"/>
      <c r="BVW155" s="839"/>
      <c r="BVX155" s="839"/>
      <c r="BVY155" s="839"/>
      <c r="BVZ155" s="839"/>
      <c r="BWA155" s="839"/>
      <c r="BWB155" s="839"/>
      <c r="BWC155" s="839"/>
      <c r="BWD155" s="839"/>
      <c r="BWE155" s="839"/>
      <c r="BWF155" s="839"/>
      <c r="BWG155" s="839"/>
      <c r="BWH155" s="839"/>
      <c r="BWI155" s="839"/>
      <c r="BWJ155" s="839"/>
      <c r="BWK155" s="839"/>
      <c r="BWL155" s="839"/>
      <c r="BWM155" s="839"/>
      <c r="BWN155" s="839"/>
      <c r="BWO155" s="839"/>
      <c r="BWP155" s="839"/>
      <c r="BWQ155" s="839"/>
      <c r="BWR155" s="839"/>
      <c r="BWS155" s="839"/>
      <c r="BWT155" s="839"/>
      <c r="BWU155" s="839"/>
      <c r="BWV155" s="839"/>
      <c r="BWW155" s="839"/>
      <c r="BWX155" s="839"/>
      <c r="BWY155" s="839"/>
      <c r="BWZ155" s="839"/>
      <c r="BXA155" s="839"/>
      <c r="BXB155" s="839"/>
      <c r="BXC155" s="839"/>
      <c r="BXD155" s="839"/>
      <c r="BXE155" s="839"/>
      <c r="BXF155" s="839"/>
      <c r="BXG155" s="839"/>
      <c r="BXH155" s="839"/>
      <c r="BXI155" s="839"/>
      <c r="BXJ155" s="839"/>
      <c r="BXK155" s="839"/>
      <c r="BXL155" s="839"/>
      <c r="BXM155" s="839"/>
      <c r="BXN155" s="839"/>
      <c r="BXO155" s="839"/>
      <c r="BXP155" s="839"/>
      <c r="BXQ155" s="839"/>
      <c r="BXR155" s="839"/>
      <c r="BXS155" s="839"/>
      <c r="BXT155" s="839"/>
      <c r="BXU155" s="839"/>
      <c r="BXV155" s="839"/>
      <c r="BXW155" s="839"/>
      <c r="BXX155" s="839"/>
      <c r="BXY155" s="839"/>
      <c r="BXZ155" s="839"/>
      <c r="BYA155" s="839"/>
      <c r="BYB155" s="839"/>
      <c r="BYC155" s="839"/>
      <c r="BYD155" s="839"/>
      <c r="BYE155" s="839"/>
      <c r="BYF155" s="839"/>
      <c r="BYG155" s="839"/>
      <c r="BYH155" s="839"/>
      <c r="BYI155" s="839"/>
      <c r="BYJ155" s="839"/>
      <c r="BYK155" s="839"/>
      <c r="BYL155" s="839"/>
      <c r="BYM155" s="839"/>
      <c r="BYN155" s="839"/>
      <c r="BYO155" s="839"/>
      <c r="BYP155" s="839"/>
      <c r="BYQ155" s="839"/>
      <c r="BYR155" s="839"/>
      <c r="BYS155" s="839"/>
      <c r="BYT155" s="839"/>
      <c r="BYU155" s="839"/>
      <c r="BYV155" s="839"/>
      <c r="BYW155" s="839"/>
      <c r="BYX155" s="839"/>
      <c r="BYY155" s="839"/>
      <c r="BYZ155" s="839"/>
      <c r="BZA155" s="839"/>
      <c r="BZB155" s="839"/>
      <c r="BZC155" s="839"/>
      <c r="BZD155" s="839"/>
      <c r="BZE155" s="839"/>
      <c r="BZF155" s="839"/>
      <c r="BZG155" s="839"/>
      <c r="BZH155" s="839"/>
      <c r="BZI155" s="839"/>
      <c r="BZJ155" s="839"/>
      <c r="BZK155" s="839"/>
      <c r="BZL155" s="839"/>
      <c r="BZM155" s="839"/>
      <c r="BZN155" s="839"/>
      <c r="BZO155" s="839"/>
      <c r="BZP155" s="839"/>
      <c r="BZQ155" s="839"/>
      <c r="BZR155" s="839"/>
      <c r="BZS155" s="839"/>
      <c r="BZT155" s="839"/>
      <c r="BZU155" s="839"/>
      <c r="BZV155" s="839"/>
      <c r="BZW155" s="839"/>
      <c r="BZX155" s="839"/>
      <c r="BZY155" s="839"/>
      <c r="BZZ155" s="839"/>
      <c r="CAA155" s="839"/>
      <c r="CAB155" s="839"/>
      <c r="CAC155" s="839"/>
      <c r="CAD155" s="839"/>
      <c r="CAE155" s="839"/>
      <c r="CAF155" s="839"/>
      <c r="CAG155" s="839"/>
      <c r="CAH155" s="839"/>
      <c r="CAI155" s="839"/>
      <c r="CAJ155" s="839"/>
      <c r="CAK155" s="839"/>
      <c r="CAL155" s="839"/>
      <c r="CAM155" s="839"/>
      <c r="CAN155" s="839"/>
      <c r="CAO155" s="839"/>
      <c r="CAP155" s="839"/>
      <c r="CAQ155" s="839"/>
      <c r="CAR155" s="839"/>
      <c r="CAS155" s="839"/>
      <c r="CAT155" s="839"/>
      <c r="CAU155" s="839"/>
      <c r="CAV155" s="839"/>
      <c r="CAW155" s="839"/>
      <c r="CAX155" s="839"/>
      <c r="CAY155" s="839"/>
      <c r="CAZ155" s="839"/>
      <c r="CBA155" s="839"/>
      <c r="CBB155" s="839"/>
      <c r="CBC155" s="839"/>
      <c r="CBD155" s="839"/>
      <c r="CBE155" s="839"/>
      <c r="CBF155" s="839"/>
      <c r="CBG155" s="839"/>
      <c r="CBH155" s="839"/>
      <c r="CBI155" s="839"/>
      <c r="CBJ155" s="839"/>
      <c r="CBK155" s="839"/>
      <c r="CBL155" s="839"/>
      <c r="CBM155" s="839"/>
      <c r="CBN155" s="839"/>
      <c r="CBO155" s="839"/>
      <c r="CBP155" s="839"/>
      <c r="CBQ155" s="839"/>
      <c r="CBR155" s="839"/>
      <c r="CBS155" s="839"/>
      <c r="CBT155" s="839"/>
      <c r="CBU155" s="839"/>
      <c r="CBV155" s="839"/>
      <c r="CBW155" s="839"/>
      <c r="CBX155" s="839"/>
      <c r="CBY155" s="839"/>
      <c r="CBZ155" s="839"/>
      <c r="CCA155" s="839"/>
      <c r="CCB155" s="839"/>
      <c r="CCC155" s="839"/>
      <c r="CCD155" s="839"/>
      <c r="CCE155" s="839"/>
      <c r="CCF155" s="839"/>
      <c r="CCG155" s="839"/>
      <c r="CCH155" s="839"/>
      <c r="CCI155" s="839"/>
      <c r="CCJ155" s="839"/>
      <c r="CCK155" s="839"/>
      <c r="CCL155" s="839"/>
      <c r="CCM155" s="839"/>
      <c r="CCN155" s="839"/>
      <c r="CCO155" s="839"/>
      <c r="CCP155" s="839"/>
      <c r="CCQ155" s="839"/>
      <c r="CCR155" s="839"/>
      <c r="CCS155" s="839"/>
      <c r="CCT155" s="839"/>
      <c r="CCU155" s="839"/>
      <c r="CCV155" s="839"/>
      <c r="CCW155" s="839"/>
      <c r="CCX155" s="839"/>
      <c r="CCY155" s="839"/>
      <c r="CCZ155" s="839"/>
      <c r="CDA155" s="839"/>
      <c r="CDB155" s="839"/>
      <c r="CDC155" s="839"/>
      <c r="CDD155" s="839"/>
      <c r="CDE155" s="839"/>
      <c r="CDF155" s="839"/>
      <c r="CDG155" s="839"/>
      <c r="CDH155" s="839"/>
      <c r="CDI155" s="839"/>
      <c r="CDJ155" s="839"/>
      <c r="CDK155" s="839"/>
      <c r="CDL155" s="839"/>
      <c r="CDM155" s="839"/>
      <c r="CDN155" s="839"/>
      <c r="CDO155" s="839"/>
      <c r="CDP155" s="839"/>
      <c r="CDQ155" s="839"/>
      <c r="CDR155" s="839"/>
      <c r="CDS155" s="839"/>
      <c r="CDT155" s="839"/>
      <c r="CDU155" s="839"/>
      <c r="CDV155" s="839"/>
      <c r="CDW155" s="839"/>
      <c r="CDX155" s="839"/>
      <c r="CDY155" s="839"/>
      <c r="CDZ155" s="839"/>
      <c r="CEA155" s="839"/>
      <c r="CEB155" s="839"/>
      <c r="CEC155" s="839"/>
      <c r="CED155" s="839"/>
      <c r="CEE155" s="839"/>
      <c r="CEF155" s="839"/>
      <c r="CEG155" s="839"/>
      <c r="CEH155" s="839"/>
      <c r="CEI155" s="839"/>
      <c r="CEJ155" s="839"/>
      <c r="CEK155" s="839"/>
      <c r="CEL155" s="839"/>
      <c r="CEM155" s="839"/>
      <c r="CEN155" s="839"/>
      <c r="CEO155" s="839"/>
      <c r="CEP155" s="839"/>
      <c r="CEQ155" s="839"/>
      <c r="CER155" s="839"/>
      <c r="CES155" s="839"/>
      <c r="CET155" s="839"/>
      <c r="CEU155" s="839"/>
      <c r="CEV155" s="839"/>
      <c r="CEW155" s="839"/>
      <c r="CEX155" s="839"/>
      <c r="CEY155" s="839"/>
      <c r="CEZ155" s="839"/>
      <c r="CFA155" s="839"/>
      <c r="CFB155" s="839"/>
      <c r="CFC155" s="839"/>
      <c r="CFD155" s="839"/>
      <c r="CFE155" s="839"/>
      <c r="CFF155" s="839"/>
      <c r="CFG155" s="839"/>
      <c r="CFH155" s="839"/>
      <c r="CFI155" s="839"/>
      <c r="CFJ155" s="839"/>
      <c r="CFK155" s="839"/>
      <c r="CFL155" s="839"/>
      <c r="CFM155" s="839"/>
      <c r="CFN155" s="839"/>
      <c r="CFO155" s="839"/>
      <c r="CFP155" s="839"/>
      <c r="CFQ155" s="839"/>
      <c r="CFR155" s="839"/>
      <c r="CFS155" s="839"/>
      <c r="CFT155" s="839"/>
      <c r="CFU155" s="839"/>
      <c r="CFV155" s="839"/>
      <c r="CFW155" s="839"/>
      <c r="CFX155" s="839"/>
      <c r="CFY155" s="839"/>
      <c r="CFZ155" s="839"/>
      <c r="CGA155" s="839"/>
      <c r="CGB155" s="839"/>
      <c r="CGC155" s="839"/>
      <c r="CGD155" s="839"/>
      <c r="CGE155" s="839"/>
      <c r="CGF155" s="839"/>
      <c r="CGG155" s="839"/>
      <c r="CGH155" s="839"/>
      <c r="CGI155" s="839"/>
      <c r="CGJ155" s="839"/>
      <c r="CGK155" s="839"/>
      <c r="CGL155" s="839"/>
      <c r="CGM155" s="839"/>
      <c r="CGN155" s="839"/>
      <c r="CGO155" s="839"/>
      <c r="CGP155" s="839"/>
      <c r="CGQ155" s="839"/>
      <c r="CGR155" s="839"/>
      <c r="CGS155" s="839"/>
      <c r="CGT155" s="839"/>
      <c r="CGU155" s="839"/>
      <c r="CGV155" s="839"/>
      <c r="CGW155" s="839"/>
      <c r="CGX155" s="839"/>
      <c r="CGY155" s="839"/>
      <c r="CGZ155" s="839"/>
      <c r="CHA155" s="839"/>
      <c r="CHB155" s="839"/>
      <c r="CHC155" s="839"/>
      <c r="CHD155" s="839"/>
      <c r="CHE155" s="839"/>
      <c r="CHF155" s="839"/>
      <c r="CHG155" s="839"/>
      <c r="CHH155" s="839"/>
      <c r="CHI155" s="839"/>
      <c r="CHJ155" s="839"/>
      <c r="CHK155" s="839"/>
      <c r="CHL155" s="839"/>
      <c r="CHM155" s="839"/>
      <c r="CHN155" s="839"/>
      <c r="CHO155" s="839"/>
      <c r="CHP155" s="839"/>
      <c r="CHQ155" s="839"/>
      <c r="CHR155" s="839"/>
      <c r="CHS155" s="839"/>
      <c r="CHT155" s="839"/>
      <c r="CHU155" s="839"/>
      <c r="CHV155" s="839"/>
      <c r="CHW155" s="839"/>
      <c r="CHX155" s="839"/>
      <c r="CHY155" s="839"/>
      <c r="CHZ155" s="839"/>
      <c r="CIA155" s="839"/>
      <c r="CIB155" s="839"/>
      <c r="CIC155" s="839"/>
      <c r="CID155" s="839"/>
      <c r="CIE155" s="839"/>
      <c r="CIF155" s="839"/>
      <c r="CIG155" s="839"/>
      <c r="CIH155" s="839"/>
      <c r="CII155" s="839"/>
      <c r="CIJ155" s="839"/>
      <c r="CIK155" s="839"/>
      <c r="CIL155" s="839"/>
      <c r="CIM155" s="839"/>
      <c r="CIN155" s="839"/>
      <c r="CIO155" s="839"/>
      <c r="CIP155" s="839"/>
      <c r="CIQ155" s="839"/>
      <c r="CIR155" s="839"/>
      <c r="CIS155" s="839"/>
      <c r="CIT155" s="839"/>
      <c r="CIU155" s="839"/>
      <c r="CIV155" s="839"/>
      <c r="CIW155" s="839"/>
      <c r="CIX155" s="839"/>
      <c r="CIY155" s="839"/>
      <c r="CIZ155" s="839"/>
      <c r="CJA155" s="839"/>
      <c r="CJB155" s="839"/>
      <c r="CJC155" s="839"/>
      <c r="CJD155" s="839"/>
      <c r="CJE155" s="839"/>
      <c r="CJF155" s="839"/>
      <c r="CJG155" s="839"/>
      <c r="CJH155" s="839"/>
      <c r="CJI155" s="839"/>
      <c r="CJJ155" s="839"/>
      <c r="CJK155" s="839"/>
      <c r="CJL155" s="839"/>
      <c r="CJM155" s="839"/>
      <c r="CJN155" s="839"/>
      <c r="CJO155" s="839"/>
      <c r="CJP155" s="839"/>
      <c r="CJQ155" s="839"/>
      <c r="CJR155" s="839"/>
      <c r="CJS155" s="839"/>
      <c r="CJT155" s="839"/>
      <c r="CJU155" s="839"/>
      <c r="CJV155" s="839"/>
      <c r="CJW155" s="839"/>
      <c r="CJX155" s="839"/>
      <c r="CJY155" s="839"/>
      <c r="CJZ155" s="839"/>
      <c r="CKA155" s="839"/>
      <c r="CKB155" s="839"/>
      <c r="CKC155" s="839"/>
      <c r="CKD155" s="839"/>
      <c r="CKE155" s="839"/>
      <c r="CKF155" s="839"/>
      <c r="CKG155" s="839"/>
      <c r="CKH155" s="839"/>
      <c r="CKI155" s="839"/>
      <c r="CKJ155" s="839"/>
      <c r="CKK155" s="839"/>
      <c r="CKL155" s="839"/>
      <c r="CKM155" s="839"/>
      <c r="CKN155" s="839"/>
      <c r="CKO155" s="839"/>
      <c r="CKP155" s="839"/>
      <c r="CKQ155" s="839"/>
      <c r="CKR155" s="839"/>
      <c r="CKS155" s="839"/>
      <c r="CKT155" s="839"/>
      <c r="CKU155" s="839"/>
      <c r="CKV155" s="839"/>
      <c r="CKW155" s="839"/>
      <c r="CKX155" s="839"/>
      <c r="CKY155" s="839"/>
      <c r="CKZ155" s="839"/>
      <c r="CLA155" s="839"/>
      <c r="CLB155" s="839"/>
      <c r="CLC155" s="839"/>
      <c r="CLD155" s="839"/>
      <c r="CLE155" s="839"/>
      <c r="CLF155" s="839"/>
      <c r="CLG155" s="839"/>
      <c r="CLH155" s="839"/>
      <c r="CLI155" s="839"/>
      <c r="CLJ155" s="839"/>
      <c r="CLK155" s="839"/>
      <c r="CLL155" s="839"/>
      <c r="CLM155" s="839"/>
      <c r="CLN155" s="839"/>
      <c r="CLO155" s="839"/>
      <c r="CLP155" s="839"/>
      <c r="CLQ155" s="839"/>
      <c r="CLR155" s="839"/>
      <c r="CLS155" s="839"/>
      <c r="CLT155" s="839"/>
      <c r="CLU155" s="839"/>
      <c r="CLV155" s="839"/>
      <c r="CLW155" s="839"/>
      <c r="CLX155" s="839"/>
      <c r="CLY155" s="839"/>
      <c r="CLZ155" s="839"/>
      <c r="CMA155" s="839"/>
      <c r="CMB155" s="839"/>
      <c r="CMC155" s="839"/>
      <c r="CMD155" s="839"/>
      <c r="CME155" s="839"/>
      <c r="CMF155" s="839"/>
      <c r="CMG155" s="839"/>
      <c r="CMH155" s="839"/>
      <c r="CMI155" s="839"/>
      <c r="CMJ155" s="839"/>
      <c r="CMK155" s="839"/>
      <c r="CML155" s="839"/>
      <c r="CMM155" s="839"/>
      <c r="CMN155" s="839"/>
      <c r="CMO155" s="839"/>
      <c r="CMP155" s="839"/>
      <c r="CMQ155" s="839"/>
      <c r="CMR155" s="839"/>
      <c r="CMS155" s="839"/>
      <c r="CMT155" s="839"/>
      <c r="CMU155" s="839"/>
      <c r="CMV155" s="839"/>
      <c r="CMW155" s="839"/>
      <c r="CMX155" s="839"/>
      <c r="CMY155" s="839"/>
      <c r="CMZ155" s="839"/>
      <c r="CNA155" s="839"/>
      <c r="CNB155" s="839"/>
      <c r="CNC155" s="839"/>
      <c r="CND155" s="839"/>
      <c r="CNE155" s="839"/>
      <c r="CNF155" s="839"/>
      <c r="CNG155" s="839"/>
      <c r="CNH155" s="839"/>
      <c r="CNI155" s="839"/>
      <c r="CNJ155" s="839"/>
      <c r="CNK155" s="839"/>
      <c r="CNL155" s="839"/>
      <c r="CNM155" s="839"/>
      <c r="CNN155" s="839"/>
      <c r="CNO155" s="839"/>
      <c r="CNP155" s="839"/>
      <c r="CNQ155" s="839"/>
      <c r="CNR155" s="839"/>
      <c r="CNS155" s="839"/>
      <c r="CNT155" s="839"/>
      <c r="CNU155" s="839"/>
      <c r="CNV155" s="839"/>
      <c r="CNW155" s="839"/>
      <c r="CNX155" s="839"/>
      <c r="CNY155" s="839"/>
      <c r="CNZ155" s="839"/>
      <c r="COA155" s="839"/>
      <c r="COB155" s="839"/>
      <c r="COC155" s="839"/>
      <c r="COD155" s="839"/>
      <c r="COE155" s="839"/>
      <c r="COF155" s="839"/>
      <c r="COG155" s="839"/>
      <c r="COH155" s="839"/>
      <c r="COI155" s="839"/>
      <c r="COJ155" s="839"/>
      <c r="COK155" s="839"/>
      <c r="COL155" s="839"/>
      <c r="COM155" s="839"/>
      <c r="CON155" s="839"/>
      <c r="COO155" s="839"/>
      <c r="COP155" s="839"/>
      <c r="COQ155" s="839"/>
      <c r="COR155" s="839"/>
      <c r="COS155" s="839"/>
      <c r="COT155" s="839"/>
      <c r="COU155" s="839"/>
      <c r="COV155" s="839"/>
      <c r="COW155" s="839"/>
      <c r="COX155" s="839"/>
      <c r="COY155" s="839"/>
      <c r="COZ155" s="839"/>
      <c r="CPA155" s="839"/>
      <c r="CPB155" s="839"/>
      <c r="CPC155" s="839"/>
      <c r="CPD155" s="839"/>
      <c r="CPE155" s="839"/>
      <c r="CPF155" s="839"/>
      <c r="CPG155" s="839"/>
      <c r="CPH155" s="839"/>
      <c r="CPI155" s="839"/>
      <c r="CPJ155" s="839"/>
      <c r="CPK155" s="839"/>
      <c r="CPL155" s="839"/>
      <c r="CPM155" s="839"/>
      <c r="CPN155" s="839"/>
      <c r="CPO155" s="839"/>
      <c r="CPP155" s="839"/>
      <c r="CPQ155" s="839"/>
      <c r="CPR155" s="839"/>
      <c r="CPS155" s="839"/>
      <c r="CPT155" s="839"/>
      <c r="CPU155" s="839"/>
      <c r="CPV155" s="839"/>
      <c r="CPW155" s="839"/>
      <c r="CPX155" s="839"/>
      <c r="CPY155" s="839"/>
      <c r="CPZ155" s="839"/>
      <c r="CQA155" s="839"/>
      <c r="CQB155" s="839"/>
      <c r="CQC155" s="839"/>
      <c r="CQD155" s="839"/>
      <c r="CQE155" s="839"/>
      <c r="CQF155" s="839"/>
      <c r="CQG155" s="839"/>
      <c r="CQH155" s="839"/>
      <c r="CQI155" s="839"/>
      <c r="CQJ155" s="839"/>
      <c r="CQK155" s="839"/>
      <c r="CQL155" s="839"/>
      <c r="CQM155" s="839"/>
      <c r="CQN155" s="839"/>
      <c r="CQO155" s="839"/>
      <c r="CQP155" s="839"/>
      <c r="CQQ155" s="839"/>
      <c r="CQR155" s="839"/>
      <c r="CQS155" s="839"/>
      <c r="CQT155" s="839"/>
      <c r="CQU155" s="839"/>
      <c r="CQV155" s="839"/>
      <c r="CQW155" s="839"/>
      <c r="CQX155" s="839"/>
      <c r="CQY155" s="839"/>
      <c r="CQZ155" s="839"/>
      <c r="CRA155" s="839"/>
      <c r="CRB155" s="839"/>
      <c r="CRC155" s="839"/>
      <c r="CRD155" s="839"/>
      <c r="CRE155" s="839"/>
      <c r="CRF155" s="839"/>
      <c r="CRG155" s="839"/>
      <c r="CRH155" s="839"/>
      <c r="CRI155" s="839"/>
      <c r="CRJ155" s="839"/>
      <c r="CRK155" s="839"/>
      <c r="CRL155" s="839"/>
      <c r="CRM155" s="839"/>
      <c r="CRN155" s="839"/>
      <c r="CRO155" s="839"/>
      <c r="CRP155" s="839"/>
      <c r="CRQ155" s="839"/>
      <c r="CRR155" s="839"/>
      <c r="CRS155" s="839"/>
      <c r="CRT155" s="839"/>
      <c r="CRU155" s="839"/>
      <c r="CRV155" s="839"/>
      <c r="CRW155" s="839"/>
      <c r="CRX155" s="839"/>
      <c r="CRY155" s="839"/>
      <c r="CRZ155" s="839"/>
      <c r="CSA155" s="839"/>
      <c r="CSB155" s="839"/>
      <c r="CSC155" s="839"/>
      <c r="CSD155" s="839"/>
      <c r="CSE155" s="839"/>
      <c r="CSF155" s="839"/>
      <c r="CSG155" s="839"/>
      <c r="CSH155" s="839"/>
      <c r="CSI155" s="839"/>
      <c r="CSJ155" s="839"/>
      <c r="CSK155" s="839"/>
      <c r="CSL155" s="839"/>
      <c r="CSM155" s="839"/>
      <c r="CSN155" s="839"/>
      <c r="CSO155" s="839"/>
      <c r="CSP155" s="839"/>
      <c r="CSQ155" s="839"/>
      <c r="CSR155" s="839"/>
      <c r="CSS155" s="839"/>
      <c r="CST155" s="839"/>
      <c r="CSU155" s="839"/>
      <c r="CSV155" s="839"/>
      <c r="CSW155" s="839"/>
      <c r="CSX155" s="839"/>
      <c r="CSY155" s="839"/>
      <c r="CSZ155" s="839"/>
      <c r="CTA155" s="839"/>
      <c r="CTB155" s="839"/>
      <c r="CTC155" s="839"/>
      <c r="CTD155" s="839"/>
      <c r="CTE155" s="839"/>
      <c r="CTF155" s="839"/>
      <c r="CTG155" s="839"/>
      <c r="CTH155" s="839"/>
      <c r="CTI155" s="839"/>
      <c r="CTJ155" s="839"/>
      <c r="CTK155" s="839"/>
      <c r="CTL155" s="839"/>
      <c r="CTM155" s="839"/>
      <c r="CTN155" s="839"/>
      <c r="CTO155" s="839"/>
      <c r="CTP155" s="839"/>
      <c r="CTQ155" s="839"/>
      <c r="CTR155" s="839"/>
      <c r="CTS155" s="839"/>
      <c r="CTT155" s="839"/>
      <c r="CTU155" s="839"/>
      <c r="CTV155" s="839"/>
      <c r="CTW155" s="839"/>
      <c r="CTX155" s="839"/>
      <c r="CTY155" s="839"/>
      <c r="CTZ155" s="839"/>
      <c r="CUA155" s="839"/>
      <c r="CUB155" s="839"/>
      <c r="CUC155" s="839"/>
      <c r="CUD155" s="839"/>
      <c r="CUE155" s="839"/>
      <c r="CUF155" s="839"/>
      <c r="CUG155" s="839"/>
      <c r="CUH155" s="839"/>
      <c r="CUI155" s="839"/>
      <c r="CUJ155" s="839"/>
      <c r="CUK155" s="839"/>
      <c r="CUL155" s="839"/>
      <c r="CUM155" s="839"/>
      <c r="CUN155" s="839"/>
      <c r="CUO155" s="839"/>
      <c r="CUP155" s="839"/>
      <c r="CUQ155" s="839"/>
      <c r="CUR155" s="839"/>
      <c r="CUS155" s="839"/>
      <c r="CUT155" s="839"/>
      <c r="CUU155" s="839"/>
      <c r="CUV155" s="839"/>
      <c r="CUW155" s="839"/>
      <c r="CUX155" s="839"/>
      <c r="CUY155" s="839"/>
      <c r="CUZ155" s="839"/>
      <c r="CVA155" s="839"/>
      <c r="CVB155" s="839"/>
      <c r="CVC155" s="839"/>
      <c r="CVD155" s="839"/>
      <c r="CVE155" s="839"/>
      <c r="CVF155" s="839"/>
      <c r="CVG155" s="839"/>
      <c r="CVH155" s="839"/>
      <c r="CVI155" s="839"/>
      <c r="CVJ155" s="839"/>
      <c r="CVK155" s="839"/>
      <c r="CVL155" s="839"/>
      <c r="CVM155" s="839"/>
      <c r="CVN155" s="839"/>
      <c r="CVO155" s="839"/>
      <c r="CVP155" s="839"/>
      <c r="CVQ155" s="839"/>
      <c r="CVR155" s="839"/>
      <c r="CVS155" s="839"/>
      <c r="CVT155" s="839"/>
      <c r="CVU155" s="839"/>
      <c r="CVV155" s="839"/>
      <c r="CVW155" s="839"/>
      <c r="CVX155" s="839"/>
      <c r="CVY155" s="839"/>
      <c r="CVZ155" s="839"/>
      <c r="CWA155" s="839"/>
      <c r="CWB155" s="839"/>
      <c r="CWC155" s="839"/>
      <c r="CWD155" s="839"/>
      <c r="CWE155" s="839"/>
      <c r="CWF155" s="839"/>
      <c r="CWG155" s="839"/>
      <c r="CWH155" s="839"/>
      <c r="CWI155" s="839"/>
      <c r="CWJ155" s="839"/>
      <c r="CWK155" s="839"/>
      <c r="CWL155" s="839"/>
      <c r="CWM155" s="839"/>
      <c r="CWN155" s="839"/>
      <c r="CWO155" s="839"/>
      <c r="CWP155" s="839"/>
      <c r="CWQ155" s="839"/>
      <c r="CWR155" s="839"/>
      <c r="CWS155" s="839"/>
      <c r="CWT155" s="839"/>
      <c r="CWU155" s="839"/>
      <c r="CWV155" s="839"/>
      <c r="CWW155" s="839"/>
      <c r="CWX155" s="839"/>
      <c r="CWY155" s="839"/>
      <c r="CWZ155" s="839"/>
      <c r="CXA155" s="839"/>
      <c r="CXB155" s="839"/>
      <c r="CXC155" s="839"/>
      <c r="CXD155" s="839"/>
      <c r="CXE155" s="839"/>
      <c r="CXF155" s="839"/>
      <c r="CXG155" s="839"/>
      <c r="CXH155" s="839"/>
      <c r="CXI155" s="839"/>
      <c r="CXJ155" s="839"/>
      <c r="CXK155" s="839"/>
      <c r="CXL155" s="839"/>
      <c r="CXM155" s="839"/>
      <c r="CXN155" s="839"/>
      <c r="CXO155" s="839"/>
      <c r="CXP155" s="839"/>
      <c r="CXQ155" s="839"/>
      <c r="CXR155" s="839"/>
      <c r="CXS155" s="839"/>
      <c r="CXT155" s="839"/>
      <c r="CXU155" s="839"/>
      <c r="CXV155" s="839"/>
      <c r="CXW155" s="839"/>
      <c r="CXX155" s="839"/>
      <c r="CXY155" s="839"/>
      <c r="CXZ155" s="839"/>
      <c r="CYA155" s="839"/>
      <c r="CYB155" s="839"/>
      <c r="CYC155" s="839"/>
      <c r="CYD155" s="839"/>
      <c r="CYE155" s="839"/>
      <c r="CYF155" s="839"/>
      <c r="CYG155" s="839"/>
      <c r="CYH155" s="839"/>
      <c r="CYI155" s="839"/>
      <c r="CYJ155" s="839"/>
      <c r="CYK155" s="839"/>
      <c r="CYL155" s="839"/>
      <c r="CYM155" s="839"/>
      <c r="CYN155" s="839"/>
      <c r="CYO155" s="839"/>
      <c r="CYP155" s="839"/>
      <c r="CYQ155" s="839"/>
      <c r="CYR155" s="839"/>
      <c r="CYS155" s="839"/>
      <c r="CYT155" s="839"/>
      <c r="CYU155" s="839"/>
      <c r="CYV155" s="839"/>
      <c r="CYW155" s="839"/>
      <c r="CYX155" s="839"/>
      <c r="CYY155" s="839"/>
      <c r="CYZ155" s="839"/>
      <c r="CZA155" s="839"/>
      <c r="CZB155" s="839"/>
      <c r="CZC155" s="839"/>
      <c r="CZD155" s="839"/>
      <c r="CZE155" s="839"/>
      <c r="CZF155" s="839"/>
      <c r="CZG155" s="839"/>
      <c r="CZH155" s="839"/>
      <c r="CZI155" s="839"/>
      <c r="CZJ155" s="839"/>
      <c r="CZK155" s="839"/>
      <c r="CZL155" s="839"/>
      <c r="CZM155" s="839"/>
      <c r="CZN155" s="839"/>
      <c r="CZO155" s="839"/>
      <c r="CZP155" s="839"/>
      <c r="CZQ155" s="839"/>
      <c r="CZR155" s="839"/>
      <c r="CZS155" s="839"/>
      <c r="CZT155" s="839"/>
      <c r="CZU155" s="839"/>
      <c r="CZV155" s="839"/>
      <c r="CZW155" s="839"/>
      <c r="CZX155" s="839"/>
      <c r="CZY155" s="839"/>
      <c r="CZZ155" s="839"/>
      <c r="DAA155" s="839"/>
      <c r="DAB155" s="839"/>
      <c r="DAC155" s="839"/>
      <c r="DAD155" s="839"/>
      <c r="DAE155" s="839"/>
      <c r="DAF155" s="839"/>
      <c r="DAG155" s="839"/>
      <c r="DAH155" s="839"/>
      <c r="DAI155" s="839"/>
      <c r="DAJ155" s="839"/>
      <c r="DAK155" s="839"/>
      <c r="DAL155" s="839"/>
      <c r="DAM155" s="839"/>
      <c r="DAN155" s="839"/>
      <c r="DAO155" s="839"/>
      <c r="DAP155" s="839"/>
      <c r="DAQ155" s="839"/>
      <c r="DAR155" s="839"/>
      <c r="DAS155" s="839"/>
      <c r="DAT155" s="839"/>
      <c r="DAU155" s="839"/>
      <c r="DAV155" s="839"/>
      <c r="DAW155" s="839"/>
      <c r="DAX155" s="839"/>
      <c r="DAY155" s="839"/>
      <c r="DAZ155" s="839"/>
      <c r="DBA155" s="839"/>
      <c r="DBB155" s="839"/>
      <c r="DBC155" s="839"/>
      <c r="DBD155" s="839"/>
      <c r="DBE155" s="839"/>
      <c r="DBF155" s="839"/>
      <c r="DBG155" s="839"/>
      <c r="DBH155" s="839"/>
      <c r="DBI155" s="839"/>
      <c r="DBJ155" s="839"/>
      <c r="DBK155" s="839"/>
      <c r="DBL155" s="839"/>
      <c r="DBM155" s="839"/>
      <c r="DBN155" s="839"/>
      <c r="DBO155" s="839"/>
      <c r="DBP155" s="839"/>
      <c r="DBQ155" s="839"/>
      <c r="DBR155" s="839"/>
      <c r="DBS155" s="839"/>
      <c r="DBT155" s="839"/>
      <c r="DBU155" s="839"/>
      <c r="DBV155" s="839"/>
      <c r="DBW155" s="839"/>
      <c r="DBX155" s="839"/>
      <c r="DBY155" s="839"/>
      <c r="DBZ155" s="839"/>
      <c r="DCA155" s="839"/>
      <c r="DCB155" s="839"/>
      <c r="DCC155" s="839"/>
      <c r="DCD155" s="839"/>
      <c r="DCE155" s="839"/>
      <c r="DCF155" s="839"/>
      <c r="DCG155" s="839"/>
      <c r="DCH155" s="839"/>
      <c r="DCI155" s="839"/>
      <c r="DCJ155" s="839"/>
      <c r="DCK155" s="839"/>
      <c r="DCL155" s="839"/>
      <c r="DCM155" s="839"/>
      <c r="DCN155" s="839"/>
      <c r="DCO155" s="839"/>
      <c r="DCP155" s="839"/>
      <c r="DCQ155" s="839"/>
      <c r="DCR155" s="839"/>
      <c r="DCS155" s="839"/>
      <c r="DCT155" s="839"/>
      <c r="DCU155" s="839"/>
      <c r="DCV155" s="839"/>
      <c r="DCW155" s="839"/>
      <c r="DCX155" s="839"/>
      <c r="DCY155" s="839"/>
      <c r="DCZ155" s="839"/>
      <c r="DDA155" s="839"/>
      <c r="DDB155" s="839"/>
      <c r="DDC155" s="839"/>
      <c r="DDD155" s="839"/>
      <c r="DDE155" s="839"/>
      <c r="DDF155" s="839"/>
      <c r="DDG155" s="839"/>
      <c r="DDH155" s="839"/>
      <c r="DDI155" s="839"/>
      <c r="DDJ155" s="839"/>
      <c r="DDK155" s="839"/>
      <c r="DDL155" s="839"/>
      <c r="DDM155" s="839"/>
      <c r="DDN155" s="839"/>
      <c r="DDO155" s="839"/>
      <c r="DDP155" s="839"/>
      <c r="DDQ155" s="839"/>
      <c r="DDR155" s="839"/>
      <c r="DDS155" s="839"/>
      <c r="DDT155" s="839"/>
      <c r="DDU155" s="839"/>
      <c r="DDV155" s="839"/>
      <c r="DDW155" s="839"/>
      <c r="DDX155" s="839"/>
      <c r="DDY155" s="839"/>
      <c r="DDZ155" s="839"/>
      <c r="DEA155" s="839"/>
      <c r="DEB155" s="839"/>
      <c r="DEC155" s="839"/>
      <c r="DED155" s="839"/>
      <c r="DEE155" s="839"/>
      <c r="DEF155" s="839"/>
      <c r="DEG155" s="839"/>
      <c r="DEH155" s="839"/>
      <c r="DEI155" s="839"/>
      <c r="DEJ155" s="839"/>
      <c r="DEK155" s="839"/>
      <c r="DEL155" s="839"/>
      <c r="DEM155" s="839"/>
      <c r="DEN155" s="839"/>
      <c r="DEO155" s="839"/>
      <c r="DEP155" s="839"/>
      <c r="DEQ155" s="839"/>
      <c r="DER155" s="839"/>
      <c r="DES155" s="839"/>
      <c r="DET155" s="839"/>
      <c r="DEU155" s="839"/>
      <c r="DEV155" s="839"/>
      <c r="DEW155" s="839"/>
      <c r="DEX155" s="839"/>
      <c r="DEY155" s="839"/>
      <c r="DEZ155" s="839"/>
      <c r="DFA155" s="839"/>
      <c r="DFB155" s="839"/>
      <c r="DFC155" s="839"/>
      <c r="DFD155" s="839"/>
      <c r="DFE155" s="839"/>
      <c r="DFF155" s="839"/>
      <c r="DFG155" s="839"/>
      <c r="DFH155" s="839"/>
      <c r="DFI155" s="839"/>
      <c r="DFJ155" s="839"/>
      <c r="DFK155" s="839"/>
      <c r="DFL155" s="839"/>
      <c r="DFM155" s="839"/>
      <c r="DFN155" s="839"/>
      <c r="DFO155" s="839"/>
      <c r="DFP155" s="839"/>
      <c r="DFQ155" s="839"/>
      <c r="DFR155" s="839"/>
      <c r="DFS155" s="839"/>
      <c r="DFT155" s="839"/>
      <c r="DFU155" s="839"/>
      <c r="DFV155" s="839"/>
      <c r="DFW155" s="839"/>
      <c r="DFX155" s="839"/>
      <c r="DFY155" s="839"/>
      <c r="DFZ155" s="839"/>
      <c r="DGA155" s="839"/>
      <c r="DGB155" s="839"/>
      <c r="DGC155" s="839"/>
      <c r="DGD155" s="839"/>
      <c r="DGE155" s="839"/>
      <c r="DGF155" s="839"/>
      <c r="DGG155" s="839"/>
      <c r="DGH155" s="839"/>
      <c r="DGI155" s="839"/>
      <c r="DGJ155" s="839"/>
      <c r="DGK155" s="839"/>
      <c r="DGL155" s="839"/>
      <c r="DGM155" s="839"/>
      <c r="DGN155" s="839"/>
      <c r="DGO155" s="839"/>
      <c r="DGP155" s="839"/>
      <c r="DGQ155" s="839"/>
      <c r="DGR155" s="839"/>
      <c r="DGS155" s="839"/>
      <c r="DGT155" s="839"/>
      <c r="DGU155" s="839"/>
      <c r="DGV155" s="839"/>
      <c r="DGW155" s="839"/>
      <c r="DGX155" s="839"/>
      <c r="DGY155" s="839"/>
      <c r="DGZ155" s="839"/>
      <c r="DHA155" s="839"/>
      <c r="DHB155" s="839"/>
      <c r="DHC155" s="839"/>
      <c r="DHD155" s="839"/>
      <c r="DHE155" s="839"/>
      <c r="DHF155" s="839"/>
      <c r="DHG155" s="839"/>
      <c r="DHH155" s="839"/>
      <c r="DHI155" s="839"/>
      <c r="DHJ155" s="839"/>
      <c r="DHK155" s="839"/>
      <c r="DHL155" s="839"/>
      <c r="DHM155" s="839"/>
      <c r="DHN155" s="839"/>
      <c r="DHO155" s="839"/>
      <c r="DHP155" s="839"/>
      <c r="DHQ155" s="839"/>
      <c r="DHR155" s="839"/>
      <c r="DHS155" s="839"/>
      <c r="DHT155" s="839"/>
      <c r="DHU155" s="839"/>
      <c r="DHV155" s="839"/>
      <c r="DHW155" s="839"/>
      <c r="DHX155" s="839"/>
      <c r="DHY155" s="839"/>
      <c r="DHZ155" s="839"/>
      <c r="DIA155" s="839"/>
      <c r="DIB155" s="839"/>
      <c r="DIC155" s="839"/>
      <c r="DID155" s="839"/>
      <c r="DIE155" s="839"/>
      <c r="DIF155" s="839"/>
      <c r="DIG155" s="839"/>
      <c r="DIH155" s="839"/>
      <c r="DII155" s="839"/>
      <c r="DIJ155" s="839"/>
      <c r="DIK155" s="839"/>
      <c r="DIL155" s="839"/>
      <c r="DIM155" s="839"/>
      <c r="DIN155" s="839"/>
      <c r="DIO155" s="839"/>
      <c r="DIP155" s="839"/>
      <c r="DIQ155" s="839"/>
      <c r="DIR155" s="839"/>
      <c r="DIS155" s="839"/>
      <c r="DIT155" s="839"/>
      <c r="DIU155" s="839"/>
      <c r="DIV155" s="839"/>
      <c r="DIW155" s="839"/>
      <c r="DIX155" s="839"/>
      <c r="DIY155" s="839"/>
      <c r="DIZ155" s="839"/>
      <c r="DJA155" s="839"/>
      <c r="DJB155" s="839"/>
      <c r="DJC155" s="839"/>
      <c r="DJD155" s="839"/>
      <c r="DJE155" s="839"/>
      <c r="DJF155" s="839"/>
      <c r="DJG155" s="839"/>
      <c r="DJH155" s="839"/>
      <c r="DJI155" s="839"/>
      <c r="DJJ155" s="839"/>
      <c r="DJK155" s="839"/>
      <c r="DJL155" s="839"/>
      <c r="DJM155" s="839"/>
      <c r="DJN155" s="839"/>
      <c r="DJO155" s="839"/>
      <c r="DJP155" s="839"/>
      <c r="DJQ155" s="839"/>
      <c r="DJR155" s="839"/>
      <c r="DJS155" s="839"/>
      <c r="DJT155" s="839"/>
      <c r="DJU155" s="839"/>
      <c r="DJV155" s="839"/>
      <c r="DJW155" s="839"/>
      <c r="DJX155" s="839"/>
      <c r="DJY155" s="839"/>
      <c r="DJZ155" s="839"/>
      <c r="DKA155" s="839"/>
      <c r="DKB155" s="839"/>
      <c r="DKC155" s="839"/>
      <c r="DKD155" s="839"/>
      <c r="DKE155" s="839"/>
      <c r="DKF155" s="839"/>
      <c r="DKG155" s="839"/>
      <c r="DKH155" s="839"/>
      <c r="DKI155" s="839"/>
      <c r="DKJ155" s="839"/>
      <c r="DKK155" s="839"/>
      <c r="DKL155" s="839"/>
      <c r="DKM155" s="839"/>
      <c r="DKN155" s="839"/>
      <c r="DKO155" s="839"/>
      <c r="DKP155" s="839"/>
      <c r="DKQ155" s="839"/>
      <c r="DKR155" s="839"/>
      <c r="DKS155" s="839"/>
      <c r="DKT155" s="839"/>
      <c r="DKU155" s="839"/>
      <c r="DKV155" s="839"/>
      <c r="DKW155" s="839"/>
      <c r="DKX155" s="839"/>
      <c r="DKY155" s="839"/>
      <c r="DKZ155" s="839"/>
      <c r="DLA155" s="839"/>
      <c r="DLB155" s="839"/>
      <c r="DLC155" s="839"/>
      <c r="DLD155" s="839"/>
      <c r="DLE155" s="839"/>
      <c r="DLF155" s="839"/>
      <c r="DLG155" s="839"/>
      <c r="DLH155" s="839"/>
      <c r="DLI155" s="839"/>
      <c r="DLJ155" s="839"/>
      <c r="DLK155" s="839"/>
      <c r="DLL155" s="839"/>
      <c r="DLM155" s="839"/>
      <c r="DLN155" s="839"/>
      <c r="DLO155" s="839"/>
      <c r="DLP155" s="839"/>
      <c r="DLQ155" s="839"/>
      <c r="DLR155" s="839"/>
      <c r="DLS155" s="839"/>
      <c r="DLT155" s="839"/>
      <c r="DLU155" s="839"/>
      <c r="DLV155" s="839"/>
      <c r="DLW155" s="839"/>
      <c r="DLX155" s="839"/>
      <c r="DLY155" s="839"/>
      <c r="DLZ155" s="839"/>
      <c r="DMA155" s="839"/>
      <c r="DMB155" s="839"/>
      <c r="DMC155" s="839"/>
      <c r="DMD155" s="839"/>
      <c r="DME155" s="839"/>
      <c r="DMF155" s="839"/>
      <c r="DMG155" s="839"/>
      <c r="DMH155" s="839"/>
      <c r="DMI155" s="839"/>
      <c r="DMJ155" s="839"/>
      <c r="DMK155" s="839"/>
      <c r="DML155" s="839"/>
      <c r="DMM155" s="839"/>
      <c r="DMN155" s="839"/>
      <c r="DMO155" s="839"/>
      <c r="DMP155" s="839"/>
      <c r="DMQ155" s="839"/>
      <c r="DMR155" s="839"/>
      <c r="DMS155" s="839"/>
      <c r="DMT155" s="839"/>
      <c r="DMU155" s="839"/>
      <c r="DMV155" s="839"/>
      <c r="DMW155" s="839"/>
      <c r="DMX155" s="839"/>
      <c r="DMY155" s="839"/>
      <c r="DMZ155" s="839"/>
      <c r="DNA155" s="839"/>
      <c r="DNB155" s="839"/>
      <c r="DNC155" s="839"/>
      <c r="DND155" s="839"/>
      <c r="DNE155" s="839"/>
      <c r="DNF155" s="839"/>
      <c r="DNG155" s="839"/>
      <c r="DNH155" s="839"/>
      <c r="DNI155" s="839"/>
      <c r="DNJ155" s="839"/>
      <c r="DNK155" s="839"/>
      <c r="DNL155" s="839"/>
      <c r="DNM155" s="839"/>
      <c r="DNN155" s="839"/>
      <c r="DNO155" s="839"/>
      <c r="DNP155" s="839"/>
      <c r="DNQ155" s="839"/>
      <c r="DNR155" s="839"/>
      <c r="DNS155" s="839"/>
      <c r="DNT155" s="839"/>
      <c r="DNU155" s="839"/>
      <c r="DNV155" s="839"/>
      <c r="DNW155" s="839"/>
      <c r="DNX155" s="839"/>
      <c r="DNY155" s="839"/>
      <c r="DNZ155" s="839"/>
      <c r="DOA155" s="839"/>
      <c r="DOB155" s="839"/>
      <c r="DOC155" s="839"/>
      <c r="DOD155" s="839"/>
      <c r="DOE155" s="839"/>
      <c r="DOF155" s="839"/>
      <c r="DOG155" s="839"/>
      <c r="DOH155" s="839"/>
      <c r="DOI155" s="839"/>
      <c r="DOJ155" s="839"/>
      <c r="DOK155" s="839"/>
      <c r="DOL155" s="839"/>
      <c r="DOM155" s="839"/>
      <c r="DON155" s="839"/>
      <c r="DOO155" s="839"/>
      <c r="DOP155" s="839"/>
      <c r="DOQ155" s="839"/>
      <c r="DOR155" s="839"/>
      <c r="DOS155" s="839"/>
      <c r="DOT155" s="839"/>
      <c r="DOU155" s="839"/>
      <c r="DOV155" s="839"/>
      <c r="DOW155" s="839"/>
      <c r="DOX155" s="839"/>
      <c r="DOY155" s="839"/>
      <c r="DOZ155" s="839"/>
      <c r="DPA155" s="839"/>
      <c r="DPB155" s="839"/>
      <c r="DPC155" s="839"/>
      <c r="DPD155" s="839"/>
      <c r="DPE155" s="839"/>
      <c r="DPF155" s="839"/>
      <c r="DPG155" s="839"/>
      <c r="DPH155" s="839"/>
      <c r="DPI155" s="839"/>
      <c r="DPJ155" s="839"/>
      <c r="DPK155" s="839"/>
      <c r="DPL155" s="839"/>
      <c r="DPM155" s="839"/>
      <c r="DPN155" s="839"/>
      <c r="DPO155" s="839"/>
      <c r="DPP155" s="839"/>
      <c r="DPQ155" s="839"/>
      <c r="DPR155" s="839"/>
      <c r="DPS155" s="839"/>
      <c r="DPT155" s="839"/>
      <c r="DPU155" s="839"/>
      <c r="DPV155" s="839"/>
      <c r="DPW155" s="839"/>
      <c r="DPX155" s="839"/>
      <c r="DPY155" s="839"/>
      <c r="DPZ155" s="839"/>
      <c r="DQA155" s="839"/>
      <c r="DQB155" s="839"/>
      <c r="DQC155" s="839"/>
      <c r="DQD155" s="839"/>
      <c r="DQE155" s="839"/>
      <c r="DQF155" s="839"/>
      <c r="DQG155" s="839"/>
      <c r="DQH155" s="839"/>
      <c r="DQI155" s="839"/>
      <c r="DQJ155" s="839"/>
      <c r="DQK155" s="839"/>
      <c r="DQL155" s="839"/>
      <c r="DQM155" s="839"/>
      <c r="DQN155" s="839"/>
      <c r="DQO155" s="839"/>
      <c r="DQP155" s="839"/>
      <c r="DQQ155" s="839"/>
      <c r="DQR155" s="839"/>
      <c r="DQS155" s="839"/>
      <c r="DQT155" s="839"/>
      <c r="DQU155" s="839"/>
      <c r="DQV155" s="839"/>
      <c r="DQW155" s="839"/>
      <c r="DQX155" s="839"/>
      <c r="DQY155" s="839"/>
      <c r="DQZ155" s="839"/>
      <c r="DRA155" s="839"/>
      <c r="DRB155" s="839"/>
      <c r="DRC155" s="839"/>
      <c r="DRD155" s="839"/>
      <c r="DRE155" s="839"/>
      <c r="DRF155" s="839"/>
      <c r="DRG155" s="839"/>
      <c r="DRH155" s="839"/>
      <c r="DRI155" s="839"/>
      <c r="DRJ155" s="839"/>
      <c r="DRK155" s="839"/>
      <c r="DRL155" s="839"/>
      <c r="DRM155" s="839"/>
      <c r="DRN155" s="839"/>
      <c r="DRO155" s="839"/>
      <c r="DRP155" s="839"/>
      <c r="DRQ155" s="839"/>
      <c r="DRR155" s="839"/>
      <c r="DRS155" s="839"/>
      <c r="DRT155" s="839"/>
      <c r="DRU155" s="839"/>
      <c r="DRV155" s="839"/>
      <c r="DRW155" s="839"/>
      <c r="DRX155" s="839"/>
      <c r="DRY155" s="839"/>
      <c r="DRZ155" s="839"/>
      <c r="DSA155" s="839"/>
      <c r="DSB155" s="839"/>
      <c r="DSC155" s="839"/>
      <c r="DSD155" s="839"/>
      <c r="DSE155" s="839"/>
      <c r="DSF155" s="839"/>
      <c r="DSG155" s="839"/>
      <c r="DSH155" s="839"/>
      <c r="DSI155" s="839"/>
      <c r="DSJ155" s="839"/>
      <c r="DSK155" s="839"/>
      <c r="DSL155" s="839"/>
      <c r="DSM155" s="839"/>
      <c r="DSN155" s="839"/>
      <c r="DSO155" s="839"/>
      <c r="DSP155" s="839"/>
      <c r="DSQ155" s="839"/>
      <c r="DSR155" s="839"/>
      <c r="DSS155" s="839"/>
      <c r="DST155" s="839"/>
      <c r="DSU155" s="839"/>
      <c r="DSV155" s="839"/>
      <c r="DSW155" s="839"/>
      <c r="DSX155" s="839"/>
      <c r="DSY155" s="839"/>
      <c r="DSZ155" s="839"/>
      <c r="DTA155" s="839"/>
      <c r="DTB155" s="839"/>
      <c r="DTC155" s="839"/>
      <c r="DTD155" s="839"/>
      <c r="DTE155" s="839"/>
      <c r="DTF155" s="839"/>
      <c r="DTG155" s="839"/>
      <c r="DTH155" s="839"/>
      <c r="DTI155" s="839"/>
      <c r="DTJ155" s="839"/>
      <c r="DTK155" s="839"/>
      <c r="DTL155" s="839"/>
      <c r="DTM155" s="839"/>
      <c r="DTN155" s="839"/>
      <c r="DTO155" s="839"/>
      <c r="DTP155" s="839"/>
      <c r="DTQ155" s="839"/>
      <c r="DTR155" s="839"/>
      <c r="DTS155" s="839"/>
      <c r="DTT155" s="839"/>
      <c r="DTU155" s="839"/>
      <c r="DTV155" s="839"/>
      <c r="DTW155" s="839"/>
      <c r="DTX155" s="839"/>
      <c r="DTY155" s="839"/>
      <c r="DTZ155" s="839"/>
      <c r="DUA155" s="839"/>
      <c r="DUB155" s="839"/>
      <c r="DUC155" s="839"/>
      <c r="DUD155" s="839"/>
      <c r="DUE155" s="839"/>
      <c r="DUF155" s="839"/>
      <c r="DUG155" s="839"/>
      <c r="DUH155" s="839"/>
      <c r="DUI155" s="839"/>
      <c r="DUJ155" s="839"/>
      <c r="DUK155" s="839"/>
      <c r="DUL155" s="839"/>
      <c r="DUM155" s="839"/>
      <c r="DUN155" s="839"/>
      <c r="DUO155" s="839"/>
      <c r="DUP155" s="839"/>
      <c r="DUQ155" s="839"/>
      <c r="DUR155" s="839"/>
      <c r="DUS155" s="839"/>
      <c r="DUT155" s="839"/>
      <c r="DUU155" s="839"/>
      <c r="DUV155" s="839"/>
      <c r="DUW155" s="839"/>
      <c r="DUX155" s="839"/>
      <c r="DUY155" s="839"/>
      <c r="DUZ155" s="839"/>
      <c r="DVA155" s="839"/>
      <c r="DVB155" s="839"/>
      <c r="DVC155" s="839"/>
      <c r="DVD155" s="839"/>
      <c r="DVE155" s="839"/>
      <c r="DVF155" s="839"/>
      <c r="DVG155" s="839"/>
      <c r="DVH155" s="839"/>
      <c r="DVI155" s="839"/>
      <c r="DVJ155" s="839"/>
      <c r="DVK155" s="839"/>
      <c r="DVL155" s="839"/>
      <c r="DVM155" s="839"/>
      <c r="DVN155" s="839"/>
      <c r="DVO155" s="839"/>
      <c r="DVP155" s="839"/>
      <c r="DVQ155" s="839"/>
      <c r="DVR155" s="839"/>
      <c r="DVS155" s="839"/>
      <c r="DVT155" s="839"/>
      <c r="DVU155" s="839"/>
      <c r="DVV155" s="839"/>
      <c r="DVW155" s="839"/>
      <c r="DVX155" s="839"/>
      <c r="DVY155" s="839"/>
      <c r="DVZ155" s="839"/>
      <c r="DWA155" s="839"/>
      <c r="DWB155" s="839"/>
      <c r="DWC155" s="839"/>
      <c r="DWD155" s="839"/>
      <c r="DWE155" s="839"/>
      <c r="DWF155" s="839"/>
      <c r="DWG155" s="839"/>
      <c r="DWH155" s="839"/>
      <c r="DWI155" s="839"/>
      <c r="DWJ155" s="839"/>
      <c r="DWK155" s="839"/>
      <c r="DWL155" s="839"/>
      <c r="DWM155" s="839"/>
      <c r="DWN155" s="839"/>
      <c r="DWO155" s="839"/>
      <c r="DWP155" s="839"/>
      <c r="DWQ155" s="839"/>
      <c r="DWR155" s="839"/>
      <c r="DWS155" s="839"/>
      <c r="DWT155" s="839"/>
      <c r="DWU155" s="839"/>
      <c r="DWV155" s="839"/>
      <c r="DWW155" s="839"/>
      <c r="DWX155" s="839"/>
      <c r="DWY155" s="839"/>
      <c r="DWZ155" s="839"/>
      <c r="DXA155" s="839"/>
      <c r="DXB155" s="839"/>
      <c r="DXC155" s="839"/>
      <c r="DXD155" s="839"/>
      <c r="DXE155" s="839"/>
      <c r="DXF155" s="839"/>
      <c r="DXG155" s="839"/>
      <c r="DXH155" s="839"/>
      <c r="DXI155" s="839"/>
      <c r="DXJ155" s="839"/>
      <c r="DXK155" s="839"/>
      <c r="DXL155" s="839"/>
      <c r="DXM155" s="839"/>
      <c r="DXN155" s="839"/>
      <c r="DXO155" s="839"/>
      <c r="DXP155" s="839"/>
      <c r="DXQ155" s="839"/>
      <c r="DXR155" s="839"/>
      <c r="DXS155" s="839"/>
      <c r="DXT155" s="839"/>
      <c r="DXU155" s="839"/>
      <c r="DXV155" s="839"/>
      <c r="DXW155" s="839"/>
      <c r="DXX155" s="839"/>
      <c r="DXY155" s="839"/>
      <c r="DXZ155" s="839"/>
      <c r="DYA155" s="839"/>
      <c r="DYB155" s="839"/>
      <c r="DYC155" s="839"/>
      <c r="DYD155" s="839"/>
      <c r="DYE155" s="839"/>
      <c r="DYF155" s="839"/>
      <c r="DYG155" s="839"/>
      <c r="DYH155" s="839"/>
      <c r="DYI155" s="839"/>
      <c r="DYJ155" s="839"/>
      <c r="DYK155" s="839"/>
      <c r="DYL155" s="839"/>
      <c r="DYM155" s="839"/>
      <c r="DYN155" s="839"/>
      <c r="DYO155" s="839"/>
      <c r="DYP155" s="839"/>
      <c r="DYQ155" s="839"/>
      <c r="DYR155" s="839"/>
      <c r="DYS155" s="839"/>
      <c r="DYT155" s="839"/>
      <c r="DYU155" s="839"/>
      <c r="DYV155" s="839"/>
      <c r="DYW155" s="839"/>
      <c r="DYX155" s="839"/>
      <c r="DYY155" s="839"/>
      <c r="DYZ155" s="839"/>
      <c r="DZA155" s="839"/>
      <c r="DZB155" s="839"/>
      <c r="DZC155" s="839"/>
      <c r="DZD155" s="839"/>
      <c r="DZE155" s="839"/>
      <c r="DZF155" s="839"/>
      <c r="DZG155" s="839"/>
      <c r="DZH155" s="839"/>
      <c r="DZI155" s="839"/>
      <c r="DZJ155" s="839"/>
      <c r="DZK155" s="839"/>
      <c r="DZL155" s="839"/>
      <c r="DZM155" s="839"/>
      <c r="DZN155" s="839"/>
      <c r="DZO155" s="839"/>
      <c r="DZP155" s="839"/>
      <c r="DZQ155" s="839"/>
      <c r="DZR155" s="839"/>
      <c r="DZS155" s="839"/>
      <c r="DZT155" s="839"/>
      <c r="DZU155" s="839"/>
      <c r="DZV155" s="839"/>
      <c r="DZW155" s="839"/>
      <c r="DZX155" s="839"/>
      <c r="DZY155" s="839"/>
      <c r="DZZ155" s="839"/>
      <c r="EAA155" s="839"/>
      <c r="EAB155" s="839"/>
      <c r="EAC155" s="839"/>
      <c r="EAD155" s="839"/>
      <c r="EAE155" s="839"/>
      <c r="EAF155" s="839"/>
      <c r="EAG155" s="839"/>
      <c r="EAH155" s="839"/>
      <c r="EAI155" s="839"/>
      <c r="EAJ155" s="839"/>
      <c r="EAK155" s="839"/>
      <c r="EAL155" s="839"/>
      <c r="EAM155" s="839"/>
      <c r="EAN155" s="839"/>
      <c r="EAO155" s="839"/>
      <c r="EAP155" s="839"/>
      <c r="EAQ155" s="839"/>
      <c r="EAR155" s="839"/>
      <c r="EAS155" s="839"/>
      <c r="EAT155" s="839"/>
      <c r="EAU155" s="839"/>
      <c r="EAV155" s="839"/>
      <c r="EAW155" s="839"/>
      <c r="EAX155" s="839"/>
      <c r="EAY155" s="839"/>
      <c r="EAZ155" s="839"/>
      <c r="EBA155" s="839"/>
      <c r="EBB155" s="839"/>
      <c r="EBC155" s="839"/>
      <c r="EBD155" s="839"/>
      <c r="EBE155" s="839"/>
      <c r="EBF155" s="839"/>
      <c r="EBG155" s="839"/>
      <c r="EBH155" s="839"/>
      <c r="EBI155" s="839"/>
      <c r="EBJ155" s="839"/>
      <c r="EBK155" s="839"/>
      <c r="EBL155" s="839"/>
      <c r="EBM155" s="839"/>
      <c r="EBN155" s="839"/>
      <c r="EBO155" s="839"/>
      <c r="EBP155" s="839"/>
      <c r="EBQ155" s="839"/>
      <c r="EBR155" s="839"/>
      <c r="EBS155" s="839"/>
      <c r="EBT155" s="839"/>
      <c r="EBU155" s="839"/>
      <c r="EBV155" s="839"/>
      <c r="EBW155" s="839"/>
      <c r="EBX155" s="839"/>
      <c r="EBY155" s="839"/>
      <c r="EBZ155" s="839"/>
      <c r="ECA155" s="839"/>
      <c r="ECB155" s="839"/>
      <c r="ECC155" s="839"/>
      <c r="ECD155" s="839"/>
      <c r="ECE155" s="839"/>
      <c r="ECF155" s="839"/>
      <c r="ECG155" s="839"/>
      <c r="ECH155" s="839"/>
      <c r="ECI155" s="839"/>
      <c r="ECJ155" s="839"/>
      <c r="ECK155" s="839"/>
      <c r="ECL155" s="839"/>
      <c r="ECM155" s="839"/>
      <c r="ECN155" s="839"/>
      <c r="ECO155" s="839"/>
      <c r="ECP155" s="839"/>
      <c r="ECQ155" s="839"/>
      <c r="ECR155" s="839"/>
      <c r="ECS155" s="839"/>
      <c r="ECT155" s="839"/>
      <c r="ECU155" s="839"/>
      <c r="ECV155" s="839"/>
      <c r="ECW155" s="839"/>
      <c r="ECX155" s="839"/>
      <c r="ECY155" s="839"/>
      <c r="ECZ155" s="839"/>
      <c r="EDA155" s="839"/>
      <c r="EDB155" s="839"/>
      <c r="EDC155" s="839"/>
      <c r="EDD155" s="839"/>
      <c r="EDE155" s="839"/>
      <c r="EDF155" s="839"/>
      <c r="EDG155" s="839"/>
      <c r="EDH155" s="839"/>
      <c r="EDI155" s="839"/>
      <c r="EDJ155" s="839"/>
      <c r="EDK155" s="839"/>
      <c r="EDL155" s="839"/>
      <c r="EDM155" s="839"/>
      <c r="EDN155" s="839"/>
      <c r="EDO155" s="839"/>
      <c r="EDP155" s="839"/>
      <c r="EDQ155" s="839"/>
      <c r="EDR155" s="839"/>
      <c r="EDS155" s="839"/>
      <c r="EDT155" s="839"/>
      <c r="EDU155" s="839"/>
      <c r="EDV155" s="839"/>
      <c r="EDW155" s="839"/>
      <c r="EDX155" s="839"/>
      <c r="EDY155" s="839"/>
      <c r="EDZ155" s="839"/>
      <c r="EEA155" s="839"/>
      <c r="EEB155" s="839"/>
      <c r="EEC155" s="839"/>
      <c r="EED155" s="839"/>
      <c r="EEE155" s="839"/>
      <c r="EEF155" s="839"/>
      <c r="EEG155" s="839"/>
      <c r="EEH155" s="839"/>
      <c r="EEI155" s="839"/>
      <c r="EEJ155" s="839"/>
      <c r="EEK155" s="839"/>
      <c r="EEL155" s="839"/>
      <c r="EEM155" s="839"/>
      <c r="EEN155" s="839"/>
      <c r="EEO155" s="839"/>
      <c r="EEP155" s="839"/>
      <c r="EEQ155" s="839"/>
      <c r="EER155" s="839"/>
      <c r="EES155" s="839"/>
      <c r="EET155" s="839"/>
      <c r="EEU155" s="839"/>
      <c r="EEV155" s="839"/>
      <c r="EEW155" s="839"/>
      <c r="EEX155" s="839"/>
      <c r="EEY155" s="839"/>
      <c r="EEZ155" s="839"/>
      <c r="EFA155" s="839"/>
      <c r="EFB155" s="839"/>
      <c r="EFC155" s="839"/>
      <c r="EFD155" s="839"/>
      <c r="EFE155" s="839"/>
      <c r="EFF155" s="839"/>
      <c r="EFG155" s="839"/>
      <c r="EFH155" s="839"/>
      <c r="EFI155" s="839"/>
      <c r="EFJ155" s="839"/>
      <c r="EFK155" s="839"/>
      <c r="EFL155" s="839"/>
      <c r="EFM155" s="839"/>
      <c r="EFN155" s="839"/>
      <c r="EFO155" s="839"/>
      <c r="EFP155" s="839"/>
      <c r="EFQ155" s="839"/>
      <c r="EFR155" s="839"/>
      <c r="EFS155" s="839"/>
      <c r="EFT155" s="839"/>
      <c r="EFU155" s="839"/>
      <c r="EFV155" s="839"/>
      <c r="EFW155" s="839"/>
      <c r="EFX155" s="839"/>
      <c r="EFY155" s="839"/>
      <c r="EFZ155" s="839"/>
      <c r="EGA155" s="839"/>
      <c r="EGB155" s="839"/>
      <c r="EGC155" s="839"/>
      <c r="EGD155" s="839"/>
      <c r="EGE155" s="839"/>
      <c r="EGF155" s="839"/>
      <c r="EGG155" s="839"/>
      <c r="EGH155" s="839"/>
      <c r="EGI155" s="839"/>
      <c r="EGJ155" s="839"/>
      <c r="EGK155" s="839"/>
      <c r="EGL155" s="839"/>
      <c r="EGM155" s="839"/>
      <c r="EGN155" s="839"/>
      <c r="EGO155" s="839"/>
      <c r="EGP155" s="839"/>
      <c r="EGQ155" s="839"/>
      <c r="EGR155" s="839"/>
      <c r="EGS155" s="839"/>
      <c r="EGT155" s="839"/>
      <c r="EGU155" s="839"/>
      <c r="EGV155" s="839"/>
      <c r="EGW155" s="839"/>
      <c r="EGX155" s="839"/>
      <c r="EGY155" s="839"/>
      <c r="EGZ155" s="839"/>
      <c r="EHA155" s="839"/>
      <c r="EHB155" s="839"/>
      <c r="EHC155" s="839"/>
      <c r="EHD155" s="839"/>
      <c r="EHE155" s="839"/>
      <c r="EHF155" s="839"/>
      <c r="EHG155" s="839"/>
      <c r="EHH155" s="839"/>
      <c r="EHI155" s="839"/>
      <c r="EHJ155" s="839"/>
      <c r="EHK155" s="839"/>
      <c r="EHL155" s="839"/>
      <c r="EHM155" s="839"/>
      <c r="EHN155" s="839"/>
      <c r="EHO155" s="839"/>
      <c r="EHP155" s="839"/>
      <c r="EHQ155" s="839"/>
      <c r="EHR155" s="839"/>
      <c r="EHS155" s="839"/>
      <c r="EHT155" s="839"/>
      <c r="EHU155" s="839"/>
      <c r="EHV155" s="839"/>
      <c r="EHW155" s="839"/>
      <c r="EHX155" s="839"/>
      <c r="EHY155" s="839"/>
      <c r="EHZ155" s="839"/>
      <c r="EIA155" s="839"/>
      <c r="EIB155" s="839"/>
      <c r="EIC155" s="839"/>
      <c r="EID155" s="839"/>
      <c r="EIE155" s="839"/>
      <c r="EIF155" s="839"/>
      <c r="EIG155" s="839"/>
      <c r="EIH155" s="839"/>
      <c r="EII155" s="839"/>
      <c r="EIJ155" s="839"/>
      <c r="EIK155" s="839"/>
      <c r="EIL155" s="839"/>
      <c r="EIM155" s="839"/>
      <c r="EIN155" s="839"/>
      <c r="EIO155" s="839"/>
      <c r="EIP155" s="839"/>
      <c r="EIQ155" s="839"/>
      <c r="EIR155" s="839"/>
      <c r="EIS155" s="839"/>
      <c r="EIT155" s="839"/>
      <c r="EIU155" s="839"/>
      <c r="EIV155" s="839"/>
      <c r="EIW155" s="839"/>
      <c r="EIX155" s="839"/>
      <c r="EIY155" s="839"/>
      <c r="EIZ155" s="839"/>
      <c r="EJA155" s="839"/>
      <c r="EJB155" s="839"/>
      <c r="EJC155" s="839"/>
      <c r="EJD155" s="839"/>
      <c r="EJE155" s="839"/>
      <c r="EJF155" s="839"/>
      <c r="EJG155" s="839"/>
      <c r="EJH155" s="839"/>
      <c r="EJI155" s="839"/>
      <c r="EJJ155" s="839"/>
      <c r="EJK155" s="839"/>
      <c r="EJL155" s="839"/>
      <c r="EJM155" s="839"/>
      <c r="EJN155" s="839"/>
      <c r="EJO155" s="839"/>
      <c r="EJP155" s="839"/>
      <c r="EJQ155" s="839"/>
      <c r="EJR155" s="839"/>
      <c r="EJS155" s="839"/>
      <c r="EJT155" s="839"/>
      <c r="EJU155" s="839"/>
      <c r="EJV155" s="839"/>
      <c r="EJW155" s="839"/>
      <c r="EJX155" s="839"/>
      <c r="EJY155" s="839"/>
      <c r="EJZ155" s="839"/>
      <c r="EKA155" s="839"/>
      <c r="EKB155" s="839"/>
      <c r="EKC155" s="839"/>
      <c r="EKD155" s="839"/>
      <c r="EKE155" s="839"/>
      <c r="EKF155" s="839"/>
      <c r="EKG155" s="839"/>
      <c r="EKH155" s="839"/>
      <c r="EKI155" s="839"/>
      <c r="EKJ155" s="839"/>
      <c r="EKK155" s="839"/>
      <c r="EKL155" s="839"/>
      <c r="EKM155" s="839"/>
      <c r="EKN155" s="839"/>
      <c r="EKO155" s="839"/>
      <c r="EKP155" s="839"/>
      <c r="EKQ155" s="839"/>
      <c r="EKR155" s="839"/>
      <c r="EKS155" s="839"/>
      <c r="EKT155" s="839"/>
      <c r="EKU155" s="839"/>
      <c r="EKV155" s="839"/>
      <c r="EKW155" s="839"/>
      <c r="EKX155" s="839"/>
      <c r="EKY155" s="839"/>
      <c r="EKZ155" s="839"/>
      <c r="ELA155" s="839"/>
      <c r="ELB155" s="839"/>
      <c r="ELC155" s="839"/>
      <c r="ELD155" s="839"/>
      <c r="ELE155" s="839"/>
      <c r="ELF155" s="839"/>
      <c r="ELG155" s="839"/>
      <c r="ELH155" s="839"/>
      <c r="ELI155" s="839"/>
      <c r="ELJ155" s="839"/>
      <c r="ELK155" s="839"/>
      <c r="ELL155" s="839"/>
      <c r="ELM155" s="839"/>
      <c r="ELN155" s="839"/>
      <c r="ELO155" s="839"/>
      <c r="ELP155" s="839"/>
      <c r="ELQ155" s="839"/>
      <c r="ELR155" s="839"/>
      <c r="ELS155" s="839"/>
      <c r="ELT155" s="839"/>
      <c r="ELU155" s="839"/>
      <c r="ELV155" s="839"/>
      <c r="ELW155" s="839"/>
      <c r="ELX155" s="839"/>
      <c r="ELY155" s="839"/>
      <c r="ELZ155" s="839"/>
      <c r="EMA155" s="839"/>
      <c r="EMB155" s="839"/>
      <c r="EMC155" s="839"/>
      <c r="EMD155" s="839"/>
      <c r="EME155" s="839"/>
      <c r="EMF155" s="839"/>
      <c r="EMG155" s="839"/>
      <c r="EMH155" s="839"/>
      <c r="EMI155" s="839"/>
      <c r="EMJ155" s="839"/>
      <c r="EMK155" s="839"/>
      <c r="EML155" s="839"/>
      <c r="EMM155" s="839"/>
      <c r="EMN155" s="839"/>
      <c r="EMO155" s="839"/>
      <c r="EMP155" s="839"/>
      <c r="EMQ155" s="839"/>
      <c r="EMR155" s="839"/>
      <c r="EMS155" s="839"/>
      <c r="EMT155" s="839"/>
      <c r="EMU155" s="839"/>
      <c r="EMV155" s="839"/>
      <c r="EMW155" s="839"/>
      <c r="EMX155" s="839"/>
      <c r="EMY155" s="839"/>
      <c r="EMZ155" s="839"/>
      <c r="ENA155" s="839"/>
      <c r="ENB155" s="839"/>
      <c r="ENC155" s="839"/>
      <c r="END155" s="839"/>
      <c r="ENE155" s="839"/>
      <c r="ENF155" s="839"/>
      <c r="ENG155" s="839"/>
      <c r="ENH155" s="839"/>
      <c r="ENI155" s="839"/>
      <c r="ENJ155" s="839"/>
      <c r="ENK155" s="839"/>
      <c r="ENL155" s="839"/>
      <c r="ENM155" s="839"/>
      <c r="ENN155" s="839"/>
      <c r="ENO155" s="839"/>
      <c r="ENP155" s="839"/>
      <c r="ENQ155" s="839"/>
      <c r="ENR155" s="839"/>
      <c r="ENS155" s="839"/>
      <c r="ENT155" s="839"/>
      <c r="ENU155" s="839"/>
      <c r="ENV155" s="839"/>
      <c r="ENW155" s="839"/>
      <c r="ENX155" s="839"/>
      <c r="ENY155" s="839"/>
      <c r="ENZ155" s="839"/>
      <c r="EOA155" s="839"/>
      <c r="EOB155" s="839"/>
      <c r="EOC155" s="839"/>
      <c r="EOD155" s="839"/>
      <c r="EOE155" s="839"/>
      <c r="EOF155" s="839"/>
      <c r="EOG155" s="839"/>
      <c r="EOH155" s="839"/>
      <c r="EOI155" s="839"/>
      <c r="EOJ155" s="839"/>
      <c r="EOK155" s="839"/>
      <c r="EOL155" s="839"/>
      <c r="EOM155" s="839"/>
      <c r="EON155" s="839"/>
      <c r="EOO155" s="839"/>
      <c r="EOP155" s="839"/>
      <c r="EOQ155" s="839"/>
      <c r="EOR155" s="839"/>
      <c r="EOS155" s="839"/>
      <c r="EOT155" s="839"/>
      <c r="EOU155" s="839"/>
      <c r="EOV155" s="839"/>
      <c r="EOW155" s="839"/>
      <c r="EOX155" s="839"/>
      <c r="EOY155" s="839"/>
      <c r="EOZ155" s="839"/>
      <c r="EPA155" s="839"/>
      <c r="EPB155" s="839"/>
      <c r="EPC155" s="839"/>
      <c r="EPD155" s="839"/>
      <c r="EPE155" s="839"/>
      <c r="EPF155" s="839"/>
      <c r="EPG155" s="839"/>
      <c r="EPH155" s="839"/>
      <c r="EPI155" s="839"/>
      <c r="EPJ155" s="839"/>
      <c r="EPK155" s="839"/>
      <c r="EPL155" s="839"/>
      <c r="EPM155" s="839"/>
      <c r="EPN155" s="839"/>
      <c r="EPO155" s="839"/>
      <c r="EPP155" s="839"/>
      <c r="EPQ155" s="839"/>
      <c r="EPR155" s="839"/>
      <c r="EPS155" s="839"/>
      <c r="EPT155" s="839"/>
      <c r="EPU155" s="839"/>
      <c r="EPV155" s="839"/>
      <c r="EPW155" s="839"/>
      <c r="EPX155" s="839"/>
      <c r="EPY155" s="839"/>
      <c r="EPZ155" s="839"/>
      <c r="EQA155" s="839"/>
      <c r="EQB155" s="839"/>
      <c r="EQC155" s="839"/>
      <c r="EQD155" s="839"/>
      <c r="EQE155" s="839"/>
      <c r="EQF155" s="839"/>
      <c r="EQG155" s="839"/>
      <c r="EQH155" s="839"/>
      <c r="EQI155" s="839"/>
      <c r="EQJ155" s="839"/>
      <c r="EQK155" s="839"/>
      <c r="EQL155" s="839"/>
      <c r="EQM155" s="839"/>
      <c r="EQN155" s="839"/>
      <c r="EQO155" s="839"/>
      <c r="EQP155" s="839"/>
      <c r="EQQ155" s="839"/>
      <c r="EQR155" s="839"/>
      <c r="EQS155" s="839"/>
      <c r="EQT155" s="839"/>
      <c r="EQU155" s="839"/>
      <c r="EQV155" s="839"/>
      <c r="EQW155" s="839"/>
      <c r="EQX155" s="839"/>
      <c r="EQY155" s="839"/>
      <c r="EQZ155" s="839"/>
      <c r="ERA155" s="839"/>
      <c r="ERB155" s="839"/>
      <c r="ERC155" s="839"/>
      <c r="ERD155" s="839"/>
      <c r="ERE155" s="839"/>
      <c r="ERF155" s="839"/>
      <c r="ERG155" s="839"/>
      <c r="ERH155" s="839"/>
      <c r="ERI155" s="839"/>
      <c r="ERJ155" s="839"/>
      <c r="ERK155" s="839"/>
      <c r="ERL155" s="839"/>
      <c r="ERM155" s="839"/>
      <c r="ERN155" s="839"/>
      <c r="ERO155" s="839"/>
      <c r="ERP155" s="839"/>
      <c r="ERQ155" s="839"/>
      <c r="ERR155" s="839"/>
      <c r="ERS155" s="839"/>
      <c r="ERT155" s="839"/>
      <c r="ERU155" s="839"/>
      <c r="ERV155" s="839"/>
      <c r="ERW155" s="839"/>
      <c r="ERX155" s="839"/>
      <c r="ERY155" s="839"/>
      <c r="ERZ155" s="839"/>
      <c r="ESA155" s="839"/>
      <c r="ESB155" s="839"/>
      <c r="ESC155" s="839"/>
      <c r="ESD155" s="839"/>
      <c r="ESE155" s="839"/>
      <c r="ESF155" s="839"/>
      <c r="ESG155" s="839"/>
      <c r="ESH155" s="839"/>
      <c r="ESI155" s="839"/>
      <c r="ESJ155" s="839"/>
      <c r="ESK155" s="839"/>
      <c r="ESL155" s="839"/>
      <c r="ESM155" s="839"/>
      <c r="ESN155" s="839"/>
      <c r="ESO155" s="839"/>
      <c r="ESP155" s="839"/>
      <c r="ESQ155" s="839"/>
      <c r="ESR155" s="839"/>
      <c r="ESS155" s="839"/>
      <c r="EST155" s="839"/>
      <c r="ESU155" s="839"/>
      <c r="ESV155" s="839"/>
      <c r="ESW155" s="839"/>
      <c r="ESX155" s="839"/>
      <c r="ESY155" s="839"/>
      <c r="ESZ155" s="839"/>
      <c r="ETA155" s="839"/>
      <c r="ETB155" s="839"/>
      <c r="ETC155" s="839"/>
      <c r="ETD155" s="839"/>
      <c r="ETE155" s="839"/>
      <c r="ETF155" s="839"/>
      <c r="ETG155" s="839"/>
      <c r="ETH155" s="839"/>
      <c r="ETI155" s="839"/>
      <c r="ETJ155" s="839"/>
      <c r="ETK155" s="839"/>
      <c r="ETL155" s="839"/>
      <c r="ETM155" s="839"/>
      <c r="ETN155" s="839"/>
      <c r="ETO155" s="839"/>
      <c r="ETP155" s="839"/>
      <c r="ETQ155" s="839"/>
      <c r="ETR155" s="839"/>
      <c r="ETS155" s="839"/>
      <c r="ETT155" s="839"/>
      <c r="ETU155" s="839"/>
      <c r="ETV155" s="839"/>
      <c r="ETW155" s="839"/>
      <c r="ETX155" s="839"/>
      <c r="ETY155" s="839"/>
      <c r="ETZ155" s="839"/>
      <c r="EUA155" s="839"/>
      <c r="EUB155" s="839"/>
      <c r="EUC155" s="839"/>
      <c r="EUD155" s="839"/>
      <c r="EUE155" s="839"/>
      <c r="EUF155" s="839"/>
      <c r="EUG155" s="839"/>
      <c r="EUH155" s="839"/>
      <c r="EUI155" s="839"/>
      <c r="EUJ155" s="839"/>
      <c r="EUK155" s="839"/>
      <c r="EUL155" s="839"/>
      <c r="EUM155" s="839"/>
      <c r="EUN155" s="839"/>
      <c r="EUO155" s="839"/>
      <c r="EUP155" s="839"/>
      <c r="EUQ155" s="839"/>
      <c r="EUR155" s="839"/>
      <c r="EUS155" s="839"/>
      <c r="EUT155" s="839"/>
      <c r="EUU155" s="839"/>
      <c r="EUV155" s="839"/>
      <c r="EUW155" s="839"/>
      <c r="EUX155" s="839"/>
      <c r="EUY155" s="839"/>
      <c r="EUZ155" s="839"/>
      <c r="EVA155" s="839"/>
      <c r="EVB155" s="839"/>
      <c r="EVC155" s="839"/>
      <c r="EVD155" s="839"/>
      <c r="EVE155" s="839"/>
      <c r="EVF155" s="839"/>
      <c r="EVG155" s="839"/>
      <c r="EVH155" s="839"/>
      <c r="EVI155" s="839"/>
      <c r="EVJ155" s="839"/>
      <c r="EVK155" s="839"/>
      <c r="EVL155" s="839"/>
      <c r="EVM155" s="839"/>
      <c r="EVN155" s="839"/>
      <c r="EVO155" s="839"/>
      <c r="EVP155" s="839"/>
      <c r="EVQ155" s="839"/>
      <c r="EVR155" s="839"/>
      <c r="EVS155" s="839"/>
      <c r="EVT155" s="839"/>
      <c r="EVU155" s="839"/>
      <c r="EVV155" s="839"/>
      <c r="EVW155" s="839"/>
      <c r="EVX155" s="839"/>
      <c r="EVY155" s="839"/>
      <c r="EVZ155" s="839"/>
      <c r="EWA155" s="839"/>
      <c r="EWB155" s="839"/>
      <c r="EWC155" s="839"/>
      <c r="EWD155" s="839"/>
      <c r="EWE155" s="839"/>
      <c r="EWF155" s="839"/>
      <c r="EWG155" s="839"/>
      <c r="EWH155" s="839"/>
      <c r="EWI155" s="839"/>
      <c r="EWJ155" s="839"/>
      <c r="EWK155" s="839"/>
      <c r="EWL155" s="839"/>
      <c r="EWM155" s="839"/>
      <c r="EWN155" s="839"/>
      <c r="EWO155" s="839"/>
      <c r="EWP155" s="839"/>
      <c r="EWQ155" s="839"/>
      <c r="EWR155" s="839"/>
      <c r="EWS155" s="839"/>
      <c r="EWT155" s="839"/>
      <c r="EWU155" s="839"/>
      <c r="EWV155" s="839"/>
      <c r="EWW155" s="839"/>
      <c r="EWX155" s="839"/>
      <c r="EWY155" s="839"/>
      <c r="EWZ155" s="839"/>
      <c r="EXA155" s="839"/>
      <c r="EXB155" s="839"/>
      <c r="EXC155" s="839"/>
      <c r="EXD155" s="839"/>
      <c r="EXE155" s="839"/>
      <c r="EXF155" s="839"/>
      <c r="EXG155" s="839"/>
      <c r="EXH155" s="839"/>
      <c r="EXI155" s="839"/>
      <c r="EXJ155" s="839"/>
      <c r="EXK155" s="839"/>
      <c r="EXL155" s="839"/>
      <c r="EXM155" s="839"/>
      <c r="EXN155" s="839"/>
      <c r="EXO155" s="839"/>
      <c r="EXP155" s="839"/>
      <c r="EXQ155" s="839"/>
      <c r="EXR155" s="839"/>
      <c r="EXS155" s="839"/>
      <c r="EXT155" s="839"/>
      <c r="EXU155" s="839"/>
      <c r="EXV155" s="839"/>
      <c r="EXW155" s="839"/>
      <c r="EXX155" s="839"/>
      <c r="EXY155" s="839"/>
      <c r="EXZ155" s="839"/>
      <c r="EYA155" s="839"/>
      <c r="EYB155" s="839"/>
      <c r="EYC155" s="839"/>
      <c r="EYD155" s="839"/>
      <c r="EYE155" s="839"/>
      <c r="EYF155" s="839"/>
      <c r="EYG155" s="839"/>
      <c r="EYH155" s="839"/>
      <c r="EYI155" s="839"/>
      <c r="EYJ155" s="839"/>
      <c r="EYK155" s="839"/>
      <c r="EYL155" s="839"/>
      <c r="EYM155" s="839"/>
      <c r="EYN155" s="839"/>
      <c r="EYO155" s="839"/>
      <c r="EYP155" s="839"/>
      <c r="EYQ155" s="839"/>
      <c r="EYR155" s="839"/>
      <c r="EYS155" s="839"/>
      <c r="EYT155" s="839"/>
      <c r="EYU155" s="839"/>
      <c r="EYV155" s="839"/>
      <c r="EYW155" s="839"/>
      <c r="EYX155" s="839"/>
      <c r="EYY155" s="839"/>
      <c r="EYZ155" s="839"/>
      <c r="EZA155" s="839"/>
      <c r="EZB155" s="839"/>
      <c r="EZC155" s="839"/>
      <c r="EZD155" s="839"/>
      <c r="EZE155" s="839"/>
      <c r="EZF155" s="839"/>
      <c r="EZG155" s="839"/>
      <c r="EZH155" s="839"/>
      <c r="EZI155" s="839"/>
      <c r="EZJ155" s="839"/>
      <c r="EZK155" s="839"/>
      <c r="EZL155" s="839"/>
      <c r="EZM155" s="839"/>
      <c r="EZN155" s="839"/>
      <c r="EZO155" s="839"/>
      <c r="EZP155" s="839"/>
      <c r="EZQ155" s="839"/>
      <c r="EZR155" s="839"/>
      <c r="EZS155" s="839"/>
      <c r="EZT155" s="839"/>
      <c r="EZU155" s="839"/>
      <c r="EZV155" s="839"/>
      <c r="EZW155" s="839"/>
      <c r="EZX155" s="839"/>
      <c r="EZY155" s="839"/>
      <c r="EZZ155" s="839"/>
      <c r="FAA155" s="839"/>
      <c r="FAB155" s="839"/>
      <c r="FAC155" s="839"/>
      <c r="FAD155" s="839"/>
      <c r="FAE155" s="839"/>
      <c r="FAF155" s="839"/>
      <c r="FAG155" s="839"/>
      <c r="FAH155" s="839"/>
      <c r="FAI155" s="839"/>
      <c r="FAJ155" s="839"/>
      <c r="FAK155" s="839"/>
      <c r="FAL155" s="839"/>
      <c r="FAM155" s="839"/>
      <c r="FAN155" s="839"/>
      <c r="FAO155" s="839"/>
      <c r="FAP155" s="839"/>
      <c r="FAQ155" s="839"/>
      <c r="FAR155" s="839"/>
      <c r="FAS155" s="839"/>
      <c r="FAT155" s="839"/>
      <c r="FAU155" s="839"/>
      <c r="FAV155" s="839"/>
      <c r="FAW155" s="839"/>
      <c r="FAX155" s="839"/>
      <c r="FAY155" s="839"/>
      <c r="FAZ155" s="839"/>
      <c r="FBA155" s="839"/>
      <c r="FBB155" s="839"/>
      <c r="FBC155" s="839"/>
      <c r="FBD155" s="839"/>
      <c r="FBE155" s="839"/>
      <c r="FBF155" s="839"/>
      <c r="FBG155" s="839"/>
      <c r="FBH155" s="839"/>
      <c r="FBI155" s="839"/>
      <c r="FBJ155" s="839"/>
      <c r="FBK155" s="839"/>
      <c r="FBL155" s="839"/>
      <c r="FBM155" s="839"/>
      <c r="FBN155" s="839"/>
      <c r="FBO155" s="839"/>
      <c r="FBP155" s="839"/>
      <c r="FBQ155" s="839"/>
      <c r="FBR155" s="839"/>
      <c r="FBS155" s="839"/>
      <c r="FBT155" s="839"/>
      <c r="FBU155" s="839"/>
      <c r="FBV155" s="839"/>
      <c r="FBW155" s="839"/>
      <c r="FBX155" s="839"/>
      <c r="FBY155" s="839"/>
      <c r="FBZ155" s="839"/>
      <c r="FCA155" s="839"/>
      <c r="FCB155" s="839"/>
      <c r="FCC155" s="839"/>
      <c r="FCD155" s="839"/>
      <c r="FCE155" s="839"/>
      <c r="FCF155" s="839"/>
      <c r="FCG155" s="839"/>
      <c r="FCH155" s="839"/>
      <c r="FCI155" s="839"/>
      <c r="FCJ155" s="839"/>
      <c r="FCK155" s="839"/>
      <c r="FCL155" s="839"/>
      <c r="FCM155" s="839"/>
      <c r="FCN155" s="839"/>
      <c r="FCO155" s="839"/>
      <c r="FCP155" s="839"/>
      <c r="FCQ155" s="839"/>
      <c r="FCR155" s="839"/>
      <c r="FCS155" s="839"/>
      <c r="FCT155" s="839"/>
      <c r="FCU155" s="839"/>
      <c r="FCV155" s="839"/>
      <c r="FCW155" s="839"/>
      <c r="FCX155" s="839"/>
      <c r="FCY155" s="839"/>
      <c r="FCZ155" s="839"/>
      <c r="FDA155" s="839"/>
      <c r="FDB155" s="839"/>
      <c r="FDC155" s="839"/>
      <c r="FDD155" s="839"/>
      <c r="FDE155" s="839"/>
      <c r="FDF155" s="839"/>
      <c r="FDG155" s="839"/>
      <c r="FDH155" s="839"/>
      <c r="FDI155" s="839"/>
      <c r="FDJ155" s="839"/>
      <c r="FDK155" s="839"/>
      <c r="FDL155" s="839"/>
      <c r="FDM155" s="839"/>
      <c r="FDN155" s="839"/>
      <c r="FDO155" s="839"/>
      <c r="FDP155" s="839"/>
      <c r="FDQ155" s="839"/>
      <c r="FDR155" s="839"/>
      <c r="FDS155" s="839"/>
      <c r="FDT155" s="839"/>
      <c r="FDU155" s="839"/>
      <c r="FDV155" s="839"/>
      <c r="FDW155" s="839"/>
      <c r="FDX155" s="839"/>
      <c r="FDY155" s="839"/>
      <c r="FDZ155" s="839"/>
      <c r="FEA155" s="839"/>
      <c r="FEB155" s="839"/>
      <c r="FEC155" s="839"/>
      <c r="FED155" s="839"/>
      <c r="FEE155" s="839"/>
      <c r="FEF155" s="839"/>
      <c r="FEG155" s="839"/>
      <c r="FEH155" s="839"/>
      <c r="FEI155" s="839"/>
      <c r="FEJ155" s="839"/>
      <c r="FEK155" s="839"/>
      <c r="FEL155" s="839"/>
      <c r="FEM155" s="839"/>
      <c r="FEN155" s="839"/>
      <c r="FEO155" s="839"/>
      <c r="FEP155" s="839"/>
      <c r="FEQ155" s="839"/>
      <c r="FER155" s="839"/>
      <c r="FES155" s="839"/>
      <c r="FET155" s="839"/>
      <c r="FEU155" s="839"/>
      <c r="FEV155" s="839"/>
      <c r="FEW155" s="839"/>
      <c r="FEX155" s="839"/>
      <c r="FEY155" s="839"/>
      <c r="FEZ155" s="839"/>
      <c r="FFA155" s="839"/>
      <c r="FFB155" s="839"/>
      <c r="FFC155" s="839"/>
      <c r="FFD155" s="839"/>
      <c r="FFE155" s="839"/>
      <c r="FFF155" s="839"/>
      <c r="FFG155" s="839"/>
      <c r="FFH155" s="839"/>
      <c r="FFI155" s="839"/>
      <c r="FFJ155" s="839"/>
      <c r="FFK155" s="839"/>
      <c r="FFL155" s="839"/>
      <c r="FFM155" s="839"/>
      <c r="FFN155" s="839"/>
      <c r="FFO155" s="839"/>
      <c r="FFP155" s="839"/>
      <c r="FFQ155" s="839"/>
      <c r="FFR155" s="839"/>
      <c r="FFS155" s="839"/>
      <c r="FFT155" s="839"/>
      <c r="FFU155" s="839"/>
      <c r="FFV155" s="839"/>
      <c r="FFW155" s="839"/>
      <c r="FFX155" s="839"/>
      <c r="FFY155" s="839"/>
      <c r="FFZ155" s="839"/>
      <c r="FGA155" s="839"/>
      <c r="FGB155" s="839"/>
      <c r="FGC155" s="839"/>
      <c r="FGD155" s="839"/>
      <c r="FGE155" s="839"/>
      <c r="FGF155" s="839"/>
      <c r="FGG155" s="839"/>
      <c r="FGH155" s="839"/>
      <c r="FGI155" s="839"/>
      <c r="FGJ155" s="839"/>
      <c r="FGK155" s="839"/>
      <c r="FGL155" s="839"/>
      <c r="FGM155" s="839"/>
      <c r="FGN155" s="839"/>
      <c r="FGO155" s="839"/>
      <c r="FGP155" s="839"/>
      <c r="FGQ155" s="839"/>
      <c r="FGR155" s="839"/>
      <c r="FGS155" s="839"/>
      <c r="FGT155" s="839"/>
      <c r="FGU155" s="839"/>
      <c r="FGV155" s="839"/>
      <c r="FGW155" s="839"/>
      <c r="FGX155" s="839"/>
      <c r="FGY155" s="839"/>
      <c r="FGZ155" s="839"/>
      <c r="FHA155" s="839"/>
      <c r="FHB155" s="839"/>
      <c r="FHC155" s="839"/>
      <c r="FHD155" s="839"/>
      <c r="FHE155" s="839"/>
      <c r="FHF155" s="839"/>
      <c r="FHG155" s="839"/>
      <c r="FHH155" s="839"/>
      <c r="FHI155" s="839"/>
      <c r="FHJ155" s="839"/>
      <c r="FHK155" s="839"/>
      <c r="FHL155" s="839"/>
      <c r="FHM155" s="839"/>
      <c r="FHN155" s="839"/>
      <c r="FHO155" s="839"/>
      <c r="FHP155" s="839"/>
      <c r="FHQ155" s="839"/>
      <c r="FHR155" s="839"/>
      <c r="FHS155" s="839"/>
      <c r="FHT155" s="839"/>
      <c r="FHU155" s="839"/>
      <c r="FHV155" s="839"/>
      <c r="FHW155" s="839"/>
      <c r="FHX155" s="839"/>
      <c r="FHY155" s="839"/>
      <c r="FHZ155" s="839"/>
      <c r="FIA155" s="839"/>
      <c r="FIB155" s="839"/>
      <c r="FIC155" s="839"/>
      <c r="FID155" s="839"/>
      <c r="FIE155" s="839"/>
      <c r="FIF155" s="839"/>
      <c r="FIG155" s="839"/>
      <c r="FIH155" s="839"/>
      <c r="FII155" s="839"/>
      <c r="FIJ155" s="839"/>
      <c r="FIK155" s="839"/>
      <c r="FIL155" s="839"/>
      <c r="FIM155" s="839"/>
      <c r="FIN155" s="839"/>
      <c r="FIO155" s="839"/>
      <c r="FIP155" s="839"/>
      <c r="FIQ155" s="839"/>
      <c r="FIR155" s="839"/>
      <c r="FIS155" s="839"/>
      <c r="FIT155" s="839"/>
      <c r="FIU155" s="839"/>
      <c r="FIV155" s="839"/>
      <c r="FIW155" s="839"/>
      <c r="FIX155" s="839"/>
      <c r="FIY155" s="839"/>
      <c r="FIZ155" s="839"/>
      <c r="FJA155" s="839"/>
      <c r="FJB155" s="839"/>
      <c r="FJC155" s="839"/>
      <c r="FJD155" s="839"/>
      <c r="FJE155" s="839"/>
      <c r="FJF155" s="839"/>
      <c r="FJG155" s="839"/>
      <c r="FJH155" s="839"/>
      <c r="FJI155" s="839"/>
      <c r="FJJ155" s="839"/>
      <c r="FJK155" s="839"/>
      <c r="FJL155" s="839"/>
      <c r="FJM155" s="839"/>
      <c r="FJN155" s="839"/>
      <c r="FJO155" s="839"/>
      <c r="FJP155" s="839"/>
      <c r="FJQ155" s="839"/>
      <c r="FJR155" s="839"/>
      <c r="FJS155" s="839"/>
      <c r="FJT155" s="839"/>
      <c r="FJU155" s="839"/>
      <c r="FJV155" s="839"/>
      <c r="FJW155" s="839"/>
      <c r="FJX155" s="839"/>
      <c r="FJY155" s="839"/>
      <c r="FJZ155" s="839"/>
      <c r="FKA155" s="839"/>
      <c r="FKB155" s="839"/>
      <c r="FKC155" s="839"/>
      <c r="FKD155" s="839"/>
      <c r="FKE155" s="839"/>
      <c r="FKF155" s="839"/>
      <c r="FKG155" s="839"/>
      <c r="FKH155" s="839"/>
      <c r="FKI155" s="839"/>
      <c r="FKJ155" s="839"/>
      <c r="FKK155" s="839"/>
      <c r="FKL155" s="839"/>
      <c r="FKM155" s="839"/>
      <c r="FKN155" s="839"/>
      <c r="FKO155" s="839"/>
      <c r="FKP155" s="839"/>
      <c r="FKQ155" s="839"/>
      <c r="FKR155" s="839"/>
      <c r="FKS155" s="839"/>
      <c r="FKT155" s="839"/>
      <c r="FKU155" s="839"/>
      <c r="FKV155" s="839"/>
      <c r="FKW155" s="839"/>
      <c r="FKX155" s="839"/>
      <c r="FKY155" s="839"/>
      <c r="FKZ155" s="839"/>
      <c r="FLA155" s="839"/>
      <c r="FLB155" s="839"/>
      <c r="FLC155" s="839"/>
      <c r="FLD155" s="839"/>
      <c r="FLE155" s="839"/>
      <c r="FLF155" s="839"/>
      <c r="FLG155" s="839"/>
      <c r="FLH155" s="839"/>
      <c r="FLI155" s="839"/>
      <c r="FLJ155" s="839"/>
      <c r="FLK155" s="839"/>
      <c r="FLL155" s="839"/>
      <c r="FLM155" s="839"/>
      <c r="FLN155" s="839"/>
      <c r="FLO155" s="839"/>
      <c r="FLP155" s="839"/>
      <c r="FLQ155" s="839"/>
      <c r="FLR155" s="839"/>
      <c r="FLS155" s="839"/>
      <c r="FLT155" s="839"/>
      <c r="FLU155" s="839"/>
      <c r="FLV155" s="839"/>
      <c r="FLW155" s="839"/>
      <c r="FLX155" s="839"/>
      <c r="FLY155" s="839"/>
      <c r="FLZ155" s="839"/>
      <c r="FMA155" s="839"/>
      <c r="FMB155" s="839"/>
      <c r="FMC155" s="839"/>
      <c r="FMD155" s="839"/>
      <c r="FME155" s="839"/>
      <c r="FMF155" s="839"/>
      <c r="FMG155" s="839"/>
      <c r="FMH155" s="839"/>
      <c r="FMI155" s="839"/>
      <c r="FMJ155" s="839"/>
      <c r="FMK155" s="839"/>
      <c r="FML155" s="839"/>
      <c r="FMM155" s="839"/>
      <c r="FMN155" s="839"/>
      <c r="FMO155" s="839"/>
      <c r="FMP155" s="839"/>
      <c r="FMQ155" s="839"/>
      <c r="FMR155" s="839"/>
      <c r="FMS155" s="839"/>
      <c r="FMT155" s="839"/>
      <c r="FMU155" s="839"/>
      <c r="FMV155" s="839"/>
      <c r="FMW155" s="839"/>
      <c r="FMX155" s="839"/>
      <c r="FMY155" s="839"/>
      <c r="FMZ155" s="839"/>
      <c r="FNA155" s="839"/>
      <c r="FNB155" s="839"/>
      <c r="FNC155" s="839"/>
      <c r="FND155" s="839"/>
      <c r="FNE155" s="839"/>
      <c r="FNF155" s="839"/>
      <c r="FNG155" s="839"/>
      <c r="FNH155" s="839"/>
      <c r="FNI155" s="839"/>
      <c r="FNJ155" s="839"/>
      <c r="FNK155" s="839"/>
      <c r="FNL155" s="839"/>
      <c r="FNM155" s="839"/>
      <c r="FNN155" s="839"/>
      <c r="FNO155" s="839"/>
      <c r="FNP155" s="839"/>
      <c r="FNQ155" s="839"/>
      <c r="FNR155" s="839"/>
      <c r="FNS155" s="839"/>
      <c r="FNT155" s="839"/>
      <c r="FNU155" s="839"/>
      <c r="FNV155" s="839"/>
      <c r="FNW155" s="839"/>
      <c r="FNX155" s="839"/>
      <c r="FNY155" s="839"/>
      <c r="FNZ155" s="839"/>
      <c r="FOA155" s="839"/>
      <c r="FOB155" s="839"/>
      <c r="FOC155" s="839"/>
      <c r="FOD155" s="839"/>
      <c r="FOE155" s="839"/>
      <c r="FOF155" s="839"/>
      <c r="FOG155" s="839"/>
      <c r="FOH155" s="839"/>
      <c r="FOI155" s="839"/>
      <c r="FOJ155" s="839"/>
      <c r="FOK155" s="839"/>
      <c r="FOL155" s="839"/>
      <c r="FOM155" s="839"/>
      <c r="FON155" s="839"/>
      <c r="FOO155" s="839"/>
      <c r="FOP155" s="839"/>
      <c r="FOQ155" s="839"/>
      <c r="FOR155" s="839"/>
      <c r="FOS155" s="839"/>
      <c r="FOT155" s="839"/>
      <c r="FOU155" s="839"/>
      <c r="FOV155" s="839"/>
      <c r="FOW155" s="839"/>
      <c r="FOX155" s="839"/>
      <c r="FOY155" s="839"/>
      <c r="FOZ155" s="839"/>
      <c r="FPA155" s="839"/>
      <c r="FPB155" s="839"/>
      <c r="FPC155" s="839"/>
      <c r="FPD155" s="839"/>
      <c r="FPE155" s="839"/>
      <c r="FPF155" s="839"/>
      <c r="FPG155" s="839"/>
      <c r="FPH155" s="839"/>
      <c r="FPI155" s="839"/>
      <c r="FPJ155" s="839"/>
      <c r="FPK155" s="839"/>
      <c r="FPL155" s="839"/>
      <c r="FPM155" s="839"/>
      <c r="FPN155" s="839"/>
      <c r="FPO155" s="839"/>
      <c r="FPP155" s="839"/>
      <c r="FPQ155" s="839"/>
      <c r="FPR155" s="839"/>
      <c r="FPS155" s="839"/>
      <c r="FPT155" s="839"/>
      <c r="FPU155" s="839"/>
      <c r="FPV155" s="839"/>
      <c r="FPW155" s="839"/>
      <c r="FPX155" s="839"/>
      <c r="FPY155" s="839"/>
      <c r="FPZ155" s="839"/>
      <c r="FQA155" s="839"/>
      <c r="FQB155" s="839"/>
      <c r="FQC155" s="839"/>
      <c r="FQD155" s="839"/>
      <c r="FQE155" s="839"/>
      <c r="FQF155" s="839"/>
      <c r="FQG155" s="839"/>
      <c r="FQH155" s="839"/>
      <c r="FQI155" s="839"/>
      <c r="FQJ155" s="839"/>
      <c r="FQK155" s="839"/>
      <c r="FQL155" s="839"/>
      <c r="FQM155" s="839"/>
      <c r="FQN155" s="839"/>
      <c r="FQO155" s="839"/>
      <c r="FQP155" s="839"/>
      <c r="FQQ155" s="839"/>
      <c r="FQR155" s="839"/>
      <c r="FQS155" s="839"/>
      <c r="FQT155" s="839"/>
      <c r="FQU155" s="839"/>
      <c r="FQV155" s="839"/>
      <c r="FQW155" s="839"/>
      <c r="FQX155" s="839"/>
      <c r="FQY155" s="839"/>
      <c r="FQZ155" s="839"/>
      <c r="FRA155" s="839"/>
      <c r="FRB155" s="839"/>
      <c r="FRC155" s="839"/>
      <c r="FRD155" s="839"/>
      <c r="FRE155" s="839"/>
      <c r="FRF155" s="839"/>
      <c r="FRG155" s="839"/>
      <c r="FRH155" s="839"/>
      <c r="FRI155" s="839"/>
      <c r="FRJ155" s="839"/>
      <c r="FRK155" s="839"/>
      <c r="FRL155" s="839"/>
      <c r="FRM155" s="839"/>
      <c r="FRN155" s="839"/>
      <c r="FRO155" s="839"/>
      <c r="FRP155" s="839"/>
      <c r="FRQ155" s="839"/>
      <c r="FRR155" s="839"/>
      <c r="FRS155" s="839"/>
      <c r="FRT155" s="839"/>
      <c r="FRU155" s="839"/>
      <c r="FRV155" s="839"/>
      <c r="FRW155" s="839"/>
      <c r="FRX155" s="839"/>
      <c r="FRY155" s="839"/>
      <c r="FRZ155" s="839"/>
      <c r="FSA155" s="839"/>
      <c r="FSB155" s="839"/>
      <c r="FSC155" s="839"/>
      <c r="FSD155" s="839"/>
      <c r="FSE155" s="839"/>
      <c r="FSF155" s="839"/>
      <c r="FSG155" s="839"/>
      <c r="FSH155" s="839"/>
      <c r="FSI155" s="839"/>
      <c r="FSJ155" s="839"/>
      <c r="FSK155" s="839"/>
      <c r="FSL155" s="839"/>
      <c r="FSM155" s="839"/>
      <c r="FSN155" s="839"/>
      <c r="FSO155" s="839"/>
      <c r="FSP155" s="839"/>
      <c r="FSQ155" s="839"/>
      <c r="FSR155" s="839"/>
      <c r="FSS155" s="839"/>
      <c r="FST155" s="839"/>
      <c r="FSU155" s="839"/>
      <c r="FSV155" s="839"/>
      <c r="FSW155" s="839"/>
      <c r="FSX155" s="839"/>
      <c r="FSY155" s="839"/>
      <c r="FSZ155" s="839"/>
      <c r="FTA155" s="839"/>
      <c r="FTB155" s="839"/>
      <c r="FTC155" s="839"/>
      <c r="FTD155" s="839"/>
      <c r="FTE155" s="839"/>
      <c r="FTF155" s="839"/>
      <c r="FTG155" s="839"/>
      <c r="FTH155" s="839"/>
      <c r="FTI155" s="839"/>
      <c r="FTJ155" s="839"/>
      <c r="FTK155" s="839"/>
      <c r="FTL155" s="839"/>
      <c r="FTM155" s="839"/>
      <c r="FTN155" s="839"/>
      <c r="FTO155" s="839"/>
      <c r="FTP155" s="839"/>
      <c r="FTQ155" s="839"/>
      <c r="FTR155" s="839"/>
      <c r="FTS155" s="839"/>
      <c r="FTT155" s="839"/>
      <c r="FTU155" s="839"/>
      <c r="FTV155" s="839"/>
      <c r="FTW155" s="839"/>
      <c r="FTX155" s="839"/>
      <c r="FTY155" s="839"/>
      <c r="FTZ155" s="839"/>
      <c r="FUA155" s="839"/>
      <c r="FUB155" s="839"/>
      <c r="FUC155" s="839"/>
      <c r="FUD155" s="839"/>
      <c r="FUE155" s="839"/>
      <c r="FUF155" s="839"/>
      <c r="FUG155" s="839"/>
      <c r="FUH155" s="839"/>
      <c r="FUI155" s="839"/>
      <c r="FUJ155" s="839"/>
      <c r="FUK155" s="839"/>
      <c r="FUL155" s="839"/>
      <c r="FUM155" s="839"/>
      <c r="FUN155" s="839"/>
      <c r="FUO155" s="839"/>
      <c r="FUP155" s="839"/>
      <c r="FUQ155" s="839"/>
      <c r="FUR155" s="839"/>
      <c r="FUS155" s="839"/>
      <c r="FUT155" s="839"/>
      <c r="FUU155" s="839"/>
      <c r="FUV155" s="839"/>
      <c r="FUW155" s="839"/>
      <c r="FUX155" s="839"/>
      <c r="FUY155" s="839"/>
      <c r="FUZ155" s="839"/>
      <c r="FVA155" s="839"/>
      <c r="FVB155" s="839"/>
      <c r="FVC155" s="839"/>
      <c r="FVD155" s="839"/>
      <c r="FVE155" s="839"/>
      <c r="FVF155" s="839"/>
      <c r="FVG155" s="839"/>
      <c r="FVH155" s="839"/>
      <c r="FVI155" s="839"/>
      <c r="FVJ155" s="839"/>
      <c r="FVK155" s="839"/>
      <c r="FVL155" s="839"/>
      <c r="FVM155" s="839"/>
      <c r="FVN155" s="839"/>
      <c r="FVO155" s="839"/>
      <c r="FVP155" s="839"/>
      <c r="FVQ155" s="839"/>
      <c r="FVR155" s="839"/>
      <c r="FVS155" s="839"/>
      <c r="FVT155" s="839"/>
      <c r="FVU155" s="839"/>
      <c r="FVV155" s="839"/>
      <c r="FVW155" s="839"/>
      <c r="FVX155" s="839"/>
      <c r="FVY155" s="839"/>
      <c r="FVZ155" s="839"/>
      <c r="FWA155" s="839"/>
      <c r="FWB155" s="839"/>
      <c r="FWC155" s="839"/>
      <c r="FWD155" s="839"/>
      <c r="FWE155" s="839"/>
      <c r="FWF155" s="839"/>
      <c r="FWG155" s="839"/>
      <c r="FWH155" s="839"/>
      <c r="FWI155" s="839"/>
      <c r="FWJ155" s="839"/>
      <c r="FWK155" s="839"/>
      <c r="FWL155" s="839"/>
      <c r="FWM155" s="839"/>
      <c r="FWN155" s="839"/>
      <c r="FWO155" s="839"/>
      <c r="FWP155" s="839"/>
      <c r="FWQ155" s="839"/>
      <c r="FWR155" s="839"/>
      <c r="FWS155" s="839"/>
      <c r="FWT155" s="839"/>
      <c r="FWU155" s="839"/>
      <c r="FWV155" s="839"/>
      <c r="FWW155" s="839"/>
      <c r="FWX155" s="839"/>
      <c r="FWY155" s="839"/>
      <c r="FWZ155" s="839"/>
      <c r="FXA155" s="839"/>
      <c r="FXB155" s="839"/>
      <c r="FXC155" s="839"/>
      <c r="FXD155" s="839"/>
      <c r="FXE155" s="839"/>
      <c r="FXF155" s="839"/>
      <c r="FXG155" s="839"/>
      <c r="FXH155" s="839"/>
      <c r="FXI155" s="839"/>
      <c r="FXJ155" s="839"/>
      <c r="FXK155" s="839"/>
      <c r="FXL155" s="839"/>
      <c r="FXM155" s="839"/>
      <c r="FXN155" s="839"/>
      <c r="FXO155" s="839"/>
      <c r="FXP155" s="839"/>
      <c r="FXQ155" s="839"/>
      <c r="FXR155" s="839"/>
      <c r="FXS155" s="839"/>
      <c r="FXT155" s="839"/>
      <c r="FXU155" s="839"/>
      <c r="FXV155" s="839"/>
      <c r="FXW155" s="839"/>
      <c r="FXX155" s="839"/>
      <c r="FXY155" s="839"/>
      <c r="FXZ155" s="839"/>
      <c r="FYA155" s="839"/>
      <c r="FYB155" s="839"/>
      <c r="FYC155" s="839"/>
      <c r="FYD155" s="839"/>
      <c r="FYE155" s="839"/>
      <c r="FYF155" s="839"/>
      <c r="FYG155" s="839"/>
      <c r="FYH155" s="839"/>
      <c r="FYI155" s="839"/>
      <c r="FYJ155" s="839"/>
      <c r="FYK155" s="839"/>
      <c r="FYL155" s="839"/>
      <c r="FYM155" s="839"/>
      <c r="FYN155" s="839"/>
      <c r="FYO155" s="839"/>
      <c r="FYP155" s="839"/>
      <c r="FYQ155" s="839"/>
      <c r="FYR155" s="839"/>
      <c r="FYS155" s="839"/>
      <c r="FYT155" s="839"/>
      <c r="FYU155" s="839"/>
      <c r="FYV155" s="839"/>
      <c r="FYW155" s="839"/>
      <c r="FYX155" s="839"/>
      <c r="FYY155" s="839"/>
      <c r="FYZ155" s="839"/>
      <c r="FZA155" s="839"/>
      <c r="FZB155" s="839"/>
      <c r="FZC155" s="839"/>
      <c r="FZD155" s="839"/>
      <c r="FZE155" s="839"/>
      <c r="FZF155" s="839"/>
      <c r="FZG155" s="839"/>
      <c r="FZH155" s="839"/>
      <c r="FZI155" s="839"/>
      <c r="FZJ155" s="839"/>
      <c r="FZK155" s="839"/>
      <c r="FZL155" s="839"/>
      <c r="FZM155" s="839"/>
      <c r="FZN155" s="839"/>
      <c r="FZO155" s="839"/>
      <c r="FZP155" s="839"/>
      <c r="FZQ155" s="839"/>
      <c r="FZR155" s="839"/>
      <c r="FZS155" s="839"/>
      <c r="FZT155" s="839"/>
      <c r="FZU155" s="839"/>
      <c r="FZV155" s="839"/>
      <c r="FZW155" s="839"/>
      <c r="FZX155" s="839"/>
      <c r="FZY155" s="839"/>
      <c r="FZZ155" s="839"/>
      <c r="GAA155" s="839"/>
      <c r="GAB155" s="839"/>
      <c r="GAC155" s="839"/>
      <c r="GAD155" s="839"/>
      <c r="GAE155" s="839"/>
      <c r="GAF155" s="839"/>
      <c r="GAG155" s="839"/>
      <c r="GAH155" s="839"/>
      <c r="GAI155" s="839"/>
      <c r="GAJ155" s="839"/>
      <c r="GAK155" s="839"/>
      <c r="GAL155" s="839"/>
      <c r="GAM155" s="839"/>
      <c r="GAN155" s="839"/>
      <c r="GAO155" s="839"/>
      <c r="GAP155" s="839"/>
      <c r="GAQ155" s="839"/>
      <c r="GAR155" s="839"/>
      <c r="GAS155" s="839"/>
      <c r="GAT155" s="839"/>
      <c r="GAU155" s="839"/>
      <c r="GAV155" s="839"/>
      <c r="GAW155" s="839"/>
      <c r="GAX155" s="839"/>
      <c r="GAY155" s="839"/>
      <c r="GAZ155" s="839"/>
      <c r="GBA155" s="839"/>
      <c r="GBB155" s="839"/>
      <c r="GBC155" s="839"/>
      <c r="GBD155" s="839"/>
      <c r="GBE155" s="839"/>
      <c r="GBF155" s="839"/>
      <c r="GBG155" s="839"/>
      <c r="GBH155" s="839"/>
      <c r="GBI155" s="839"/>
      <c r="GBJ155" s="839"/>
      <c r="GBK155" s="839"/>
      <c r="GBL155" s="839"/>
      <c r="GBM155" s="839"/>
      <c r="GBN155" s="839"/>
      <c r="GBO155" s="839"/>
      <c r="GBP155" s="839"/>
      <c r="GBQ155" s="839"/>
      <c r="GBR155" s="839"/>
      <c r="GBS155" s="839"/>
      <c r="GBT155" s="839"/>
      <c r="GBU155" s="839"/>
      <c r="GBV155" s="839"/>
      <c r="GBW155" s="839"/>
      <c r="GBX155" s="839"/>
      <c r="GBY155" s="839"/>
      <c r="GBZ155" s="839"/>
      <c r="GCA155" s="839"/>
      <c r="GCB155" s="839"/>
      <c r="GCC155" s="839"/>
      <c r="GCD155" s="839"/>
      <c r="GCE155" s="839"/>
      <c r="GCF155" s="839"/>
      <c r="GCG155" s="839"/>
      <c r="GCH155" s="839"/>
      <c r="GCI155" s="839"/>
      <c r="GCJ155" s="839"/>
      <c r="GCK155" s="839"/>
      <c r="GCL155" s="839"/>
      <c r="GCM155" s="839"/>
      <c r="GCN155" s="839"/>
      <c r="GCO155" s="839"/>
      <c r="GCP155" s="839"/>
      <c r="GCQ155" s="839"/>
      <c r="GCR155" s="839"/>
      <c r="GCS155" s="839"/>
      <c r="GCT155" s="839"/>
      <c r="GCU155" s="839"/>
      <c r="GCV155" s="839"/>
      <c r="GCW155" s="839"/>
      <c r="GCX155" s="839"/>
      <c r="GCY155" s="839"/>
      <c r="GCZ155" s="839"/>
      <c r="GDA155" s="839"/>
      <c r="GDB155" s="839"/>
      <c r="GDC155" s="839"/>
      <c r="GDD155" s="839"/>
      <c r="GDE155" s="839"/>
      <c r="GDF155" s="839"/>
      <c r="GDG155" s="839"/>
      <c r="GDH155" s="839"/>
      <c r="GDI155" s="839"/>
      <c r="GDJ155" s="839"/>
      <c r="GDK155" s="839"/>
      <c r="GDL155" s="839"/>
      <c r="GDM155" s="839"/>
      <c r="GDN155" s="839"/>
      <c r="GDO155" s="839"/>
      <c r="GDP155" s="839"/>
      <c r="GDQ155" s="839"/>
      <c r="GDR155" s="839"/>
      <c r="GDS155" s="839"/>
      <c r="GDT155" s="839"/>
      <c r="GDU155" s="839"/>
      <c r="GDV155" s="839"/>
      <c r="GDW155" s="839"/>
      <c r="GDX155" s="839"/>
      <c r="GDY155" s="839"/>
      <c r="GDZ155" s="839"/>
      <c r="GEA155" s="839"/>
      <c r="GEB155" s="839"/>
      <c r="GEC155" s="839"/>
      <c r="GED155" s="839"/>
      <c r="GEE155" s="839"/>
      <c r="GEF155" s="839"/>
      <c r="GEG155" s="839"/>
      <c r="GEH155" s="839"/>
      <c r="GEI155" s="839"/>
      <c r="GEJ155" s="839"/>
      <c r="GEK155" s="839"/>
      <c r="GEL155" s="839"/>
      <c r="GEM155" s="839"/>
      <c r="GEN155" s="839"/>
      <c r="GEO155" s="839"/>
      <c r="GEP155" s="839"/>
      <c r="GEQ155" s="839"/>
      <c r="GER155" s="839"/>
      <c r="GES155" s="839"/>
      <c r="GET155" s="839"/>
      <c r="GEU155" s="839"/>
      <c r="GEV155" s="839"/>
      <c r="GEW155" s="839"/>
      <c r="GEX155" s="839"/>
      <c r="GEY155" s="839"/>
      <c r="GEZ155" s="839"/>
      <c r="GFA155" s="839"/>
      <c r="GFB155" s="839"/>
      <c r="GFC155" s="839"/>
      <c r="GFD155" s="839"/>
      <c r="GFE155" s="839"/>
      <c r="GFF155" s="839"/>
      <c r="GFG155" s="839"/>
      <c r="GFH155" s="839"/>
      <c r="GFI155" s="839"/>
      <c r="GFJ155" s="839"/>
      <c r="GFK155" s="839"/>
      <c r="GFL155" s="839"/>
      <c r="GFM155" s="839"/>
      <c r="GFN155" s="839"/>
      <c r="GFO155" s="839"/>
      <c r="GFP155" s="839"/>
      <c r="GFQ155" s="839"/>
      <c r="GFR155" s="839"/>
      <c r="GFS155" s="839"/>
      <c r="GFT155" s="839"/>
      <c r="GFU155" s="839"/>
      <c r="GFV155" s="839"/>
      <c r="GFW155" s="839"/>
      <c r="GFX155" s="839"/>
      <c r="GFY155" s="839"/>
      <c r="GFZ155" s="839"/>
      <c r="GGA155" s="839"/>
      <c r="GGB155" s="839"/>
      <c r="GGC155" s="839"/>
      <c r="GGD155" s="839"/>
      <c r="GGE155" s="839"/>
      <c r="GGF155" s="839"/>
      <c r="GGG155" s="839"/>
      <c r="GGH155" s="839"/>
      <c r="GGI155" s="839"/>
      <c r="GGJ155" s="839"/>
      <c r="GGK155" s="839"/>
      <c r="GGL155" s="839"/>
      <c r="GGM155" s="839"/>
      <c r="GGN155" s="839"/>
      <c r="GGO155" s="839"/>
      <c r="GGP155" s="839"/>
      <c r="GGQ155" s="839"/>
      <c r="GGR155" s="839"/>
      <c r="GGS155" s="839"/>
      <c r="GGT155" s="839"/>
      <c r="GGU155" s="839"/>
      <c r="GGV155" s="839"/>
      <c r="GGW155" s="839"/>
      <c r="GGX155" s="839"/>
      <c r="GGY155" s="839"/>
      <c r="GGZ155" s="839"/>
      <c r="GHA155" s="839"/>
      <c r="GHB155" s="839"/>
      <c r="GHC155" s="839"/>
      <c r="GHD155" s="839"/>
      <c r="GHE155" s="839"/>
      <c r="GHF155" s="839"/>
      <c r="GHG155" s="839"/>
      <c r="GHH155" s="839"/>
      <c r="GHI155" s="839"/>
      <c r="GHJ155" s="839"/>
      <c r="GHK155" s="839"/>
      <c r="GHL155" s="839"/>
      <c r="GHM155" s="839"/>
      <c r="GHN155" s="839"/>
      <c r="GHO155" s="839"/>
      <c r="GHP155" s="839"/>
      <c r="GHQ155" s="839"/>
      <c r="GHR155" s="839"/>
      <c r="GHS155" s="839"/>
      <c r="GHT155" s="839"/>
      <c r="GHU155" s="839"/>
      <c r="GHV155" s="839"/>
      <c r="GHW155" s="839"/>
      <c r="GHX155" s="839"/>
      <c r="GHY155" s="839"/>
      <c r="GHZ155" s="839"/>
      <c r="GIA155" s="839"/>
      <c r="GIB155" s="839"/>
      <c r="GIC155" s="839"/>
      <c r="GID155" s="839"/>
      <c r="GIE155" s="839"/>
      <c r="GIF155" s="839"/>
      <c r="GIG155" s="839"/>
      <c r="GIH155" s="839"/>
      <c r="GII155" s="839"/>
      <c r="GIJ155" s="839"/>
      <c r="GIK155" s="839"/>
      <c r="GIL155" s="839"/>
      <c r="GIM155" s="839"/>
      <c r="GIN155" s="839"/>
      <c r="GIO155" s="839"/>
      <c r="GIP155" s="839"/>
      <c r="GIQ155" s="839"/>
      <c r="GIR155" s="839"/>
      <c r="GIS155" s="839"/>
      <c r="GIT155" s="839"/>
      <c r="GIU155" s="839"/>
      <c r="GIV155" s="839"/>
      <c r="GIW155" s="839"/>
      <c r="GIX155" s="839"/>
      <c r="GIY155" s="839"/>
      <c r="GIZ155" s="839"/>
      <c r="GJA155" s="839"/>
      <c r="GJB155" s="839"/>
      <c r="GJC155" s="839"/>
      <c r="GJD155" s="839"/>
      <c r="GJE155" s="839"/>
      <c r="GJF155" s="839"/>
      <c r="GJG155" s="839"/>
      <c r="GJH155" s="839"/>
      <c r="GJI155" s="839"/>
      <c r="GJJ155" s="839"/>
      <c r="GJK155" s="839"/>
      <c r="GJL155" s="839"/>
      <c r="GJM155" s="839"/>
      <c r="GJN155" s="839"/>
      <c r="GJO155" s="839"/>
      <c r="GJP155" s="839"/>
      <c r="GJQ155" s="839"/>
      <c r="GJR155" s="839"/>
      <c r="GJS155" s="839"/>
      <c r="GJT155" s="839"/>
      <c r="GJU155" s="839"/>
      <c r="GJV155" s="839"/>
      <c r="GJW155" s="839"/>
      <c r="GJX155" s="839"/>
      <c r="GJY155" s="839"/>
      <c r="GJZ155" s="839"/>
      <c r="GKA155" s="839"/>
      <c r="GKB155" s="839"/>
      <c r="GKC155" s="839"/>
      <c r="GKD155" s="839"/>
      <c r="GKE155" s="839"/>
      <c r="GKF155" s="839"/>
      <c r="GKG155" s="839"/>
      <c r="GKH155" s="839"/>
      <c r="GKI155" s="839"/>
      <c r="GKJ155" s="839"/>
      <c r="GKK155" s="839"/>
      <c r="GKL155" s="839"/>
      <c r="GKM155" s="839"/>
      <c r="GKN155" s="839"/>
      <c r="GKO155" s="839"/>
      <c r="GKP155" s="839"/>
      <c r="GKQ155" s="839"/>
      <c r="GKR155" s="839"/>
      <c r="GKS155" s="839"/>
      <c r="GKT155" s="839"/>
      <c r="GKU155" s="839"/>
      <c r="GKV155" s="839"/>
      <c r="GKW155" s="839"/>
      <c r="GKX155" s="839"/>
      <c r="GKY155" s="839"/>
      <c r="GKZ155" s="839"/>
      <c r="GLA155" s="839"/>
      <c r="GLB155" s="839"/>
      <c r="GLC155" s="839"/>
      <c r="GLD155" s="839"/>
      <c r="GLE155" s="839"/>
      <c r="GLF155" s="839"/>
      <c r="GLG155" s="839"/>
      <c r="GLH155" s="839"/>
      <c r="GLI155" s="839"/>
      <c r="GLJ155" s="839"/>
      <c r="GLK155" s="839"/>
      <c r="GLL155" s="839"/>
      <c r="GLM155" s="839"/>
      <c r="GLN155" s="839"/>
      <c r="GLO155" s="839"/>
      <c r="GLP155" s="839"/>
      <c r="GLQ155" s="839"/>
      <c r="GLR155" s="839"/>
      <c r="GLS155" s="839"/>
      <c r="GLT155" s="839"/>
      <c r="GLU155" s="839"/>
      <c r="GLV155" s="839"/>
      <c r="GLW155" s="839"/>
      <c r="GLX155" s="839"/>
      <c r="GLY155" s="839"/>
      <c r="GLZ155" s="839"/>
      <c r="GMA155" s="839"/>
      <c r="GMB155" s="839"/>
      <c r="GMC155" s="839"/>
      <c r="GMD155" s="839"/>
      <c r="GME155" s="839"/>
      <c r="GMF155" s="839"/>
      <c r="GMG155" s="839"/>
      <c r="GMH155" s="839"/>
      <c r="GMI155" s="839"/>
      <c r="GMJ155" s="839"/>
      <c r="GMK155" s="839"/>
      <c r="GML155" s="839"/>
      <c r="GMM155" s="839"/>
      <c r="GMN155" s="839"/>
      <c r="GMO155" s="839"/>
      <c r="GMP155" s="839"/>
      <c r="GMQ155" s="839"/>
      <c r="GMR155" s="839"/>
      <c r="GMS155" s="839"/>
      <c r="GMT155" s="839"/>
      <c r="GMU155" s="839"/>
      <c r="GMV155" s="839"/>
      <c r="GMW155" s="839"/>
      <c r="GMX155" s="839"/>
      <c r="GMY155" s="839"/>
      <c r="GMZ155" s="839"/>
      <c r="GNA155" s="839"/>
      <c r="GNB155" s="839"/>
      <c r="GNC155" s="839"/>
      <c r="GND155" s="839"/>
      <c r="GNE155" s="839"/>
      <c r="GNF155" s="839"/>
      <c r="GNG155" s="839"/>
      <c r="GNH155" s="839"/>
      <c r="GNI155" s="839"/>
      <c r="GNJ155" s="839"/>
      <c r="GNK155" s="839"/>
      <c r="GNL155" s="839"/>
      <c r="GNM155" s="839"/>
      <c r="GNN155" s="839"/>
      <c r="GNO155" s="839"/>
      <c r="GNP155" s="839"/>
      <c r="GNQ155" s="839"/>
      <c r="GNR155" s="839"/>
      <c r="GNS155" s="839"/>
      <c r="GNT155" s="839"/>
      <c r="GNU155" s="839"/>
      <c r="GNV155" s="839"/>
      <c r="GNW155" s="839"/>
      <c r="GNX155" s="839"/>
      <c r="GNY155" s="839"/>
      <c r="GNZ155" s="839"/>
      <c r="GOA155" s="839"/>
      <c r="GOB155" s="839"/>
      <c r="GOC155" s="839"/>
      <c r="GOD155" s="839"/>
      <c r="GOE155" s="839"/>
      <c r="GOF155" s="839"/>
      <c r="GOG155" s="839"/>
      <c r="GOH155" s="839"/>
      <c r="GOI155" s="839"/>
      <c r="GOJ155" s="839"/>
      <c r="GOK155" s="839"/>
      <c r="GOL155" s="839"/>
      <c r="GOM155" s="839"/>
      <c r="GON155" s="839"/>
      <c r="GOO155" s="839"/>
      <c r="GOP155" s="839"/>
      <c r="GOQ155" s="839"/>
      <c r="GOR155" s="839"/>
      <c r="GOS155" s="839"/>
      <c r="GOT155" s="839"/>
      <c r="GOU155" s="839"/>
      <c r="GOV155" s="839"/>
      <c r="GOW155" s="839"/>
      <c r="GOX155" s="839"/>
      <c r="GOY155" s="839"/>
      <c r="GOZ155" s="839"/>
      <c r="GPA155" s="839"/>
      <c r="GPB155" s="839"/>
      <c r="GPC155" s="839"/>
      <c r="GPD155" s="839"/>
      <c r="GPE155" s="839"/>
      <c r="GPF155" s="839"/>
      <c r="GPG155" s="839"/>
      <c r="GPH155" s="839"/>
      <c r="GPI155" s="839"/>
      <c r="GPJ155" s="839"/>
      <c r="GPK155" s="839"/>
      <c r="GPL155" s="839"/>
      <c r="GPM155" s="839"/>
      <c r="GPN155" s="839"/>
      <c r="GPO155" s="839"/>
      <c r="GPP155" s="839"/>
      <c r="GPQ155" s="839"/>
      <c r="GPR155" s="839"/>
      <c r="GPS155" s="839"/>
      <c r="GPT155" s="839"/>
      <c r="GPU155" s="839"/>
      <c r="GPV155" s="839"/>
      <c r="GPW155" s="839"/>
      <c r="GPX155" s="839"/>
      <c r="GPY155" s="839"/>
      <c r="GPZ155" s="839"/>
      <c r="GQA155" s="839"/>
      <c r="GQB155" s="839"/>
      <c r="GQC155" s="839"/>
      <c r="GQD155" s="839"/>
      <c r="GQE155" s="839"/>
      <c r="GQF155" s="839"/>
      <c r="GQG155" s="839"/>
      <c r="GQH155" s="839"/>
      <c r="GQI155" s="839"/>
      <c r="GQJ155" s="839"/>
      <c r="GQK155" s="839"/>
      <c r="GQL155" s="839"/>
      <c r="GQM155" s="839"/>
      <c r="GQN155" s="839"/>
      <c r="GQO155" s="839"/>
      <c r="GQP155" s="839"/>
      <c r="GQQ155" s="839"/>
      <c r="GQR155" s="839"/>
      <c r="GQS155" s="839"/>
      <c r="GQT155" s="839"/>
      <c r="GQU155" s="839"/>
      <c r="GQV155" s="839"/>
      <c r="GQW155" s="839"/>
      <c r="GQX155" s="839"/>
      <c r="GQY155" s="839"/>
      <c r="GQZ155" s="839"/>
      <c r="GRA155" s="839"/>
      <c r="GRB155" s="839"/>
      <c r="GRC155" s="839"/>
      <c r="GRD155" s="839"/>
      <c r="GRE155" s="839"/>
      <c r="GRF155" s="839"/>
      <c r="GRG155" s="839"/>
      <c r="GRH155" s="839"/>
      <c r="GRI155" s="839"/>
      <c r="GRJ155" s="839"/>
      <c r="GRK155" s="839"/>
      <c r="GRL155" s="839"/>
      <c r="GRM155" s="839"/>
      <c r="GRN155" s="839"/>
      <c r="GRO155" s="839"/>
      <c r="GRP155" s="839"/>
      <c r="GRQ155" s="839"/>
      <c r="GRR155" s="839"/>
      <c r="GRS155" s="839"/>
      <c r="GRT155" s="839"/>
      <c r="GRU155" s="839"/>
      <c r="GRV155" s="839"/>
      <c r="GRW155" s="839"/>
      <c r="GRX155" s="839"/>
      <c r="GRY155" s="839"/>
      <c r="GRZ155" s="839"/>
      <c r="GSA155" s="839"/>
      <c r="GSB155" s="839"/>
      <c r="GSC155" s="839"/>
      <c r="GSD155" s="839"/>
      <c r="GSE155" s="839"/>
      <c r="GSF155" s="839"/>
      <c r="GSG155" s="839"/>
      <c r="GSH155" s="839"/>
      <c r="GSI155" s="839"/>
      <c r="GSJ155" s="839"/>
      <c r="GSK155" s="839"/>
      <c r="GSL155" s="839"/>
      <c r="GSM155" s="839"/>
      <c r="GSN155" s="839"/>
      <c r="GSO155" s="839"/>
      <c r="GSP155" s="839"/>
      <c r="GSQ155" s="839"/>
      <c r="GSR155" s="839"/>
      <c r="GSS155" s="839"/>
      <c r="GST155" s="839"/>
      <c r="GSU155" s="839"/>
      <c r="GSV155" s="839"/>
      <c r="GSW155" s="839"/>
      <c r="GSX155" s="839"/>
      <c r="GSY155" s="839"/>
      <c r="GSZ155" s="839"/>
      <c r="GTA155" s="839"/>
      <c r="GTB155" s="839"/>
      <c r="GTC155" s="839"/>
      <c r="GTD155" s="839"/>
      <c r="GTE155" s="839"/>
      <c r="GTF155" s="839"/>
      <c r="GTG155" s="839"/>
      <c r="GTH155" s="839"/>
      <c r="GTI155" s="839"/>
      <c r="GTJ155" s="839"/>
      <c r="GTK155" s="839"/>
      <c r="GTL155" s="839"/>
      <c r="GTM155" s="839"/>
      <c r="GTN155" s="839"/>
      <c r="GTO155" s="839"/>
      <c r="GTP155" s="839"/>
      <c r="GTQ155" s="839"/>
      <c r="GTR155" s="839"/>
      <c r="GTS155" s="839"/>
      <c r="GTT155" s="839"/>
      <c r="GTU155" s="839"/>
      <c r="GTV155" s="839"/>
      <c r="GTW155" s="839"/>
      <c r="GTX155" s="839"/>
      <c r="GTY155" s="839"/>
      <c r="GTZ155" s="839"/>
      <c r="GUA155" s="839"/>
      <c r="GUB155" s="839"/>
      <c r="GUC155" s="839"/>
      <c r="GUD155" s="839"/>
      <c r="GUE155" s="839"/>
      <c r="GUF155" s="839"/>
      <c r="GUG155" s="839"/>
      <c r="GUH155" s="839"/>
      <c r="GUI155" s="839"/>
      <c r="GUJ155" s="839"/>
      <c r="GUK155" s="839"/>
      <c r="GUL155" s="839"/>
      <c r="GUM155" s="839"/>
      <c r="GUN155" s="839"/>
      <c r="GUO155" s="839"/>
      <c r="GUP155" s="839"/>
      <c r="GUQ155" s="839"/>
      <c r="GUR155" s="839"/>
      <c r="GUS155" s="839"/>
      <c r="GUT155" s="839"/>
      <c r="GUU155" s="839"/>
      <c r="GUV155" s="839"/>
      <c r="GUW155" s="839"/>
      <c r="GUX155" s="839"/>
      <c r="GUY155" s="839"/>
      <c r="GUZ155" s="839"/>
      <c r="GVA155" s="839"/>
      <c r="GVB155" s="839"/>
      <c r="GVC155" s="839"/>
      <c r="GVD155" s="839"/>
      <c r="GVE155" s="839"/>
      <c r="GVF155" s="839"/>
      <c r="GVG155" s="839"/>
      <c r="GVH155" s="839"/>
      <c r="GVI155" s="839"/>
      <c r="GVJ155" s="839"/>
      <c r="GVK155" s="839"/>
      <c r="GVL155" s="839"/>
      <c r="GVM155" s="839"/>
      <c r="GVN155" s="839"/>
      <c r="GVO155" s="839"/>
      <c r="GVP155" s="839"/>
      <c r="GVQ155" s="839"/>
      <c r="GVR155" s="839"/>
      <c r="GVS155" s="839"/>
      <c r="GVT155" s="839"/>
      <c r="GVU155" s="839"/>
      <c r="GVV155" s="839"/>
      <c r="GVW155" s="839"/>
      <c r="GVX155" s="839"/>
      <c r="GVY155" s="839"/>
      <c r="GVZ155" s="839"/>
      <c r="GWA155" s="839"/>
      <c r="GWB155" s="839"/>
      <c r="GWC155" s="839"/>
      <c r="GWD155" s="839"/>
      <c r="GWE155" s="839"/>
      <c r="GWF155" s="839"/>
      <c r="GWG155" s="839"/>
      <c r="GWH155" s="839"/>
      <c r="GWI155" s="839"/>
      <c r="GWJ155" s="839"/>
      <c r="GWK155" s="839"/>
      <c r="GWL155" s="839"/>
      <c r="GWM155" s="839"/>
      <c r="GWN155" s="839"/>
      <c r="GWO155" s="839"/>
      <c r="GWP155" s="839"/>
      <c r="GWQ155" s="839"/>
      <c r="GWR155" s="839"/>
      <c r="GWS155" s="839"/>
      <c r="GWT155" s="839"/>
      <c r="GWU155" s="839"/>
      <c r="GWV155" s="839"/>
      <c r="GWW155" s="839"/>
      <c r="GWX155" s="839"/>
      <c r="GWY155" s="839"/>
      <c r="GWZ155" s="839"/>
      <c r="GXA155" s="839"/>
      <c r="GXB155" s="839"/>
      <c r="GXC155" s="839"/>
      <c r="GXD155" s="839"/>
      <c r="GXE155" s="839"/>
      <c r="GXF155" s="839"/>
      <c r="GXG155" s="839"/>
      <c r="GXH155" s="839"/>
      <c r="GXI155" s="839"/>
      <c r="GXJ155" s="839"/>
      <c r="GXK155" s="839"/>
      <c r="GXL155" s="839"/>
      <c r="GXM155" s="839"/>
      <c r="GXN155" s="839"/>
      <c r="GXO155" s="839"/>
      <c r="GXP155" s="839"/>
      <c r="GXQ155" s="839"/>
      <c r="GXR155" s="839"/>
      <c r="GXS155" s="839"/>
      <c r="GXT155" s="839"/>
      <c r="GXU155" s="839"/>
      <c r="GXV155" s="839"/>
      <c r="GXW155" s="839"/>
      <c r="GXX155" s="839"/>
      <c r="GXY155" s="839"/>
      <c r="GXZ155" s="839"/>
      <c r="GYA155" s="839"/>
      <c r="GYB155" s="839"/>
      <c r="GYC155" s="839"/>
      <c r="GYD155" s="839"/>
      <c r="GYE155" s="839"/>
      <c r="GYF155" s="839"/>
      <c r="GYG155" s="839"/>
      <c r="GYH155" s="839"/>
      <c r="GYI155" s="839"/>
      <c r="GYJ155" s="839"/>
      <c r="GYK155" s="839"/>
      <c r="GYL155" s="839"/>
      <c r="GYM155" s="839"/>
      <c r="GYN155" s="839"/>
      <c r="GYO155" s="839"/>
      <c r="GYP155" s="839"/>
      <c r="GYQ155" s="839"/>
      <c r="GYR155" s="839"/>
      <c r="GYS155" s="839"/>
      <c r="GYT155" s="839"/>
      <c r="GYU155" s="839"/>
      <c r="GYV155" s="839"/>
      <c r="GYW155" s="839"/>
      <c r="GYX155" s="839"/>
      <c r="GYY155" s="839"/>
      <c r="GYZ155" s="839"/>
      <c r="GZA155" s="839"/>
      <c r="GZB155" s="839"/>
      <c r="GZC155" s="839"/>
      <c r="GZD155" s="839"/>
      <c r="GZE155" s="839"/>
      <c r="GZF155" s="839"/>
      <c r="GZG155" s="839"/>
      <c r="GZH155" s="839"/>
      <c r="GZI155" s="839"/>
      <c r="GZJ155" s="839"/>
      <c r="GZK155" s="839"/>
      <c r="GZL155" s="839"/>
      <c r="GZM155" s="839"/>
      <c r="GZN155" s="839"/>
      <c r="GZO155" s="839"/>
      <c r="GZP155" s="839"/>
      <c r="GZQ155" s="839"/>
      <c r="GZR155" s="839"/>
      <c r="GZS155" s="839"/>
      <c r="GZT155" s="839"/>
      <c r="GZU155" s="839"/>
      <c r="GZV155" s="839"/>
      <c r="GZW155" s="839"/>
      <c r="GZX155" s="839"/>
      <c r="GZY155" s="839"/>
      <c r="GZZ155" s="839"/>
      <c r="HAA155" s="839"/>
      <c r="HAB155" s="839"/>
      <c r="HAC155" s="839"/>
      <c r="HAD155" s="839"/>
      <c r="HAE155" s="839"/>
      <c r="HAF155" s="839"/>
      <c r="HAG155" s="839"/>
      <c r="HAH155" s="839"/>
      <c r="HAI155" s="839"/>
      <c r="HAJ155" s="839"/>
      <c r="HAK155" s="839"/>
      <c r="HAL155" s="839"/>
      <c r="HAM155" s="839"/>
      <c r="HAN155" s="839"/>
      <c r="HAO155" s="839"/>
      <c r="HAP155" s="839"/>
      <c r="HAQ155" s="839"/>
      <c r="HAR155" s="839"/>
      <c r="HAS155" s="839"/>
      <c r="HAT155" s="839"/>
      <c r="HAU155" s="839"/>
      <c r="HAV155" s="839"/>
      <c r="HAW155" s="839"/>
      <c r="HAX155" s="839"/>
      <c r="HAY155" s="839"/>
      <c r="HAZ155" s="839"/>
      <c r="HBA155" s="839"/>
      <c r="HBB155" s="839"/>
      <c r="HBC155" s="839"/>
      <c r="HBD155" s="839"/>
      <c r="HBE155" s="839"/>
      <c r="HBF155" s="839"/>
      <c r="HBG155" s="839"/>
      <c r="HBH155" s="839"/>
      <c r="HBI155" s="839"/>
      <c r="HBJ155" s="839"/>
      <c r="HBK155" s="839"/>
      <c r="HBL155" s="839"/>
      <c r="HBM155" s="839"/>
      <c r="HBN155" s="839"/>
      <c r="HBO155" s="839"/>
      <c r="HBP155" s="839"/>
      <c r="HBQ155" s="839"/>
      <c r="HBR155" s="839"/>
      <c r="HBS155" s="839"/>
      <c r="HBT155" s="839"/>
      <c r="HBU155" s="839"/>
      <c r="HBV155" s="839"/>
      <c r="HBW155" s="839"/>
      <c r="HBX155" s="839"/>
      <c r="HBY155" s="839"/>
      <c r="HBZ155" s="839"/>
      <c r="HCA155" s="839"/>
      <c r="HCB155" s="839"/>
      <c r="HCC155" s="839"/>
      <c r="HCD155" s="839"/>
      <c r="HCE155" s="839"/>
      <c r="HCF155" s="839"/>
      <c r="HCG155" s="839"/>
      <c r="HCH155" s="839"/>
      <c r="HCI155" s="839"/>
      <c r="HCJ155" s="839"/>
      <c r="HCK155" s="839"/>
      <c r="HCL155" s="839"/>
      <c r="HCM155" s="839"/>
      <c r="HCN155" s="839"/>
      <c r="HCO155" s="839"/>
      <c r="HCP155" s="839"/>
      <c r="HCQ155" s="839"/>
      <c r="HCR155" s="839"/>
      <c r="HCS155" s="839"/>
      <c r="HCT155" s="839"/>
      <c r="HCU155" s="839"/>
      <c r="HCV155" s="839"/>
      <c r="HCW155" s="839"/>
      <c r="HCX155" s="839"/>
      <c r="HCY155" s="839"/>
      <c r="HCZ155" s="839"/>
      <c r="HDA155" s="839"/>
      <c r="HDB155" s="839"/>
      <c r="HDC155" s="839"/>
      <c r="HDD155" s="839"/>
      <c r="HDE155" s="839"/>
      <c r="HDF155" s="839"/>
      <c r="HDG155" s="839"/>
      <c r="HDH155" s="839"/>
      <c r="HDI155" s="839"/>
      <c r="HDJ155" s="839"/>
      <c r="HDK155" s="839"/>
      <c r="HDL155" s="839"/>
      <c r="HDM155" s="839"/>
      <c r="HDN155" s="839"/>
      <c r="HDO155" s="839"/>
      <c r="HDP155" s="839"/>
      <c r="HDQ155" s="839"/>
      <c r="HDR155" s="839"/>
      <c r="HDS155" s="839"/>
      <c r="HDT155" s="839"/>
      <c r="HDU155" s="839"/>
      <c r="HDV155" s="839"/>
      <c r="HDW155" s="839"/>
      <c r="HDX155" s="839"/>
      <c r="HDY155" s="839"/>
      <c r="HDZ155" s="839"/>
      <c r="HEA155" s="839"/>
      <c r="HEB155" s="839"/>
      <c r="HEC155" s="839"/>
      <c r="HED155" s="839"/>
      <c r="HEE155" s="839"/>
      <c r="HEF155" s="839"/>
      <c r="HEG155" s="839"/>
      <c r="HEH155" s="839"/>
      <c r="HEI155" s="839"/>
      <c r="HEJ155" s="839"/>
      <c r="HEK155" s="839"/>
      <c r="HEL155" s="839"/>
      <c r="HEM155" s="839"/>
      <c r="HEN155" s="839"/>
      <c r="HEO155" s="839"/>
      <c r="HEP155" s="839"/>
      <c r="HEQ155" s="839"/>
      <c r="HER155" s="839"/>
      <c r="HES155" s="839"/>
      <c r="HET155" s="839"/>
      <c r="HEU155" s="839"/>
      <c r="HEV155" s="839"/>
      <c r="HEW155" s="839"/>
      <c r="HEX155" s="839"/>
      <c r="HEY155" s="839"/>
      <c r="HEZ155" s="839"/>
      <c r="HFA155" s="839"/>
      <c r="HFB155" s="839"/>
      <c r="HFC155" s="839"/>
      <c r="HFD155" s="839"/>
      <c r="HFE155" s="839"/>
      <c r="HFF155" s="839"/>
      <c r="HFG155" s="839"/>
      <c r="HFH155" s="839"/>
      <c r="HFI155" s="839"/>
      <c r="HFJ155" s="839"/>
      <c r="HFK155" s="839"/>
      <c r="HFL155" s="839"/>
      <c r="HFM155" s="839"/>
      <c r="HFN155" s="839"/>
      <c r="HFO155" s="839"/>
      <c r="HFP155" s="839"/>
      <c r="HFQ155" s="839"/>
      <c r="HFR155" s="839"/>
      <c r="HFS155" s="839"/>
      <c r="HFT155" s="839"/>
      <c r="HFU155" s="839"/>
      <c r="HFV155" s="839"/>
      <c r="HFW155" s="839"/>
      <c r="HFX155" s="839"/>
      <c r="HFY155" s="839"/>
      <c r="HFZ155" s="839"/>
      <c r="HGA155" s="839"/>
      <c r="HGB155" s="839"/>
      <c r="HGC155" s="839"/>
      <c r="HGD155" s="839"/>
      <c r="HGE155" s="839"/>
      <c r="HGF155" s="839"/>
      <c r="HGG155" s="839"/>
      <c r="HGH155" s="839"/>
      <c r="HGI155" s="839"/>
      <c r="HGJ155" s="839"/>
      <c r="HGK155" s="839"/>
      <c r="HGL155" s="839"/>
      <c r="HGM155" s="839"/>
      <c r="HGN155" s="839"/>
      <c r="HGO155" s="839"/>
      <c r="HGP155" s="839"/>
      <c r="HGQ155" s="839"/>
      <c r="HGR155" s="839"/>
      <c r="HGS155" s="839"/>
      <c r="HGT155" s="839"/>
      <c r="HGU155" s="839"/>
      <c r="HGV155" s="839"/>
      <c r="HGW155" s="839"/>
      <c r="HGX155" s="839"/>
      <c r="HGY155" s="839"/>
      <c r="HGZ155" s="839"/>
      <c r="HHA155" s="839"/>
      <c r="HHB155" s="839"/>
      <c r="HHC155" s="839"/>
      <c r="HHD155" s="839"/>
      <c r="HHE155" s="839"/>
      <c r="HHF155" s="839"/>
      <c r="HHG155" s="839"/>
      <c r="HHH155" s="839"/>
      <c r="HHI155" s="839"/>
      <c r="HHJ155" s="839"/>
      <c r="HHK155" s="839"/>
      <c r="HHL155" s="839"/>
      <c r="HHM155" s="839"/>
      <c r="HHN155" s="839"/>
      <c r="HHO155" s="839"/>
      <c r="HHP155" s="839"/>
      <c r="HHQ155" s="839"/>
      <c r="HHR155" s="839"/>
      <c r="HHS155" s="839"/>
      <c r="HHT155" s="839"/>
      <c r="HHU155" s="839"/>
      <c r="HHV155" s="839"/>
      <c r="HHW155" s="839"/>
      <c r="HHX155" s="839"/>
      <c r="HHY155" s="839"/>
      <c r="HHZ155" s="839"/>
      <c r="HIA155" s="839"/>
      <c r="HIB155" s="839"/>
      <c r="HIC155" s="839"/>
      <c r="HID155" s="839"/>
      <c r="HIE155" s="839"/>
      <c r="HIF155" s="839"/>
      <c r="HIG155" s="839"/>
      <c r="HIH155" s="839"/>
      <c r="HII155" s="839"/>
      <c r="HIJ155" s="839"/>
      <c r="HIK155" s="839"/>
      <c r="HIL155" s="839"/>
      <c r="HIM155" s="839"/>
      <c r="HIN155" s="839"/>
      <c r="HIO155" s="839"/>
      <c r="HIP155" s="839"/>
      <c r="HIQ155" s="839"/>
      <c r="HIR155" s="839"/>
      <c r="HIS155" s="839"/>
      <c r="HIT155" s="839"/>
      <c r="HIU155" s="839"/>
      <c r="HIV155" s="839"/>
      <c r="HIW155" s="839"/>
      <c r="HIX155" s="839"/>
      <c r="HIY155" s="839"/>
      <c r="HIZ155" s="839"/>
      <c r="HJA155" s="839"/>
      <c r="HJB155" s="839"/>
      <c r="HJC155" s="839"/>
      <c r="HJD155" s="839"/>
      <c r="HJE155" s="839"/>
      <c r="HJF155" s="839"/>
      <c r="HJG155" s="839"/>
      <c r="HJH155" s="839"/>
      <c r="HJI155" s="839"/>
      <c r="HJJ155" s="839"/>
      <c r="HJK155" s="839"/>
      <c r="HJL155" s="839"/>
      <c r="HJM155" s="839"/>
      <c r="HJN155" s="839"/>
      <c r="HJO155" s="839"/>
      <c r="HJP155" s="839"/>
      <c r="HJQ155" s="839"/>
      <c r="HJR155" s="839"/>
      <c r="HJS155" s="839"/>
      <c r="HJT155" s="839"/>
      <c r="HJU155" s="839"/>
      <c r="HJV155" s="839"/>
      <c r="HJW155" s="839"/>
      <c r="HJX155" s="839"/>
      <c r="HJY155" s="839"/>
      <c r="HJZ155" s="839"/>
      <c r="HKA155" s="839"/>
      <c r="HKB155" s="839"/>
      <c r="HKC155" s="839"/>
      <c r="HKD155" s="839"/>
      <c r="HKE155" s="839"/>
      <c r="HKF155" s="839"/>
      <c r="HKG155" s="839"/>
      <c r="HKH155" s="839"/>
      <c r="HKI155" s="839"/>
      <c r="HKJ155" s="839"/>
      <c r="HKK155" s="839"/>
      <c r="HKL155" s="839"/>
      <c r="HKM155" s="839"/>
      <c r="HKN155" s="839"/>
      <c r="HKO155" s="839"/>
      <c r="HKP155" s="839"/>
      <c r="HKQ155" s="839"/>
      <c r="HKR155" s="839"/>
      <c r="HKS155" s="839"/>
      <c r="HKT155" s="839"/>
      <c r="HKU155" s="839"/>
      <c r="HKV155" s="839"/>
      <c r="HKW155" s="839"/>
      <c r="HKX155" s="839"/>
      <c r="HKY155" s="839"/>
      <c r="HKZ155" s="839"/>
      <c r="HLA155" s="839"/>
      <c r="HLB155" s="839"/>
      <c r="HLC155" s="839"/>
      <c r="HLD155" s="839"/>
      <c r="HLE155" s="839"/>
      <c r="HLF155" s="839"/>
      <c r="HLG155" s="839"/>
      <c r="HLH155" s="839"/>
      <c r="HLI155" s="839"/>
      <c r="HLJ155" s="839"/>
      <c r="HLK155" s="839"/>
      <c r="HLL155" s="839"/>
      <c r="HLM155" s="839"/>
      <c r="HLN155" s="839"/>
      <c r="HLO155" s="839"/>
      <c r="HLP155" s="839"/>
      <c r="HLQ155" s="839"/>
      <c r="HLR155" s="839"/>
      <c r="HLS155" s="839"/>
      <c r="HLT155" s="839"/>
      <c r="HLU155" s="839"/>
      <c r="HLV155" s="839"/>
      <c r="HLW155" s="839"/>
      <c r="HLX155" s="839"/>
      <c r="HLY155" s="839"/>
      <c r="HLZ155" s="839"/>
      <c r="HMA155" s="839"/>
      <c r="HMB155" s="839"/>
      <c r="HMC155" s="839"/>
      <c r="HMD155" s="839"/>
      <c r="HME155" s="839"/>
      <c r="HMF155" s="839"/>
      <c r="HMG155" s="839"/>
      <c r="HMH155" s="839"/>
      <c r="HMI155" s="839"/>
      <c r="HMJ155" s="839"/>
      <c r="HMK155" s="839"/>
      <c r="HML155" s="839"/>
      <c r="HMM155" s="839"/>
      <c r="HMN155" s="839"/>
      <c r="HMO155" s="839"/>
      <c r="HMP155" s="839"/>
      <c r="HMQ155" s="839"/>
      <c r="HMR155" s="839"/>
      <c r="HMS155" s="839"/>
      <c r="HMT155" s="839"/>
      <c r="HMU155" s="839"/>
      <c r="HMV155" s="839"/>
      <c r="HMW155" s="839"/>
      <c r="HMX155" s="839"/>
      <c r="HMY155" s="839"/>
      <c r="HMZ155" s="839"/>
      <c r="HNA155" s="839"/>
      <c r="HNB155" s="839"/>
      <c r="HNC155" s="839"/>
      <c r="HND155" s="839"/>
      <c r="HNE155" s="839"/>
      <c r="HNF155" s="839"/>
      <c r="HNG155" s="839"/>
      <c r="HNH155" s="839"/>
      <c r="HNI155" s="839"/>
      <c r="HNJ155" s="839"/>
      <c r="HNK155" s="839"/>
      <c r="HNL155" s="839"/>
      <c r="HNM155" s="839"/>
      <c r="HNN155" s="839"/>
      <c r="HNO155" s="839"/>
      <c r="HNP155" s="839"/>
      <c r="HNQ155" s="839"/>
      <c r="HNR155" s="839"/>
      <c r="HNS155" s="839"/>
      <c r="HNT155" s="839"/>
      <c r="HNU155" s="839"/>
      <c r="HNV155" s="839"/>
      <c r="HNW155" s="839"/>
      <c r="HNX155" s="839"/>
      <c r="HNY155" s="839"/>
      <c r="HNZ155" s="839"/>
      <c r="HOA155" s="839"/>
      <c r="HOB155" s="839"/>
      <c r="HOC155" s="839"/>
      <c r="HOD155" s="839"/>
      <c r="HOE155" s="839"/>
      <c r="HOF155" s="839"/>
      <c r="HOG155" s="839"/>
      <c r="HOH155" s="839"/>
      <c r="HOI155" s="839"/>
      <c r="HOJ155" s="839"/>
      <c r="HOK155" s="839"/>
      <c r="HOL155" s="839"/>
      <c r="HOM155" s="839"/>
      <c r="HON155" s="839"/>
      <c r="HOO155" s="839"/>
      <c r="HOP155" s="839"/>
      <c r="HOQ155" s="839"/>
      <c r="HOR155" s="839"/>
      <c r="HOS155" s="839"/>
      <c r="HOT155" s="839"/>
      <c r="HOU155" s="839"/>
      <c r="HOV155" s="839"/>
      <c r="HOW155" s="839"/>
      <c r="HOX155" s="839"/>
      <c r="HOY155" s="839"/>
      <c r="HOZ155" s="839"/>
      <c r="HPA155" s="839"/>
      <c r="HPB155" s="839"/>
      <c r="HPC155" s="839"/>
      <c r="HPD155" s="839"/>
      <c r="HPE155" s="839"/>
      <c r="HPF155" s="839"/>
      <c r="HPG155" s="839"/>
      <c r="HPH155" s="839"/>
      <c r="HPI155" s="839"/>
      <c r="HPJ155" s="839"/>
      <c r="HPK155" s="839"/>
      <c r="HPL155" s="839"/>
      <c r="HPM155" s="839"/>
      <c r="HPN155" s="839"/>
      <c r="HPO155" s="839"/>
      <c r="HPP155" s="839"/>
      <c r="HPQ155" s="839"/>
      <c r="HPR155" s="839"/>
      <c r="HPS155" s="839"/>
      <c r="HPT155" s="839"/>
      <c r="HPU155" s="839"/>
      <c r="HPV155" s="839"/>
      <c r="HPW155" s="839"/>
      <c r="HPX155" s="839"/>
      <c r="HPY155" s="839"/>
      <c r="HPZ155" s="839"/>
      <c r="HQA155" s="839"/>
      <c r="HQB155" s="839"/>
      <c r="HQC155" s="839"/>
      <c r="HQD155" s="839"/>
      <c r="HQE155" s="839"/>
      <c r="HQF155" s="839"/>
      <c r="HQG155" s="839"/>
      <c r="HQH155" s="839"/>
      <c r="HQI155" s="839"/>
      <c r="HQJ155" s="839"/>
      <c r="HQK155" s="839"/>
      <c r="HQL155" s="839"/>
      <c r="HQM155" s="839"/>
      <c r="HQN155" s="839"/>
      <c r="HQO155" s="839"/>
      <c r="HQP155" s="839"/>
      <c r="HQQ155" s="839"/>
      <c r="HQR155" s="839"/>
      <c r="HQS155" s="839"/>
      <c r="HQT155" s="839"/>
      <c r="HQU155" s="839"/>
      <c r="HQV155" s="839"/>
      <c r="HQW155" s="839"/>
      <c r="HQX155" s="839"/>
      <c r="HQY155" s="839"/>
      <c r="HQZ155" s="839"/>
      <c r="HRA155" s="839"/>
      <c r="HRB155" s="839"/>
      <c r="HRC155" s="839"/>
      <c r="HRD155" s="839"/>
      <c r="HRE155" s="839"/>
      <c r="HRF155" s="839"/>
      <c r="HRG155" s="839"/>
      <c r="HRH155" s="839"/>
      <c r="HRI155" s="839"/>
      <c r="HRJ155" s="839"/>
      <c r="HRK155" s="839"/>
      <c r="HRL155" s="839"/>
      <c r="HRM155" s="839"/>
      <c r="HRN155" s="839"/>
      <c r="HRO155" s="839"/>
      <c r="HRP155" s="839"/>
      <c r="HRQ155" s="839"/>
      <c r="HRR155" s="839"/>
      <c r="HRS155" s="839"/>
      <c r="HRT155" s="839"/>
      <c r="HRU155" s="839"/>
      <c r="HRV155" s="839"/>
      <c r="HRW155" s="839"/>
      <c r="HRX155" s="839"/>
      <c r="HRY155" s="839"/>
      <c r="HRZ155" s="839"/>
      <c r="HSA155" s="839"/>
      <c r="HSB155" s="839"/>
      <c r="HSC155" s="839"/>
      <c r="HSD155" s="839"/>
      <c r="HSE155" s="839"/>
      <c r="HSF155" s="839"/>
      <c r="HSG155" s="839"/>
      <c r="HSH155" s="839"/>
      <c r="HSI155" s="839"/>
      <c r="HSJ155" s="839"/>
      <c r="HSK155" s="839"/>
      <c r="HSL155" s="839"/>
      <c r="HSM155" s="839"/>
      <c r="HSN155" s="839"/>
      <c r="HSO155" s="839"/>
      <c r="HSP155" s="839"/>
      <c r="HSQ155" s="839"/>
      <c r="HSR155" s="839"/>
      <c r="HSS155" s="839"/>
      <c r="HST155" s="839"/>
      <c r="HSU155" s="839"/>
      <c r="HSV155" s="839"/>
      <c r="HSW155" s="839"/>
      <c r="HSX155" s="839"/>
      <c r="HSY155" s="839"/>
      <c r="HSZ155" s="839"/>
      <c r="HTA155" s="839"/>
      <c r="HTB155" s="839"/>
      <c r="HTC155" s="839"/>
      <c r="HTD155" s="839"/>
      <c r="HTE155" s="839"/>
      <c r="HTF155" s="839"/>
      <c r="HTG155" s="839"/>
      <c r="HTH155" s="839"/>
      <c r="HTI155" s="839"/>
      <c r="HTJ155" s="839"/>
      <c r="HTK155" s="839"/>
      <c r="HTL155" s="839"/>
      <c r="HTM155" s="839"/>
      <c r="HTN155" s="839"/>
      <c r="HTO155" s="839"/>
      <c r="HTP155" s="839"/>
      <c r="HTQ155" s="839"/>
      <c r="HTR155" s="839"/>
      <c r="HTS155" s="839"/>
      <c r="HTT155" s="839"/>
      <c r="HTU155" s="839"/>
      <c r="HTV155" s="839"/>
      <c r="HTW155" s="839"/>
      <c r="HTX155" s="839"/>
      <c r="HTY155" s="839"/>
      <c r="HTZ155" s="839"/>
      <c r="HUA155" s="839"/>
      <c r="HUB155" s="839"/>
      <c r="HUC155" s="839"/>
      <c r="HUD155" s="839"/>
      <c r="HUE155" s="839"/>
      <c r="HUF155" s="839"/>
      <c r="HUG155" s="839"/>
      <c r="HUH155" s="839"/>
      <c r="HUI155" s="839"/>
      <c r="HUJ155" s="839"/>
      <c r="HUK155" s="839"/>
      <c r="HUL155" s="839"/>
      <c r="HUM155" s="839"/>
      <c r="HUN155" s="839"/>
      <c r="HUO155" s="839"/>
      <c r="HUP155" s="839"/>
      <c r="HUQ155" s="839"/>
      <c r="HUR155" s="839"/>
      <c r="HUS155" s="839"/>
      <c r="HUT155" s="839"/>
      <c r="HUU155" s="839"/>
      <c r="HUV155" s="839"/>
      <c r="HUW155" s="839"/>
      <c r="HUX155" s="839"/>
      <c r="HUY155" s="839"/>
      <c r="HUZ155" s="839"/>
      <c r="HVA155" s="839"/>
      <c r="HVB155" s="839"/>
      <c r="HVC155" s="839"/>
      <c r="HVD155" s="839"/>
      <c r="HVE155" s="839"/>
      <c r="HVF155" s="839"/>
      <c r="HVG155" s="839"/>
      <c r="HVH155" s="839"/>
      <c r="HVI155" s="839"/>
      <c r="HVJ155" s="839"/>
      <c r="HVK155" s="839"/>
      <c r="HVL155" s="839"/>
      <c r="HVM155" s="839"/>
      <c r="HVN155" s="839"/>
      <c r="HVO155" s="839"/>
      <c r="HVP155" s="839"/>
      <c r="HVQ155" s="839"/>
      <c r="HVR155" s="839"/>
      <c r="HVS155" s="839"/>
      <c r="HVT155" s="839"/>
      <c r="HVU155" s="839"/>
      <c r="HVV155" s="839"/>
      <c r="HVW155" s="839"/>
      <c r="HVX155" s="839"/>
      <c r="HVY155" s="839"/>
      <c r="HVZ155" s="839"/>
      <c r="HWA155" s="839"/>
      <c r="HWB155" s="839"/>
      <c r="HWC155" s="839"/>
      <c r="HWD155" s="839"/>
      <c r="HWE155" s="839"/>
      <c r="HWF155" s="839"/>
      <c r="HWG155" s="839"/>
      <c r="HWH155" s="839"/>
      <c r="HWI155" s="839"/>
      <c r="HWJ155" s="839"/>
      <c r="HWK155" s="839"/>
      <c r="HWL155" s="839"/>
      <c r="HWM155" s="839"/>
      <c r="HWN155" s="839"/>
      <c r="HWO155" s="839"/>
      <c r="HWP155" s="839"/>
      <c r="HWQ155" s="839"/>
      <c r="HWR155" s="839"/>
      <c r="HWS155" s="839"/>
      <c r="HWT155" s="839"/>
      <c r="HWU155" s="839"/>
      <c r="HWV155" s="839"/>
      <c r="HWW155" s="839"/>
      <c r="HWX155" s="839"/>
      <c r="HWY155" s="839"/>
      <c r="HWZ155" s="839"/>
      <c r="HXA155" s="839"/>
      <c r="HXB155" s="839"/>
      <c r="HXC155" s="839"/>
      <c r="HXD155" s="839"/>
      <c r="HXE155" s="839"/>
      <c r="HXF155" s="839"/>
      <c r="HXG155" s="839"/>
      <c r="HXH155" s="839"/>
      <c r="HXI155" s="839"/>
      <c r="HXJ155" s="839"/>
      <c r="HXK155" s="839"/>
      <c r="HXL155" s="839"/>
      <c r="HXM155" s="839"/>
      <c r="HXN155" s="839"/>
      <c r="HXO155" s="839"/>
      <c r="HXP155" s="839"/>
      <c r="HXQ155" s="839"/>
      <c r="HXR155" s="839"/>
      <c r="HXS155" s="839"/>
      <c r="HXT155" s="839"/>
      <c r="HXU155" s="839"/>
      <c r="HXV155" s="839"/>
      <c r="HXW155" s="839"/>
      <c r="HXX155" s="839"/>
      <c r="HXY155" s="839"/>
      <c r="HXZ155" s="839"/>
      <c r="HYA155" s="839"/>
      <c r="HYB155" s="839"/>
      <c r="HYC155" s="839"/>
      <c r="HYD155" s="839"/>
      <c r="HYE155" s="839"/>
      <c r="HYF155" s="839"/>
      <c r="HYG155" s="839"/>
      <c r="HYH155" s="839"/>
      <c r="HYI155" s="839"/>
      <c r="HYJ155" s="839"/>
      <c r="HYK155" s="839"/>
      <c r="HYL155" s="839"/>
      <c r="HYM155" s="839"/>
      <c r="HYN155" s="839"/>
      <c r="HYO155" s="839"/>
      <c r="HYP155" s="839"/>
      <c r="HYQ155" s="839"/>
      <c r="HYR155" s="839"/>
      <c r="HYS155" s="839"/>
      <c r="HYT155" s="839"/>
      <c r="HYU155" s="839"/>
      <c r="HYV155" s="839"/>
      <c r="HYW155" s="839"/>
      <c r="HYX155" s="839"/>
      <c r="HYY155" s="839"/>
      <c r="HYZ155" s="839"/>
      <c r="HZA155" s="839"/>
      <c r="HZB155" s="839"/>
      <c r="HZC155" s="839"/>
      <c r="HZD155" s="839"/>
      <c r="HZE155" s="839"/>
      <c r="HZF155" s="839"/>
      <c r="HZG155" s="839"/>
      <c r="HZH155" s="839"/>
      <c r="HZI155" s="839"/>
      <c r="HZJ155" s="839"/>
      <c r="HZK155" s="839"/>
      <c r="HZL155" s="839"/>
      <c r="HZM155" s="839"/>
      <c r="HZN155" s="839"/>
      <c r="HZO155" s="839"/>
      <c r="HZP155" s="839"/>
      <c r="HZQ155" s="839"/>
      <c r="HZR155" s="839"/>
      <c r="HZS155" s="839"/>
      <c r="HZT155" s="839"/>
      <c r="HZU155" s="839"/>
      <c r="HZV155" s="839"/>
      <c r="HZW155" s="839"/>
      <c r="HZX155" s="839"/>
      <c r="HZY155" s="839"/>
      <c r="HZZ155" s="839"/>
      <c r="IAA155" s="839"/>
      <c r="IAB155" s="839"/>
      <c r="IAC155" s="839"/>
      <c r="IAD155" s="839"/>
      <c r="IAE155" s="839"/>
      <c r="IAF155" s="839"/>
      <c r="IAG155" s="839"/>
      <c r="IAH155" s="839"/>
      <c r="IAI155" s="839"/>
      <c r="IAJ155" s="839"/>
      <c r="IAK155" s="839"/>
      <c r="IAL155" s="839"/>
      <c r="IAM155" s="839"/>
      <c r="IAN155" s="839"/>
      <c r="IAO155" s="839"/>
      <c r="IAP155" s="839"/>
      <c r="IAQ155" s="839"/>
      <c r="IAR155" s="839"/>
      <c r="IAS155" s="839"/>
      <c r="IAT155" s="839"/>
      <c r="IAU155" s="839"/>
      <c r="IAV155" s="839"/>
      <c r="IAW155" s="839"/>
      <c r="IAX155" s="839"/>
      <c r="IAY155" s="839"/>
      <c r="IAZ155" s="839"/>
      <c r="IBA155" s="839"/>
      <c r="IBB155" s="839"/>
      <c r="IBC155" s="839"/>
      <c r="IBD155" s="839"/>
      <c r="IBE155" s="839"/>
      <c r="IBF155" s="839"/>
      <c r="IBG155" s="839"/>
      <c r="IBH155" s="839"/>
      <c r="IBI155" s="839"/>
      <c r="IBJ155" s="839"/>
      <c r="IBK155" s="839"/>
      <c r="IBL155" s="839"/>
      <c r="IBM155" s="839"/>
      <c r="IBN155" s="839"/>
      <c r="IBO155" s="839"/>
      <c r="IBP155" s="839"/>
      <c r="IBQ155" s="839"/>
      <c r="IBR155" s="839"/>
      <c r="IBS155" s="839"/>
      <c r="IBT155" s="839"/>
      <c r="IBU155" s="839"/>
      <c r="IBV155" s="839"/>
      <c r="IBW155" s="839"/>
      <c r="IBX155" s="839"/>
      <c r="IBY155" s="839"/>
      <c r="IBZ155" s="839"/>
      <c r="ICA155" s="839"/>
      <c r="ICB155" s="839"/>
      <c r="ICC155" s="839"/>
      <c r="ICD155" s="839"/>
      <c r="ICE155" s="839"/>
      <c r="ICF155" s="839"/>
      <c r="ICG155" s="839"/>
      <c r="ICH155" s="839"/>
      <c r="ICI155" s="839"/>
      <c r="ICJ155" s="839"/>
      <c r="ICK155" s="839"/>
      <c r="ICL155" s="839"/>
      <c r="ICM155" s="839"/>
      <c r="ICN155" s="839"/>
      <c r="ICO155" s="839"/>
      <c r="ICP155" s="839"/>
      <c r="ICQ155" s="839"/>
      <c r="ICR155" s="839"/>
      <c r="ICS155" s="839"/>
      <c r="ICT155" s="839"/>
      <c r="ICU155" s="839"/>
      <c r="ICV155" s="839"/>
      <c r="ICW155" s="839"/>
      <c r="ICX155" s="839"/>
      <c r="ICY155" s="839"/>
      <c r="ICZ155" s="839"/>
      <c r="IDA155" s="839"/>
      <c r="IDB155" s="839"/>
      <c r="IDC155" s="839"/>
      <c r="IDD155" s="839"/>
      <c r="IDE155" s="839"/>
      <c r="IDF155" s="839"/>
      <c r="IDG155" s="839"/>
      <c r="IDH155" s="839"/>
      <c r="IDI155" s="839"/>
      <c r="IDJ155" s="839"/>
      <c r="IDK155" s="839"/>
      <c r="IDL155" s="839"/>
      <c r="IDM155" s="839"/>
      <c r="IDN155" s="839"/>
      <c r="IDO155" s="839"/>
      <c r="IDP155" s="839"/>
      <c r="IDQ155" s="839"/>
      <c r="IDR155" s="839"/>
      <c r="IDS155" s="839"/>
      <c r="IDT155" s="839"/>
      <c r="IDU155" s="839"/>
      <c r="IDV155" s="839"/>
      <c r="IDW155" s="839"/>
      <c r="IDX155" s="839"/>
      <c r="IDY155" s="839"/>
      <c r="IDZ155" s="839"/>
      <c r="IEA155" s="839"/>
      <c r="IEB155" s="839"/>
      <c r="IEC155" s="839"/>
      <c r="IED155" s="839"/>
      <c r="IEE155" s="839"/>
      <c r="IEF155" s="839"/>
      <c r="IEG155" s="839"/>
      <c r="IEH155" s="839"/>
      <c r="IEI155" s="839"/>
      <c r="IEJ155" s="839"/>
      <c r="IEK155" s="839"/>
      <c r="IEL155" s="839"/>
      <c r="IEM155" s="839"/>
      <c r="IEN155" s="839"/>
      <c r="IEO155" s="839"/>
      <c r="IEP155" s="839"/>
      <c r="IEQ155" s="839"/>
      <c r="IER155" s="839"/>
      <c r="IES155" s="839"/>
      <c r="IET155" s="839"/>
      <c r="IEU155" s="839"/>
      <c r="IEV155" s="839"/>
      <c r="IEW155" s="839"/>
      <c r="IEX155" s="839"/>
      <c r="IEY155" s="839"/>
      <c r="IEZ155" s="839"/>
      <c r="IFA155" s="839"/>
      <c r="IFB155" s="839"/>
      <c r="IFC155" s="839"/>
      <c r="IFD155" s="839"/>
      <c r="IFE155" s="839"/>
      <c r="IFF155" s="839"/>
      <c r="IFG155" s="839"/>
      <c r="IFH155" s="839"/>
      <c r="IFI155" s="839"/>
      <c r="IFJ155" s="839"/>
      <c r="IFK155" s="839"/>
      <c r="IFL155" s="839"/>
      <c r="IFM155" s="839"/>
      <c r="IFN155" s="839"/>
      <c r="IFO155" s="839"/>
      <c r="IFP155" s="839"/>
      <c r="IFQ155" s="839"/>
      <c r="IFR155" s="839"/>
      <c r="IFS155" s="839"/>
      <c r="IFT155" s="839"/>
      <c r="IFU155" s="839"/>
      <c r="IFV155" s="839"/>
      <c r="IFW155" s="839"/>
      <c r="IFX155" s="839"/>
      <c r="IFY155" s="839"/>
      <c r="IFZ155" s="839"/>
      <c r="IGA155" s="839"/>
      <c r="IGB155" s="839"/>
      <c r="IGC155" s="839"/>
      <c r="IGD155" s="839"/>
      <c r="IGE155" s="839"/>
      <c r="IGF155" s="839"/>
      <c r="IGG155" s="839"/>
      <c r="IGH155" s="839"/>
      <c r="IGI155" s="839"/>
      <c r="IGJ155" s="839"/>
      <c r="IGK155" s="839"/>
      <c r="IGL155" s="839"/>
      <c r="IGM155" s="839"/>
      <c r="IGN155" s="839"/>
      <c r="IGO155" s="839"/>
      <c r="IGP155" s="839"/>
      <c r="IGQ155" s="839"/>
      <c r="IGR155" s="839"/>
      <c r="IGS155" s="839"/>
      <c r="IGT155" s="839"/>
      <c r="IGU155" s="839"/>
      <c r="IGV155" s="839"/>
      <c r="IGW155" s="839"/>
      <c r="IGX155" s="839"/>
      <c r="IGY155" s="839"/>
      <c r="IGZ155" s="839"/>
      <c r="IHA155" s="839"/>
      <c r="IHB155" s="839"/>
      <c r="IHC155" s="839"/>
      <c r="IHD155" s="839"/>
      <c r="IHE155" s="839"/>
      <c r="IHF155" s="839"/>
      <c r="IHG155" s="839"/>
      <c r="IHH155" s="839"/>
      <c r="IHI155" s="839"/>
      <c r="IHJ155" s="839"/>
      <c r="IHK155" s="839"/>
      <c r="IHL155" s="839"/>
      <c r="IHM155" s="839"/>
      <c r="IHN155" s="839"/>
      <c r="IHO155" s="839"/>
      <c r="IHP155" s="839"/>
      <c r="IHQ155" s="839"/>
      <c r="IHR155" s="839"/>
      <c r="IHS155" s="839"/>
      <c r="IHT155" s="839"/>
      <c r="IHU155" s="839"/>
      <c r="IHV155" s="839"/>
      <c r="IHW155" s="839"/>
      <c r="IHX155" s="839"/>
      <c r="IHY155" s="839"/>
      <c r="IHZ155" s="839"/>
      <c r="IIA155" s="839"/>
      <c r="IIB155" s="839"/>
      <c r="IIC155" s="839"/>
      <c r="IID155" s="839"/>
      <c r="IIE155" s="839"/>
      <c r="IIF155" s="839"/>
      <c r="IIG155" s="839"/>
      <c r="IIH155" s="839"/>
      <c r="III155" s="839"/>
      <c r="IIJ155" s="839"/>
      <c r="IIK155" s="839"/>
      <c r="IIL155" s="839"/>
      <c r="IIM155" s="839"/>
      <c r="IIN155" s="839"/>
      <c r="IIO155" s="839"/>
      <c r="IIP155" s="839"/>
      <c r="IIQ155" s="839"/>
      <c r="IIR155" s="839"/>
      <c r="IIS155" s="839"/>
      <c r="IIT155" s="839"/>
      <c r="IIU155" s="839"/>
      <c r="IIV155" s="839"/>
      <c r="IIW155" s="839"/>
      <c r="IIX155" s="839"/>
      <c r="IIY155" s="839"/>
      <c r="IIZ155" s="839"/>
      <c r="IJA155" s="839"/>
      <c r="IJB155" s="839"/>
      <c r="IJC155" s="839"/>
      <c r="IJD155" s="839"/>
      <c r="IJE155" s="839"/>
      <c r="IJF155" s="839"/>
      <c r="IJG155" s="839"/>
      <c r="IJH155" s="839"/>
      <c r="IJI155" s="839"/>
      <c r="IJJ155" s="839"/>
      <c r="IJK155" s="839"/>
      <c r="IJL155" s="839"/>
      <c r="IJM155" s="839"/>
      <c r="IJN155" s="839"/>
      <c r="IJO155" s="839"/>
      <c r="IJP155" s="839"/>
      <c r="IJQ155" s="839"/>
      <c r="IJR155" s="839"/>
      <c r="IJS155" s="839"/>
      <c r="IJT155" s="839"/>
      <c r="IJU155" s="839"/>
      <c r="IJV155" s="839"/>
      <c r="IJW155" s="839"/>
      <c r="IJX155" s="839"/>
      <c r="IJY155" s="839"/>
      <c r="IJZ155" s="839"/>
      <c r="IKA155" s="839"/>
      <c r="IKB155" s="839"/>
      <c r="IKC155" s="839"/>
      <c r="IKD155" s="839"/>
      <c r="IKE155" s="839"/>
      <c r="IKF155" s="839"/>
      <c r="IKG155" s="839"/>
      <c r="IKH155" s="839"/>
      <c r="IKI155" s="839"/>
      <c r="IKJ155" s="839"/>
      <c r="IKK155" s="839"/>
      <c r="IKL155" s="839"/>
      <c r="IKM155" s="839"/>
      <c r="IKN155" s="839"/>
      <c r="IKO155" s="839"/>
      <c r="IKP155" s="839"/>
      <c r="IKQ155" s="839"/>
      <c r="IKR155" s="839"/>
      <c r="IKS155" s="839"/>
      <c r="IKT155" s="839"/>
      <c r="IKU155" s="839"/>
      <c r="IKV155" s="839"/>
      <c r="IKW155" s="839"/>
      <c r="IKX155" s="839"/>
      <c r="IKY155" s="839"/>
      <c r="IKZ155" s="839"/>
      <c r="ILA155" s="839"/>
      <c r="ILB155" s="839"/>
      <c r="ILC155" s="839"/>
      <c r="ILD155" s="839"/>
      <c r="ILE155" s="839"/>
      <c r="ILF155" s="839"/>
      <c r="ILG155" s="839"/>
      <c r="ILH155" s="839"/>
      <c r="ILI155" s="839"/>
      <c r="ILJ155" s="839"/>
      <c r="ILK155" s="839"/>
      <c r="ILL155" s="839"/>
      <c r="ILM155" s="839"/>
      <c r="ILN155" s="839"/>
      <c r="ILO155" s="839"/>
      <c r="ILP155" s="839"/>
      <c r="ILQ155" s="839"/>
      <c r="ILR155" s="839"/>
      <c r="ILS155" s="839"/>
      <c r="ILT155" s="839"/>
      <c r="ILU155" s="839"/>
      <c r="ILV155" s="839"/>
      <c r="ILW155" s="839"/>
      <c r="ILX155" s="839"/>
      <c r="ILY155" s="839"/>
      <c r="ILZ155" s="839"/>
      <c r="IMA155" s="839"/>
      <c r="IMB155" s="839"/>
      <c r="IMC155" s="839"/>
      <c r="IMD155" s="839"/>
      <c r="IME155" s="839"/>
      <c r="IMF155" s="839"/>
      <c r="IMG155" s="839"/>
      <c r="IMH155" s="839"/>
      <c r="IMI155" s="839"/>
      <c r="IMJ155" s="839"/>
      <c r="IMK155" s="839"/>
      <c r="IML155" s="839"/>
      <c r="IMM155" s="839"/>
      <c r="IMN155" s="839"/>
      <c r="IMO155" s="839"/>
      <c r="IMP155" s="839"/>
      <c r="IMQ155" s="839"/>
      <c r="IMR155" s="839"/>
      <c r="IMS155" s="839"/>
      <c r="IMT155" s="839"/>
      <c r="IMU155" s="839"/>
      <c r="IMV155" s="839"/>
      <c r="IMW155" s="839"/>
      <c r="IMX155" s="839"/>
      <c r="IMY155" s="839"/>
      <c r="IMZ155" s="839"/>
      <c r="INA155" s="839"/>
      <c r="INB155" s="839"/>
      <c r="INC155" s="839"/>
      <c r="IND155" s="839"/>
      <c r="INE155" s="839"/>
      <c r="INF155" s="839"/>
      <c r="ING155" s="839"/>
      <c r="INH155" s="839"/>
      <c r="INI155" s="839"/>
      <c r="INJ155" s="839"/>
      <c r="INK155" s="839"/>
      <c r="INL155" s="839"/>
      <c r="INM155" s="839"/>
      <c r="INN155" s="839"/>
      <c r="INO155" s="839"/>
      <c r="INP155" s="839"/>
      <c r="INQ155" s="839"/>
      <c r="INR155" s="839"/>
      <c r="INS155" s="839"/>
      <c r="INT155" s="839"/>
      <c r="INU155" s="839"/>
      <c r="INV155" s="839"/>
      <c r="INW155" s="839"/>
      <c r="INX155" s="839"/>
      <c r="INY155" s="839"/>
      <c r="INZ155" s="839"/>
      <c r="IOA155" s="839"/>
      <c r="IOB155" s="839"/>
      <c r="IOC155" s="839"/>
      <c r="IOD155" s="839"/>
      <c r="IOE155" s="839"/>
      <c r="IOF155" s="839"/>
      <c r="IOG155" s="839"/>
      <c r="IOH155" s="839"/>
      <c r="IOI155" s="839"/>
      <c r="IOJ155" s="839"/>
      <c r="IOK155" s="839"/>
      <c r="IOL155" s="839"/>
      <c r="IOM155" s="839"/>
      <c r="ION155" s="839"/>
      <c r="IOO155" s="839"/>
      <c r="IOP155" s="839"/>
      <c r="IOQ155" s="839"/>
      <c r="IOR155" s="839"/>
      <c r="IOS155" s="839"/>
      <c r="IOT155" s="839"/>
      <c r="IOU155" s="839"/>
      <c r="IOV155" s="839"/>
      <c r="IOW155" s="839"/>
      <c r="IOX155" s="839"/>
      <c r="IOY155" s="839"/>
      <c r="IOZ155" s="839"/>
      <c r="IPA155" s="839"/>
      <c r="IPB155" s="839"/>
      <c r="IPC155" s="839"/>
      <c r="IPD155" s="839"/>
      <c r="IPE155" s="839"/>
      <c r="IPF155" s="839"/>
      <c r="IPG155" s="839"/>
      <c r="IPH155" s="839"/>
      <c r="IPI155" s="839"/>
      <c r="IPJ155" s="839"/>
      <c r="IPK155" s="839"/>
      <c r="IPL155" s="839"/>
      <c r="IPM155" s="839"/>
      <c r="IPN155" s="839"/>
      <c r="IPO155" s="839"/>
      <c r="IPP155" s="839"/>
      <c r="IPQ155" s="839"/>
      <c r="IPR155" s="839"/>
      <c r="IPS155" s="839"/>
      <c r="IPT155" s="839"/>
      <c r="IPU155" s="839"/>
      <c r="IPV155" s="839"/>
      <c r="IPW155" s="839"/>
      <c r="IPX155" s="839"/>
      <c r="IPY155" s="839"/>
      <c r="IPZ155" s="839"/>
      <c r="IQA155" s="839"/>
      <c r="IQB155" s="839"/>
      <c r="IQC155" s="839"/>
      <c r="IQD155" s="839"/>
      <c r="IQE155" s="839"/>
      <c r="IQF155" s="839"/>
      <c r="IQG155" s="839"/>
      <c r="IQH155" s="839"/>
      <c r="IQI155" s="839"/>
      <c r="IQJ155" s="839"/>
      <c r="IQK155" s="839"/>
      <c r="IQL155" s="839"/>
      <c r="IQM155" s="839"/>
      <c r="IQN155" s="839"/>
      <c r="IQO155" s="839"/>
      <c r="IQP155" s="839"/>
      <c r="IQQ155" s="839"/>
      <c r="IQR155" s="839"/>
      <c r="IQS155" s="839"/>
      <c r="IQT155" s="839"/>
      <c r="IQU155" s="839"/>
      <c r="IQV155" s="839"/>
      <c r="IQW155" s="839"/>
      <c r="IQX155" s="839"/>
      <c r="IQY155" s="839"/>
      <c r="IQZ155" s="839"/>
      <c r="IRA155" s="839"/>
      <c r="IRB155" s="839"/>
      <c r="IRC155" s="839"/>
      <c r="IRD155" s="839"/>
      <c r="IRE155" s="839"/>
      <c r="IRF155" s="839"/>
      <c r="IRG155" s="839"/>
      <c r="IRH155" s="839"/>
      <c r="IRI155" s="839"/>
      <c r="IRJ155" s="839"/>
      <c r="IRK155" s="839"/>
      <c r="IRL155" s="839"/>
      <c r="IRM155" s="839"/>
      <c r="IRN155" s="839"/>
      <c r="IRO155" s="839"/>
      <c r="IRP155" s="839"/>
      <c r="IRQ155" s="839"/>
      <c r="IRR155" s="839"/>
      <c r="IRS155" s="839"/>
      <c r="IRT155" s="839"/>
      <c r="IRU155" s="839"/>
      <c r="IRV155" s="839"/>
      <c r="IRW155" s="839"/>
      <c r="IRX155" s="839"/>
      <c r="IRY155" s="839"/>
      <c r="IRZ155" s="839"/>
      <c r="ISA155" s="839"/>
      <c r="ISB155" s="839"/>
      <c r="ISC155" s="839"/>
      <c r="ISD155" s="839"/>
      <c r="ISE155" s="839"/>
      <c r="ISF155" s="839"/>
      <c r="ISG155" s="839"/>
      <c r="ISH155" s="839"/>
      <c r="ISI155" s="839"/>
      <c r="ISJ155" s="839"/>
      <c r="ISK155" s="839"/>
      <c r="ISL155" s="839"/>
      <c r="ISM155" s="839"/>
      <c r="ISN155" s="839"/>
      <c r="ISO155" s="839"/>
      <c r="ISP155" s="839"/>
      <c r="ISQ155" s="839"/>
      <c r="ISR155" s="839"/>
      <c r="ISS155" s="839"/>
      <c r="IST155" s="839"/>
      <c r="ISU155" s="839"/>
      <c r="ISV155" s="839"/>
      <c r="ISW155" s="839"/>
      <c r="ISX155" s="839"/>
      <c r="ISY155" s="839"/>
      <c r="ISZ155" s="839"/>
      <c r="ITA155" s="839"/>
      <c r="ITB155" s="839"/>
      <c r="ITC155" s="839"/>
      <c r="ITD155" s="839"/>
      <c r="ITE155" s="839"/>
      <c r="ITF155" s="839"/>
      <c r="ITG155" s="839"/>
      <c r="ITH155" s="839"/>
      <c r="ITI155" s="839"/>
      <c r="ITJ155" s="839"/>
      <c r="ITK155" s="839"/>
      <c r="ITL155" s="839"/>
      <c r="ITM155" s="839"/>
      <c r="ITN155" s="839"/>
      <c r="ITO155" s="839"/>
      <c r="ITP155" s="839"/>
      <c r="ITQ155" s="839"/>
      <c r="ITR155" s="839"/>
      <c r="ITS155" s="839"/>
      <c r="ITT155" s="839"/>
      <c r="ITU155" s="839"/>
      <c r="ITV155" s="839"/>
      <c r="ITW155" s="839"/>
      <c r="ITX155" s="839"/>
      <c r="ITY155" s="839"/>
      <c r="ITZ155" s="839"/>
      <c r="IUA155" s="839"/>
      <c r="IUB155" s="839"/>
      <c r="IUC155" s="839"/>
      <c r="IUD155" s="839"/>
      <c r="IUE155" s="839"/>
      <c r="IUF155" s="839"/>
      <c r="IUG155" s="839"/>
      <c r="IUH155" s="839"/>
      <c r="IUI155" s="839"/>
      <c r="IUJ155" s="839"/>
      <c r="IUK155" s="839"/>
      <c r="IUL155" s="839"/>
      <c r="IUM155" s="839"/>
      <c r="IUN155" s="839"/>
      <c r="IUO155" s="839"/>
      <c r="IUP155" s="839"/>
      <c r="IUQ155" s="839"/>
      <c r="IUR155" s="839"/>
      <c r="IUS155" s="839"/>
      <c r="IUT155" s="839"/>
      <c r="IUU155" s="839"/>
      <c r="IUV155" s="839"/>
      <c r="IUW155" s="839"/>
      <c r="IUX155" s="839"/>
      <c r="IUY155" s="839"/>
      <c r="IUZ155" s="839"/>
      <c r="IVA155" s="839"/>
      <c r="IVB155" s="839"/>
      <c r="IVC155" s="839"/>
      <c r="IVD155" s="839"/>
      <c r="IVE155" s="839"/>
      <c r="IVF155" s="839"/>
      <c r="IVG155" s="839"/>
      <c r="IVH155" s="839"/>
      <c r="IVI155" s="839"/>
      <c r="IVJ155" s="839"/>
      <c r="IVK155" s="839"/>
      <c r="IVL155" s="839"/>
      <c r="IVM155" s="839"/>
      <c r="IVN155" s="839"/>
      <c r="IVO155" s="839"/>
      <c r="IVP155" s="839"/>
      <c r="IVQ155" s="839"/>
      <c r="IVR155" s="839"/>
      <c r="IVS155" s="839"/>
      <c r="IVT155" s="839"/>
      <c r="IVU155" s="839"/>
      <c r="IVV155" s="839"/>
      <c r="IVW155" s="839"/>
      <c r="IVX155" s="839"/>
      <c r="IVY155" s="839"/>
      <c r="IVZ155" s="839"/>
      <c r="IWA155" s="839"/>
      <c r="IWB155" s="839"/>
      <c r="IWC155" s="839"/>
      <c r="IWD155" s="839"/>
      <c r="IWE155" s="839"/>
      <c r="IWF155" s="839"/>
      <c r="IWG155" s="839"/>
      <c r="IWH155" s="839"/>
      <c r="IWI155" s="839"/>
      <c r="IWJ155" s="839"/>
      <c r="IWK155" s="839"/>
      <c r="IWL155" s="839"/>
      <c r="IWM155" s="839"/>
      <c r="IWN155" s="839"/>
      <c r="IWO155" s="839"/>
      <c r="IWP155" s="839"/>
      <c r="IWQ155" s="839"/>
      <c r="IWR155" s="839"/>
      <c r="IWS155" s="839"/>
      <c r="IWT155" s="839"/>
      <c r="IWU155" s="839"/>
      <c r="IWV155" s="839"/>
      <c r="IWW155" s="839"/>
      <c r="IWX155" s="839"/>
      <c r="IWY155" s="839"/>
      <c r="IWZ155" s="839"/>
      <c r="IXA155" s="839"/>
      <c r="IXB155" s="839"/>
      <c r="IXC155" s="839"/>
      <c r="IXD155" s="839"/>
      <c r="IXE155" s="839"/>
      <c r="IXF155" s="839"/>
      <c r="IXG155" s="839"/>
      <c r="IXH155" s="839"/>
      <c r="IXI155" s="839"/>
      <c r="IXJ155" s="839"/>
      <c r="IXK155" s="839"/>
      <c r="IXL155" s="839"/>
      <c r="IXM155" s="839"/>
      <c r="IXN155" s="839"/>
      <c r="IXO155" s="839"/>
      <c r="IXP155" s="839"/>
      <c r="IXQ155" s="839"/>
      <c r="IXR155" s="839"/>
      <c r="IXS155" s="839"/>
      <c r="IXT155" s="839"/>
      <c r="IXU155" s="839"/>
      <c r="IXV155" s="839"/>
      <c r="IXW155" s="839"/>
      <c r="IXX155" s="839"/>
      <c r="IXY155" s="839"/>
      <c r="IXZ155" s="839"/>
      <c r="IYA155" s="839"/>
      <c r="IYB155" s="839"/>
      <c r="IYC155" s="839"/>
      <c r="IYD155" s="839"/>
      <c r="IYE155" s="839"/>
      <c r="IYF155" s="839"/>
      <c r="IYG155" s="839"/>
      <c r="IYH155" s="839"/>
      <c r="IYI155" s="839"/>
      <c r="IYJ155" s="839"/>
      <c r="IYK155" s="839"/>
      <c r="IYL155" s="839"/>
      <c r="IYM155" s="839"/>
      <c r="IYN155" s="839"/>
      <c r="IYO155" s="839"/>
      <c r="IYP155" s="839"/>
      <c r="IYQ155" s="839"/>
      <c r="IYR155" s="839"/>
      <c r="IYS155" s="839"/>
      <c r="IYT155" s="839"/>
      <c r="IYU155" s="839"/>
      <c r="IYV155" s="839"/>
      <c r="IYW155" s="839"/>
      <c r="IYX155" s="839"/>
      <c r="IYY155" s="839"/>
      <c r="IYZ155" s="839"/>
      <c r="IZA155" s="839"/>
      <c r="IZB155" s="839"/>
      <c r="IZC155" s="839"/>
      <c r="IZD155" s="839"/>
      <c r="IZE155" s="839"/>
      <c r="IZF155" s="839"/>
      <c r="IZG155" s="839"/>
      <c r="IZH155" s="839"/>
      <c r="IZI155" s="839"/>
      <c r="IZJ155" s="839"/>
      <c r="IZK155" s="839"/>
      <c r="IZL155" s="839"/>
      <c r="IZM155" s="839"/>
      <c r="IZN155" s="839"/>
      <c r="IZO155" s="839"/>
      <c r="IZP155" s="839"/>
      <c r="IZQ155" s="839"/>
      <c r="IZR155" s="839"/>
      <c r="IZS155" s="839"/>
      <c r="IZT155" s="839"/>
      <c r="IZU155" s="839"/>
      <c r="IZV155" s="839"/>
      <c r="IZW155" s="839"/>
      <c r="IZX155" s="839"/>
      <c r="IZY155" s="839"/>
      <c r="IZZ155" s="839"/>
      <c r="JAA155" s="839"/>
      <c r="JAB155" s="839"/>
      <c r="JAC155" s="839"/>
      <c r="JAD155" s="839"/>
      <c r="JAE155" s="839"/>
      <c r="JAF155" s="839"/>
      <c r="JAG155" s="839"/>
      <c r="JAH155" s="839"/>
      <c r="JAI155" s="839"/>
      <c r="JAJ155" s="839"/>
      <c r="JAK155" s="839"/>
      <c r="JAL155" s="839"/>
      <c r="JAM155" s="839"/>
      <c r="JAN155" s="839"/>
      <c r="JAO155" s="839"/>
      <c r="JAP155" s="839"/>
      <c r="JAQ155" s="839"/>
      <c r="JAR155" s="839"/>
      <c r="JAS155" s="839"/>
      <c r="JAT155" s="839"/>
      <c r="JAU155" s="839"/>
      <c r="JAV155" s="839"/>
      <c r="JAW155" s="839"/>
      <c r="JAX155" s="839"/>
      <c r="JAY155" s="839"/>
      <c r="JAZ155" s="839"/>
      <c r="JBA155" s="839"/>
      <c r="JBB155" s="839"/>
      <c r="JBC155" s="839"/>
      <c r="JBD155" s="839"/>
      <c r="JBE155" s="839"/>
      <c r="JBF155" s="839"/>
      <c r="JBG155" s="839"/>
      <c r="JBH155" s="839"/>
      <c r="JBI155" s="839"/>
      <c r="JBJ155" s="839"/>
      <c r="JBK155" s="839"/>
      <c r="JBL155" s="839"/>
      <c r="JBM155" s="839"/>
      <c r="JBN155" s="839"/>
      <c r="JBO155" s="839"/>
      <c r="JBP155" s="839"/>
      <c r="JBQ155" s="839"/>
      <c r="JBR155" s="839"/>
      <c r="JBS155" s="839"/>
      <c r="JBT155" s="839"/>
      <c r="JBU155" s="839"/>
      <c r="JBV155" s="839"/>
      <c r="JBW155" s="839"/>
      <c r="JBX155" s="839"/>
      <c r="JBY155" s="839"/>
      <c r="JBZ155" s="839"/>
      <c r="JCA155" s="839"/>
      <c r="JCB155" s="839"/>
      <c r="JCC155" s="839"/>
      <c r="JCD155" s="839"/>
      <c r="JCE155" s="839"/>
      <c r="JCF155" s="839"/>
      <c r="JCG155" s="839"/>
      <c r="JCH155" s="839"/>
      <c r="JCI155" s="839"/>
      <c r="JCJ155" s="839"/>
      <c r="JCK155" s="839"/>
      <c r="JCL155" s="839"/>
      <c r="JCM155" s="839"/>
      <c r="JCN155" s="839"/>
      <c r="JCO155" s="839"/>
      <c r="JCP155" s="839"/>
      <c r="JCQ155" s="839"/>
      <c r="JCR155" s="839"/>
      <c r="JCS155" s="839"/>
      <c r="JCT155" s="839"/>
      <c r="JCU155" s="839"/>
      <c r="JCV155" s="839"/>
      <c r="JCW155" s="839"/>
      <c r="JCX155" s="839"/>
      <c r="JCY155" s="839"/>
      <c r="JCZ155" s="839"/>
      <c r="JDA155" s="839"/>
      <c r="JDB155" s="839"/>
      <c r="JDC155" s="839"/>
      <c r="JDD155" s="839"/>
      <c r="JDE155" s="839"/>
      <c r="JDF155" s="839"/>
      <c r="JDG155" s="839"/>
      <c r="JDH155" s="839"/>
      <c r="JDI155" s="839"/>
      <c r="JDJ155" s="839"/>
      <c r="JDK155" s="839"/>
      <c r="JDL155" s="839"/>
      <c r="JDM155" s="839"/>
      <c r="JDN155" s="839"/>
      <c r="JDO155" s="839"/>
      <c r="JDP155" s="839"/>
      <c r="JDQ155" s="839"/>
      <c r="JDR155" s="839"/>
      <c r="JDS155" s="839"/>
      <c r="JDT155" s="839"/>
      <c r="JDU155" s="839"/>
      <c r="JDV155" s="839"/>
      <c r="JDW155" s="839"/>
      <c r="JDX155" s="839"/>
      <c r="JDY155" s="839"/>
      <c r="JDZ155" s="839"/>
      <c r="JEA155" s="839"/>
      <c r="JEB155" s="839"/>
      <c r="JEC155" s="839"/>
      <c r="JED155" s="839"/>
      <c r="JEE155" s="839"/>
      <c r="JEF155" s="839"/>
      <c r="JEG155" s="839"/>
      <c r="JEH155" s="839"/>
      <c r="JEI155" s="839"/>
      <c r="JEJ155" s="839"/>
      <c r="JEK155" s="839"/>
      <c r="JEL155" s="839"/>
      <c r="JEM155" s="839"/>
      <c r="JEN155" s="839"/>
      <c r="JEO155" s="839"/>
      <c r="JEP155" s="839"/>
      <c r="JEQ155" s="839"/>
      <c r="JER155" s="839"/>
      <c r="JES155" s="839"/>
      <c r="JET155" s="839"/>
      <c r="JEU155" s="839"/>
      <c r="JEV155" s="839"/>
      <c r="JEW155" s="839"/>
      <c r="JEX155" s="839"/>
      <c r="JEY155" s="839"/>
      <c r="JEZ155" s="839"/>
      <c r="JFA155" s="839"/>
      <c r="JFB155" s="839"/>
      <c r="JFC155" s="839"/>
      <c r="JFD155" s="839"/>
      <c r="JFE155" s="839"/>
      <c r="JFF155" s="839"/>
      <c r="JFG155" s="839"/>
      <c r="JFH155" s="839"/>
      <c r="JFI155" s="839"/>
      <c r="JFJ155" s="839"/>
      <c r="JFK155" s="839"/>
      <c r="JFL155" s="839"/>
      <c r="JFM155" s="839"/>
      <c r="JFN155" s="839"/>
      <c r="JFO155" s="839"/>
      <c r="JFP155" s="839"/>
      <c r="JFQ155" s="839"/>
      <c r="JFR155" s="839"/>
      <c r="JFS155" s="839"/>
      <c r="JFT155" s="839"/>
      <c r="JFU155" s="839"/>
      <c r="JFV155" s="839"/>
      <c r="JFW155" s="839"/>
      <c r="JFX155" s="839"/>
      <c r="JFY155" s="839"/>
      <c r="JFZ155" s="839"/>
      <c r="JGA155" s="839"/>
      <c r="JGB155" s="839"/>
      <c r="JGC155" s="839"/>
      <c r="JGD155" s="839"/>
      <c r="JGE155" s="839"/>
      <c r="JGF155" s="839"/>
      <c r="JGG155" s="839"/>
      <c r="JGH155" s="839"/>
      <c r="JGI155" s="839"/>
      <c r="JGJ155" s="839"/>
      <c r="JGK155" s="839"/>
      <c r="JGL155" s="839"/>
      <c r="JGM155" s="839"/>
      <c r="JGN155" s="839"/>
      <c r="JGO155" s="839"/>
      <c r="JGP155" s="839"/>
      <c r="JGQ155" s="839"/>
      <c r="JGR155" s="839"/>
      <c r="JGS155" s="839"/>
      <c r="JGT155" s="839"/>
      <c r="JGU155" s="839"/>
      <c r="JGV155" s="839"/>
      <c r="JGW155" s="839"/>
      <c r="JGX155" s="839"/>
      <c r="JGY155" s="839"/>
      <c r="JGZ155" s="839"/>
      <c r="JHA155" s="839"/>
      <c r="JHB155" s="839"/>
      <c r="JHC155" s="839"/>
      <c r="JHD155" s="839"/>
      <c r="JHE155" s="839"/>
      <c r="JHF155" s="839"/>
      <c r="JHG155" s="839"/>
      <c r="JHH155" s="839"/>
      <c r="JHI155" s="839"/>
      <c r="JHJ155" s="839"/>
      <c r="JHK155" s="839"/>
      <c r="JHL155" s="839"/>
      <c r="JHM155" s="839"/>
      <c r="JHN155" s="839"/>
      <c r="JHO155" s="839"/>
      <c r="JHP155" s="839"/>
      <c r="JHQ155" s="839"/>
      <c r="JHR155" s="839"/>
      <c r="JHS155" s="839"/>
      <c r="JHT155" s="839"/>
      <c r="JHU155" s="839"/>
      <c r="JHV155" s="839"/>
      <c r="JHW155" s="839"/>
      <c r="JHX155" s="839"/>
      <c r="JHY155" s="839"/>
      <c r="JHZ155" s="839"/>
      <c r="JIA155" s="839"/>
      <c r="JIB155" s="839"/>
      <c r="JIC155" s="839"/>
      <c r="JID155" s="839"/>
      <c r="JIE155" s="839"/>
      <c r="JIF155" s="839"/>
      <c r="JIG155" s="839"/>
      <c r="JIH155" s="839"/>
      <c r="JII155" s="839"/>
      <c r="JIJ155" s="839"/>
      <c r="JIK155" s="839"/>
      <c r="JIL155" s="839"/>
      <c r="JIM155" s="839"/>
      <c r="JIN155" s="839"/>
      <c r="JIO155" s="839"/>
      <c r="JIP155" s="839"/>
      <c r="JIQ155" s="839"/>
      <c r="JIR155" s="839"/>
      <c r="JIS155" s="839"/>
      <c r="JIT155" s="839"/>
      <c r="JIU155" s="839"/>
      <c r="JIV155" s="839"/>
      <c r="JIW155" s="839"/>
      <c r="JIX155" s="839"/>
      <c r="JIY155" s="839"/>
      <c r="JIZ155" s="839"/>
      <c r="JJA155" s="839"/>
      <c r="JJB155" s="839"/>
      <c r="JJC155" s="839"/>
      <c r="JJD155" s="839"/>
      <c r="JJE155" s="839"/>
      <c r="JJF155" s="839"/>
      <c r="JJG155" s="839"/>
      <c r="JJH155" s="839"/>
      <c r="JJI155" s="839"/>
      <c r="JJJ155" s="839"/>
      <c r="JJK155" s="839"/>
      <c r="JJL155" s="839"/>
      <c r="JJM155" s="839"/>
      <c r="JJN155" s="839"/>
      <c r="JJO155" s="839"/>
      <c r="JJP155" s="839"/>
      <c r="JJQ155" s="839"/>
      <c r="JJR155" s="839"/>
      <c r="JJS155" s="839"/>
      <c r="JJT155" s="839"/>
      <c r="JJU155" s="839"/>
      <c r="JJV155" s="839"/>
      <c r="JJW155" s="839"/>
      <c r="JJX155" s="839"/>
      <c r="JJY155" s="839"/>
      <c r="JJZ155" s="839"/>
      <c r="JKA155" s="839"/>
      <c r="JKB155" s="839"/>
      <c r="JKC155" s="839"/>
      <c r="JKD155" s="839"/>
      <c r="JKE155" s="839"/>
      <c r="JKF155" s="839"/>
      <c r="JKG155" s="839"/>
      <c r="JKH155" s="839"/>
      <c r="JKI155" s="839"/>
      <c r="JKJ155" s="839"/>
      <c r="JKK155" s="839"/>
      <c r="JKL155" s="839"/>
      <c r="JKM155" s="839"/>
      <c r="JKN155" s="839"/>
      <c r="JKO155" s="839"/>
      <c r="JKP155" s="839"/>
      <c r="JKQ155" s="839"/>
      <c r="JKR155" s="839"/>
      <c r="JKS155" s="839"/>
      <c r="JKT155" s="839"/>
      <c r="JKU155" s="839"/>
      <c r="JKV155" s="839"/>
      <c r="JKW155" s="839"/>
      <c r="JKX155" s="839"/>
      <c r="JKY155" s="839"/>
      <c r="JKZ155" s="839"/>
      <c r="JLA155" s="839"/>
      <c r="JLB155" s="839"/>
      <c r="JLC155" s="839"/>
      <c r="JLD155" s="839"/>
      <c r="JLE155" s="839"/>
      <c r="JLF155" s="839"/>
      <c r="JLG155" s="839"/>
      <c r="JLH155" s="839"/>
      <c r="JLI155" s="839"/>
      <c r="JLJ155" s="839"/>
      <c r="JLK155" s="839"/>
      <c r="JLL155" s="839"/>
      <c r="JLM155" s="839"/>
      <c r="JLN155" s="839"/>
      <c r="JLO155" s="839"/>
      <c r="JLP155" s="839"/>
      <c r="JLQ155" s="839"/>
      <c r="JLR155" s="839"/>
      <c r="JLS155" s="839"/>
      <c r="JLT155" s="839"/>
      <c r="JLU155" s="839"/>
      <c r="JLV155" s="839"/>
      <c r="JLW155" s="839"/>
      <c r="JLX155" s="839"/>
      <c r="JLY155" s="839"/>
      <c r="JLZ155" s="839"/>
      <c r="JMA155" s="839"/>
      <c r="JMB155" s="839"/>
      <c r="JMC155" s="839"/>
      <c r="JMD155" s="839"/>
      <c r="JME155" s="839"/>
      <c r="JMF155" s="839"/>
      <c r="JMG155" s="839"/>
      <c r="JMH155" s="839"/>
      <c r="JMI155" s="839"/>
      <c r="JMJ155" s="839"/>
      <c r="JMK155" s="839"/>
      <c r="JML155" s="839"/>
      <c r="JMM155" s="839"/>
      <c r="JMN155" s="839"/>
      <c r="JMO155" s="839"/>
      <c r="JMP155" s="839"/>
      <c r="JMQ155" s="839"/>
      <c r="JMR155" s="839"/>
      <c r="JMS155" s="839"/>
      <c r="JMT155" s="839"/>
      <c r="JMU155" s="839"/>
      <c r="JMV155" s="839"/>
      <c r="JMW155" s="839"/>
      <c r="JMX155" s="839"/>
      <c r="JMY155" s="839"/>
      <c r="JMZ155" s="839"/>
      <c r="JNA155" s="839"/>
      <c r="JNB155" s="839"/>
      <c r="JNC155" s="839"/>
      <c r="JND155" s="839"/>
      <c r="JNE155" s="839"/>
      <c r="JNF155" s="839"/>
      <c r="JNG155" s="839"/>
      <c r="JNH155" s="839"/>
      <c r="JNI155" s="839"/>
      <c r="JNJ155" s="839"/>
      <c r="JNK155" s="839"/>
      <c r="JNL155" s="839"/>
      <c r="JNM155" s="839"/>
      <c r="JNN155" s="839"/>
      <c r="JNO155" s="839"/>
      <c r="JNP155" s="839"/>
      <c r="JNQ155" s="839"/>
      <c r="JNR155" s="839"/>
      <c r="JNS155" s="839"/>
      <c r="JNT155" s="839"/>
      <c r="JNU155" s="839"/>
      <c r="JNV155" s="839"/>
      <c r="JNW155" s="839"/>
      <c r="JNX155" s="839"/>
      <c r="JNY155" s="839"/>
      <c r="JNZ155" s="839"/>
      <c r="JOA155" s="839"/>
      <c r="JOB155" s="839"/>
      <c r="JOC155" s="839"/>
      <c r="JOD155" s="839"/>
      <c r="JOE155" s="839"/>
      <c r="JOF155" s="839"/>
      <c r="JOG155" s="839"/>
      <c r="JOH155" s="839"/>
      <c r="JOI155" s="839"/>
      <c r="JOJ155" s="839"/>
      <c r="JOK155" s="839"/>
      <c r="JOL155" s="839"/>
      <c r="JOM155" s="839"/>
      <c r="JON155" s="839"/>
      <c r="JOO155" s="839"/>
      <c r="JOP155" s="839"/>
      <c r="JOQ155" s="839"/>
      <c r="JOR155" s="839"/>
      <c r="JOS155" s="839"/>
      <c r="JOT155" s="839"/>
      <c r="JOU155" s="839"/>
      <c r="JOV155" s="839"/>
      <c r="JOW155" s="839"/>
      <c r="JOX155" s="839"/>
      <c r="JOY155" s="839"/>
      <c r="JOZ155" s="839"/>
      <c r="JPA155" s="839"/>
      <c r="JPB155" s="839"/>
      <c r="JPC155" s="839"/>
      <c r="JPD155" s="839"/>
      <c r="JPE155" s="839"/>
      <c r="JPF155" s="839"/>
      <c r="JPG155" s="839"/>
      <c r="JPH155" s="839"/>
      <c r="JPI155" s="839"/>
      <c r="JPJ155" s="839"/>
      <c r="JPK155" s="839"/>
      <c r="JPL155" s="839"/>
      <c r="JPM155" s="839"/>
      <c r="JPN155" s="839"/>
      <c r="JPO155" s="839"/>
      <c r="JPP155" s="839"/>
      <c r="JPQ155" s="839"/>
      <c r="JPR155" s="839"/>
      <c r="JPS155" s="839"/>
      <c r="JPT155" s="839"/>
      <c r="JPU155" s="839"/>
      <c r="JPV155" s="839"/>
      <c r="JPW155" s="839"/>
      <c r="JPX155" s="839"/>
      <c r="JPY155" s="839"/>
      <c r="JPZ155" s="839"/>
      <c r="JQA155" s="839"/>
      <c r="JQB155" s="839"/>
      <c r="JQC155" s="839"/>
      <c r="JQD155" s="839"/>
      <c r="JQE155" s="839"/>
      <c r="JQF155" s="839"/>
      <c r="JQG155" s="839"/>
      <c r="JQH155" s="839"/>
      <c r="JQI155" s="839"/>
      <c r="JQJ155" s="839"/>
      <c r="JQK155" s="839"/>
      <c r="JQL155" s="839"/>
      <c r="JQM155" s="839"/>
      <c r="JQN155" s="839"/>
      <c r="JQO155" s="839"/>
      <c r="JQP155" s="839"/>
      <c r="JQQ155" s="839"/>
      <c r="JQR155" s="839"/>
      <c r="JQS155" s="839"/>
      <c r="JQT155" s="839"/>
      <c r="JQU155" s="839"/>
      <c r="JQV155" s="839"/>
      <c r="JQW155" s="839"/>
      <c r="JQX155" s="839"/>
      <c r="JQY155" s="839"/>
      <c r="JQZ155" s="839"/>
      <c r="JRA155" s="839"/>
      <c r="JRB155" s="839"/>
      <c r="JRC155" s="839"/>
      <c r="JRD155" s="839"/>
      <c r="JRE155" s="839"/>
      <c r="JRF155" s="839"/>
      <c r="JRG155" s="839"/>
      <c r="JRH155" s="839"/>
      <c r="JRI155" s="839"/>
      <c r="JRJ155" s="839"/>
      <c r="JRK155" s="839"/>
      <c r="JRL155" s="839"/>
      <c r="JRM155" s="839"/>
      <c r="JRN155" s="839"/>
      <c r="JRO155" s="839"/>
      <c r="JRP155" s="839"/>
      <c r="JRQ155" s="839"/>
      <c r="JRR155" s="839"/>
      <c r="JRS155" s="839"/>
      <c r="JRT155" s="839"/>
      <c r="JRU155" s="839"/>
      <c r="JRV155" s="839"/>
      <c r="JRW155" s="839"/>
      <c r="JRX155" s="839"/>
      <c r="JRY155" s="839"/>
      <c r="JRZ155" s="839"/>
      <c r="JSA155" s="839"/>
      <c r="JSB155" s="839"/>
      <c r="JSC155" s="839"/>
      <c r="JSD155" s="839"/>
      <c r="JSE155" s="839"/>
      <c r="JSF155" s="839"/>
      <c r="JSG155" s="839"/>
      <c r="JSH155" s="839"/>
      <c r="JSI155" s="839"/>
      <c r="JSJ155" s="839"/>
      <c r="JSK155" s="839"/>
      <c r="JSL155" s="839"/>
      <c r="JSM155" s="839"/>
      <c r="JSN155" s="839"/>
      <c r="JSO155" s="839"/>
      <c r="JSP155" s="839"/>
      <c r="JSQ155" s="839"/>
      <c r="JSR155" s="839"/>
      <c r="JSS155" s="839"/>
      <c r="JST155" s="839"/>
      <c r="JSU155" s="839"/>
      <c r="JSV155" s="839"/>
      <c r="JSW155" s="839"/>
      <c r="JSX155" s="839"/>
      <c r="JSY155" s="839"/>
      <c r="JSZ155" s="839"/>
      <c r="JTA155" s="839"/>
      <c r="JTB155" s="839"/>
      <c r="JTC155" s="839"/>
      <c r="JTD155" s="839"/>
      <c r="JTE155" s="839"/>
      <c r="JTF155" s="839"/>
      <c r="JTG155" s="839"/>
      <c r="JTH155" s="839"/>
      <c r="JTI155" s="839"/>
      <c r="JTJ155" s="839"/>
      <c r="JTK155" s="839"/>
      <c r="JTL155" s="839"/>
      <c r="JTM155" s="839"/>
      <c r="JTN155" s="839"/>
      <c r="JTO155" s="839"/>
      <c r="JTP155" s="839"/>
      <c r="JTQ155" s="839"/>
      <c r="JTR155" s="839"/>
      <c r="JTS155" s="839"/>
      <c r="JTT155" s="839"/>
      <c r="JTU155" s="839"/>
      <c r="JTV155" s="839"/>
      <c r="JTW155" s="839"/>
      <c r="JTX155" s="839"/>
      <c r="JTY155" s="839"/>
      <c r="JTZ155" s="839"/>
      <c r="JUA155" s="839"/>
      <c r="JUB155" s="839"/>
      <c r="JUC155" s="839"/>
      <c r="JUD155" s="839"/>
      <c r="JUE155" s="839"/>
      <c r="JUF155" s="839"/>
      <c r="JUG155" s="839"/>
      <c r="JUH155" s="839"/>
      <c r="JUI155" s="839"/>
      <c r="JUJ155" s="839"/>
      <c r="JUK155" s="839"/>
      <c r="JUL155" s="839"/>
      <c r="JUM155" s="839"/>
      <c r="JUN155" s="839"/>
      <c r="JUO155" s="839"/>
      <c r="JUP155" s="839"/>
      <c r="JUQ155" s="839"/>
      <c r="JUR155" s="839"/>
      <c r="JUS155" s="839"/>
      <c r="JUT155" s="839"/>
      <c r="JUU155" s="839"/>
      <c r="JUV155" s="839"/>
      <c r="JUW155" s="839"/>
      <c r="JUX155" s="839"/>
      <c r="JUY155" s="839"/>
      <c r="JUZ155" s="839"/>
      <c r="JVA155" s="839"/>
      <c r="JVB155" s="839"/>
      <c r="JVC155" s="839"/>
      <c r="JVD155" s="839"/>
      <c r="JVE155" s="839"/>
      <c r="JVF155" s="839"/>
      <c r="JVG155" s="839"/>
      <c r="JVH155" s="839"/>
      <c r="JVI155" s="839"/>
      <c r="JVJ155" s="839"/>
      <c r="JVK155" s="839"/>
      <c r="JVL155" s="839"/>
      <c r="JVM155" s="839"/>
      <c r="JVN155" s="839"/>
      <c r="JVO155" s="839"/>
      <c r="JVP155" s="839"/>
      <c r="JVQ155" s="839"/>
      <c r="JVR155" s="839"/>
      <c r="JVS155" s="839"/>
      <c r="JVT155" s="839"/>
      <c r="JVU155" s="839"/>
      <c r="JVV155" s="839"/>
      <c r="JVW155" s="839"/>
      <c r="JVX155" s="839"/>
      <c r="JVY155" s="839"/>
      <c r="JVZ155" s="839"/>
      <c r="JWA155" s="839"/>
      <c r="JWB155" s="839"/>
      <c r="JWC155" s="839"/>
      <c r="JWD155" s="839"/>
      <c r="JWE155" s="839"/>
      <c r="JWF155" s="839"/>
      <c r="JWG155" s="839"/>
      <c r="JWH155" s="839"/>
      <c r="JWI155" s="839"/>
      <c r="JWJ155" s="839"/>
      <c r="JWK155" s="839"/>
      <c r="JWL155" s="839"/>
      <c r="JWM155" s="839"/>
      <c r="JWN155" s="839"/>
      <c r="JWO155" s="839"/>
      <c r="JWP155" s="839"/>
      <c r="JWQ155" s="839"/>
      <c r="JWR155" s="839"/>
      <c r="JWS155" s="839"/>
      <c r="JWT155" s="839"/>
      <c r="JWU155" s="839"/>
      <c r="JWV155" s="839"/>
      <c r="JWW155" s="839"/>
      <c r="JWX155" s="839"/>
      <c r="JWY155" s="839"/>
      <c r="JWZ155" s="839"/>
      <c r="JXA155" s="839"/>
      <c r="JXB155" s="839"/>
      <c r="JXC155" s="839"/>
      <c r="JXD155" s="839"/>
      <c r="JXE155" s="839"/>
      <c r="JXF155" s="839"/>
      <c r="JXG155" s="839"/>
      <c r="JXH155" s="839"/>
      <c r="JXI155" s="839"/>
      <c r="JXJ155" s="839"/>
      <c r="JXK155" s="839"/>
      <c r="JXL155" s="839"/>
      <c r="JXM155" s="839"/>
      <c r="JXN155" s="839"/>
      <c r="JXO155" s="839"/>
      <c r="JXP155" s="839"/>
      <c r="JXQ155" s="839"/>
      <c r="JXR155" s="839"/>
      <c r="JXS155" s="839"/>
      <c r="JXT155" s="839"/>
      <c r="JXU155" s="839"/>
      <c r="JXV155" s="839"/>
      <c r="JXW155" s="839"/>
      <c r="JXX155" s="839"/>
      <c r="JXY155" s="839"/>
      <c r="JXZ155" s="839"/>
      <c r="JYA155" s="839"/>
      <c r="JYB155" s="839"/>
      <c r="JYC155" s="839"/>
      <c r="JYD155" s="839"/>
      <c r="JYE155" s="839"/>
      <c r="JYF155" s="839"/>
      <c r="JYG155" s="839"/>
      <c r="JYH155" s="839"/>
      <c r="JYI155" s="839"/>
      <c r="JYJ155" s="839"/>
      <c r="JYK155" s="839"/>
      <c r="JYL155" s="839"/>
      <c r="JYM155" s="839"/>
      <c r="JYN155" s="839"/>
      <c r="JYO155" s="839"/>
      <c r="JYP155" s="839"/>
      <c r="JYQ155" s="839"/>
      <c r="JYR155" s="839"/>
      <c r="JYS155" s="839"/>
      <c r="JYT155" s="839"/>
      <c r="JYU155" s="839"/>
      <c r="JYV155" s="839"/>
      <c r="JYW155" s="839"/>
      <c r="JYX155" s="839"/>
      <c r="JYY155" s="839"/>
      <c r="JYZ155" s="839"/>
      <c r="JZA155" s="839"/>
      <c r="JZB155" s="839"/>
      <c r="JZC155" s="839"/>
      <c r="JZD155" s="839"/>
      <c r="JZE155" s="839"/>
      <c r="JZF155" s="839"/>
      <c r="JZG155" s="839"/>
      <c r="JZH155" s="839"/>
      <c r="JZI155" s="839"/>
      <c r="JZJ155" s="839"/>
      <c r="JZK155" s="839"/>
      <c r="JZL155" s="839"/>
      <c r="JZM155" s="839"/>
      <c r="JZN155" s="839"/>
      <c r="JZO155" s="839"/>
      <c r="JZP155" s="839"/>
      <c r="JZQ155" s="839"/>
      <c r="JZR155" s="839"/>
      <c r="JZS155" s="839"/>
      <c r="JZT155" s="839"/>
      <c r="JZU155" s="839"/>
      <c r="JZV155" s="839"/>
      <c r="JZW155" s="839"/>
      <c r="JZX155" s="839"/>
      <c r="JZY155" s="839"/>
      <c r="JZZ155" s="839"/>
      <c r="KAA155" s="839"/>
      <c r="KAB155" s="839"/>
      <c r="KAC155" s="839"/>
      <c r="KAD155" s="839"/>
      <c r="KAE155" s="839"/>
      <c r="KAF155" s="839"/>
      <c r="KAG155" s="839"/>
      <c r="KAH155" s="839"/>
      <c r="KAI155" s="839"/>
      <c r="KAJ155" s="839"/>
      <c r="KAK155" s="839"/>
      <c r="KAL155" s="839"/>
      <c r="KAM155" s="839"/>
      <c r="KAN155" s="839"/>
      <c r="KAO155" s="839"/>
      <c r="KAP155" s="839"/>
      <c r="KAQ155" s="839"/>
      <c r="KAR155" s="839"/>
      <c r="KAS155" s="839"/>
      <c r="KAT155" s="839"/>
      <c r="KAU155" s="839"/>
      <c r="KAV155" s="839"/>
      <c r="KAW155" s="839"/>
      <c r="KAX155" s="839"/>
      <c r="KAY155" s="839"/>
      <c r="KAZ155" s="839"/>
      <c r="KBA155" s="839"/>
      <c r="KBB155" s="839"/>
      <c r="KBC155" s="839"/>
      <c r="KBD155" s="839"/>
      <c r="KBE155" s="839"/>
      <c r="KBF155" s="839"/>
      <c r="KBG155" s="839"/>
      <c r="KBH155" s="839"/>
      <c r="KBI155" s="839"/>
      <c r="KBJ155" s="839"/>
      <c r="KBK155" s="839"/>
      <c r="KBL155" s="839"/>
      <c r="KBM155" s="839"/>
      <c r="KBN155" s="839"/>
      <c r="KBO155" s="839"/>
      <c r="KBP155" s="839"/>
      <c r="KBQ155" s="839"/>
      <c r="KBR155" s="839"/>
      <c r="KBS155" s="839"/>
      <c r="KBT155" s="839"/>
      <c r="KBU155" s="839"/>
      <c r="KBV155" s="839"/>
      <c r="KBW155" s="839"/>
      <c r="KBX155" s="839"/>
      <c r="KBY155" s="839"/>
      <c r="KBZ155" s="839"/>
      <c r="KCA155" s="839"/>
      <c r="KCB155" s="839"/>
      <c r="KCC155" s="839"/>
      <c r="KCD155" s="839"/>
      <c r="KCE155" s="839"/>
      <c r="KCF155" s="839"/>
      <c r="KCG155" s="839"/>
      <c r="KCH155" s="839"/>
      <c r="KCI155" s="839"/>
      <c r="KCJ155" s="839"/>
      <c r="KCK155" s="839"/>
      <c r="KCL155" s="839"/>
      <c r="KCM155" s="839"/>
      <c r="KCN155" s="839"/>
      <c r="KCO155" s="839"/>
      <c r="KCP155" s="839"/>
      <c r="KCQ155" s="839"/>
      <c r="KCR155" s="839"/>
      <c r="KCS155" s="839"/>
      <c r="KCT155" s="839"/>
      <c r="KCU155" s="839"/>
      <c r="KCV155" s="839"/>
      <c r="KCW155" s="839"/>
      <c r="KCX155" s="839"/>
      <c r="KCY155" s="839"/>
      <c r="KCZ155" s="839"/>
      <c r="KDA155" s="839"/>
      <c r="KDB155" s="839"/>
      <c r="KDC155" s="839"/>
      <c r="KDD155" s="839"/>
      <c r="KDE155" s="839"/>
      <c r="KDF155" s="839"/>
      <c r="KDG155" s="839"/>
      <c r="KDH155" s="839"/>
      <c r="KDI155" s="839"/>
      <c r="KDJ155" s="839"/>
      <c r="KDK155" s="839"/>
      <c r="KDL155" s="839"/>
      <c r="KDM155" s="839"/>
      <c r="KDN155" s="839"/>
      <c r="KDO155" s="839"/>
      <c r="KDP155" s="839"/>
      <c r="KDQ155" s="839"/>
      <c r="KDR155" s="839"/>
      <c r="KDS155" s="839"/>
      <c r="KDT155" s="839"/>
      <c r="KDU155" s="839"/>
      <c r="KDV155" s="839"/>
      <c r="KDW155" s="839"/>
      <c r="KDX155" s="839"/>
      <c r="KDY155" s="839"/>
      <c r="KDZ155" s="839"/>
      <c r="KEA155" s="839"/>
      <c r="KEB155" s="839"/>
      <c r="KEC155" s="839"/>
      <c r="KED155" s="839"/>
      <c r="KEE155" s="839"/>
      <c r="KEF155" s="839"/>
      <c r="KEG155" s="839"/>
      <c r="KEH155" s="839"/>
      <c r="KEI155" s="839"/>
      <c r="KEJ155" s="839"/>
      <c r="KEK155" s="839"/>
      <c r="KEL155" s="839"/>
      <c r="KEM155" s="839"/>
      <c r="KEN155" s="839"/>
      <c r="KEO155" s="839"/>
      <c r="KEP155" s="839"/>
      <c r="KEQ155" s="839"/>
      <c r="KER155" s="839"/>
      <c r="KES155" s="839"/>
      <c r="KET155" s="839"/>
      <c r="KEU155" s="839"/>
      <c r="KEV155" s="839"/>
      <c r="KEW155" s="839"/>
      <c r="KEX155" s="839"/>
      <c r="KEY155" s="839"/>
      <c r="KEZ155" s="839"/>
      <c r="KFA155" s="839"/>
      <c r="KFB155" s="839"/>
      <c r="KFC155" s="839"/>
      <c r="KFD155" s="839"/>
      <c r="KFE155" s="839"/>
      <c r="KFF155" s="839"/>
      <c r="KFG155" s="839"/>
      <c r="KFH155" s="839"/>
      <c r="KFI155" s="839"/>
      <c r="KFJ155" s="839"/>
      <c r="KFK155" s="839"/>
      <c r="KFL155" s="839"/>
      <c r="KFM155" s="839"/>
      <c r="KFN155" s="839"/>
      <c r="KFO155" s="839"/>
      <c r="KFP155" s="839"/>
      <c r="KFQ155" s="839"/>
      <c r="KFR155" s="839"/>
      <c r="KFS155" s="839"/>
      <c r="KFT155" s="839"/>
      <c r="KFU155" s="839"/>
      <c r="KFV155" s="839"/>
      <c r="KFW155" s="839"/>
      <c r="KFX155" s="839"/>
      <c r="KFY155" s="839"/>
      <c r="KFZ155" s="839"/>
      <c r="KGA155" s="839"/>
      <c r="KGB155" s="839"/>
      <c r="KGC155" s="839"/>
      <c r="KGD155" s="839"/>
      <c r="KGE155" s="839"/>
      <c r="KGF155" s="839"/>
      <c r="KGG155" s="839"/>
      <c r="KGH155" s="839"/>
      <c r="KGI155" s="839"/>
      <c r="KGJ155" s="839"/>
      <c r="KGK155" s="839"/>
      <c r="KGL155" s="839"/>
      <c r="KGM155" s="839"/>
      <c r="KGN155" s="839"/>
      <c r="KGO155" s="839"/>
      <c r="KGP155" s="839"/>
      <c r="KGQ155" s="839"/>
      <c r="KGR155" s="839"/>
      <c r="KGS155" s="839"/>
      <c r="KGT155" s="839"/>
      <c r="KGU155" s="839"/>
      <c r="KGV155" s="839"/>
      <c r="KGW155" s="839"/>
      <c r="KGX155" s="839"/>
      <c r="KGY155" s="839"/>
      <c r="KGZ155" s="839"/>
      <c r="KHA155" s="839"/>
      <c r="KHB155" s="839"/>
      <c r="KHC155" s="839"/>
      <c r="KHD155" s="839"/>
      <c r="KHE155" s="839"/>
      <c r="KHF155" s="839"/>
      <c r="KHG155" s="839"/>
      <c r="KHH155" s="839"/>
      <c r="KHI155" s="839"/>
      <c r="KHJ155" s="839"/>
      <c r="KHK155" s="839"/>
      <c r="KHL155" s="839"/>
      <c r="KHM155" s="839"/>
      <c r="KHN155" s="839"/>
      <c r="KHO155" s="839"/>
      <c r="KHP155" s="839"/>
      <c r="KHQ155" s="839"/>
      <c r="KHR155" s="839"/>
      <c r="KHS155" s="839"/>
      <c r="KHT155" s="839"/>
      <c r="KHU155" s="839"/>
      <c r="KHV155" s="839"/>
      <c r="KHW155" s="839"/>
      <c r="KHX155" s="839"/>
      <c r="KHY155" s="839"/>
      <c r="KHZ155" s="839"/>
      <c r="KIA155" s="839"/>
      <c r="KIB155" s="839"/>
      <c r="KIC155" s="839"/>
      <c r="KID155" s="839"/>
      <c r="KIE155" s="839"/>
      <c r="KIF155" s="839"/>
      <c r="KIG155" s="839"/>
      <c r="KIH155" s="839"/>
      <c r="KII155" s="839"/>
      <c r="KIJ155" s="839"/>
      <c r="KIK155" s="839"/>
      <c r="KIL155" s="839"/>
      <c r="KIM155" s="839"/>
      <c r="KIN155" s="839"/>
      <c r="KIO155" s="839"/>
      <c r="KIP155" s="839"/>
      <c r="KIQ155" s="839"/>
      <c r="KIR155" s="839"/>
      <c r="KIS155" s="839"/>
      <c r="KIT155" s="839"/>
      <c r="KIU155" s="839"/>
      <c r="KIV155" s="839"/>
      <c r="KIW155" s="839"/>
      <c r="KIX155" s="839"/>
      <c r="KIY155" s="839"/>
      <c r="KIZ155" s="839"/>
      <c r="KJA155" s="839"/>
      <c r="KJB155" s="839"/>
      <c r="KJC155" s="839"/>
      <c r="KJD155" s="839"/>
      <c r="KJE155" s="839"/>
      <c r="KJF155" s="839"/>
      <c r="KJG155" s="839"/>
      <c r="KJH155" s="839"/>
      <c r="KJI155" s="839"/>
      <c r="KJJ155" s="839"/>
      <c r="KJK155" s="839"/>
      <c r="KJL155" s="839"/>
      <c r="KJM155" s="839"/>
      <c r="KJN155" s="839"/>
      <c r="KJO155" s="839"/>
      <c r="KJP155" s="839"/>
      <c r="KJQ155" s="839"/>
      <c r="KJR155" s="839"/>
      <c r="KJS155" s="839"/>
      <c r="KJT155" s="839"/>
      <c r="KJU155" s="839"/>
      <c r="KJV155" s="839"/>
      <c r="KJW155" s="839"/>
      <c r="KJX155" s="839"/>
      <c r="KJY155" s="839"/>
      <c r="KJZ155" s="839"/>
      <c r="KKA155" s="839"/>
      <c r="KKB155" s="839"/>
      <c r="KKC155" s="839"/>
      <c r="KKD155" s="839"/>
      <c r="KKE155" s="839"/>
      <c r="KKF155" s="839"/>
      <c r="KKG155" s="839"/>
      <c r="KKH155" s="839"/>
      <c r="KKI155" s="839"/>
      <c r="KKJ155" s="839"/>
      <c r="KKK155" s="839"/>
      <c r="KKL155" s="839"/>
      <c r="KKM155" s="839"/>
      <c r="KKN155" s="839"/>
      <c r="KKO155" s="839"/>
      <c r="KKP155" s="839"/>
      <c r="KKQ155" s="839"/>
      <c r="KKR155" s="839"/>
      <c r="KKS155" s="839"/>
      <c r="KKT155" s="839"/>
      <c r="KKU155" s="839"/>
      <c r="KKV155" s="839"/>
      <c r="KKW155" s="839"/>
      <c r="KKX155" s="839"/>
      <c r="KKY155" s="839"/>
      <c r="KKZ155" s="839"/>
      <c r="KLA155" s="839"/>
      <c r="KLB155" s="839"/>
      <c r="KLC155" s="839"/>
      <c r="KLD155" s="839"/>
      <c r="KLE155" s="839"/>
      <c r="KLF155" s="839"/>
      <c r="KLG155" s="839"/>
      <c r="KLH155" s="839"/>
      <c r="KLI155" s="839"/>
      <c r="KLJ155" s="839"/>
      <c r="KLK155" s="839"/>
      <c r="KLL155" s="839"/>
      <c r="KLM155" s="839"/>
      <c r="KLN155" s="839"/>
      <c r="KLO155" s="839"/>
      <c r="KLP155" s="839"/>
      <c r="KLQ155" s="839"/>
      <c r="KLR155" s="839"/>
      <c r="KLS155" s="839"/>
      <c r="KLT155" s="839"/>
      <c r="KLU155" s="839"/>
      <c r="KLV155" s="839"/>
      <c r="KLW155" s="839"/>
      <c r="KLX155" s="839"/>
      <c r="KLY155" s="839"/>
      <c r="KLZ155" s="839"/>
      <c r="KMA155" s="839"/>
      <c r="KMB155" s="839"/>
      <c r="KMC155" s="839"/>
      <c r="KMD155" s="839"/>
      <c r="KME155" s="839"/>
      <c r="KMF155" s="839"/>
      <c r="KMG155" s="839"/>
      <c r="KMH155" s="839"/>
      <c r="KMI155" s="839"/>
      <c r="KMJ155" s="839"/>
      <c r="KMK155" s="839"/>
      <c r="KML155" s="839"/>
      <c r="KMM155" s="839"/>
      <c r="KMN155" s="839"/>
      <c r="KMO155" s="839"/>
      <c r="KMP155" s="839"/>
      <c r="KMQ155" s="839"/>
      <c r="KMR155" s="839"/>
      <c r="KMS155" s="839"/>
      <c r="KMT155" s="839"/>
      <c r="KMU155" s="839"/>
      <c r="KMV155" s="839"/>
      <c r="KMW155" s="839"/>
      <c r="KMX155" s="839"/>
      <c r="KMY155" s="839"/>
      <c r="KMZ155" s="839"/>
      <c r="KNA155" s="839"/>
      <c r="KNB155" s="839"/>
      <c r="KNC155" s="839"/>
      <c r="KND155" s="839"/>
      <c r="KNE155" s="839"/>
      <c r="KNF155" s="839"/>
      <c r="KNG155" s="839"/>
      <c r="KNH155" s="839"/>
      <c r="KNI155" s="839"/>
      <c r="KNJ155" s="839"/>
      <c r="KNK155" s="839"/>
      <c r="KNL155" s="839"/>
      <c r="KNM155" s="839"/>
      <c r="KNN155" s="839"/>
      <c r="KNO155" s="839"/>
      <c r="KNP155" s="839"/>
      <c r="KNQ155" s="839"/>
      <c r="KNR155" s="839"/>
      <c r="KNS155" s="839"/>
      <c r="KNT155" s="839"/>
      <c r="KNU155" s="839"/>
      <c r="KNV155" s="839"/>
      <c r="KNW155" s="839"/>
      <c r="KNX155" s="839"/>
      <c r="KNY155" s="839"/>
      <c r="KNZ155" s="839"/>
      <c r="KOA155" s="839"/>
      <c r="KOB155" s="839"/>
      <c r="KOC155" s="839"/>
      <c r="KOD155" s="839"/>
      <c r="KOE155" s="839"/>
      <c r="KOF155" s="839"/>
      <c r="KOG155" s="839"/>
      <c r="KOH155" s="839"/>
      <c r="KOI155" s="839"/>
      <c r="KOJ155" s="839"/>
      <c r="KOK155" s="839"/>
      <c r="KOL155" s="839"/>
      <c r="KOM155" s="839"/>
      <c r="KON155" s="839"/>
      <c r="KOO155" s="839"/>
      <c r="KOP155" s="839"/>
      <c r="KOQ155" s="839"/>
      <c r="KOR155" s="839"/>
      <c r="KOS155" s="839"/>
      <c r="KOT155" s="839"/>
      <c r="KOU155" s="839"/>
      <c r="KOV155" s="839"/>
      <c r="KOW155" s="839"/>
      <c r="KOX155" s="839"/>
      <c r="KOY155" s="839"/>
      <c r="KOZ155" s="839"/>
      <c r="KPA155" s="839"/>
      <c r="KPB155" s="839"/>
      <c r="KPC155" s="839"/>
      <c r="KPD155" s="839"/>
      <c r="KPE155" s="839"/>
      <c r="KPF155" s="839"/>
      <c r="KPG155" s="839"/>
      <c r="KPH155" s="839"/>
      <c r="KPI155" s="839"/>
      <c r="KPJ155" s="839"/>
      <c r="KPK155" s="839"/>
      <c r="KPL155" s="839"/>
      <c r="KPM155" s="839"/>
      <c r="KPN155" s="839"/>
      <c r="KPO155" s="839"/>
      <c r="KPP155" s="839"/>
      <c r="KPQ155" s="839"/>
      <c r="KPR155" s="839"/>
      <c r="KPS155" s="839"/>
      <c r="KPT155" s="839"/>
      <c r="KPU155" s="839"/>
      <c r="KPV155" s="839"/>
      <c r="KPW155" s="839"/>
      <c r="KPX155" s="839"/>
      <c r="KPY155" s="839"/>
      <c r="KPZ155" s="839"/>
      <c r="KQA155" s="839"/>
      <c r="KQB155" s="839"/>
      <c r="KQC155" s="839"/>
      <c r="KQD155" s="839"/>
      <c r="KQE155" s="839"/>
      <c r="KQF155" s="839"/>
      <c r="KQG155" s="839"/>
      <c r="KQH155" s="839"/>
      <c r="KQI155" s="839"/>
      <c r="KQJ155" s="839"/>
      <c r="KQK155" s="839"/>
      <c r="KQL155" s="839"/>
      <c r="KQM155" s="839"/>
      <c r="KQN155" s="839"/>
      <c r="KQO155" s="839"/>
      <c r="KQP155" s="839"/>
      <c r="KQQ155" s="839"/>
      <c r="KQR155" s="839"/>
      <c r="KQS155" s="839"/>
      <c r="KQT155" s="839"/>
      <c r="KQU155" s="839"/>
      <c r="KQV155" s="839"/>
      <c r="KQW155" s="839"/>
      <c r="KQX155" s="839"/>
      <c r="KQY155" s="839"/>
      <c r="KQZ155" s="839"/>
      <c r="KRA155" s="839"/>
      <c r="KRB155" s="839"/>
      <c r="KRC155" s="839"/>
      <c r="KRD155" s="839"/>
      <c r="KRE155" s="839"/>
      <c r="KRF155" s="839"/>
      <c r="KRG155" s="839"/>
      <c r="KRH155" s="839"/>
      <c r="KRI155" s="839"/>
      <c r="KRJ155" s="839"/>
      <c r="KRK155" s="839"/>
      <c r="KRL155" s="839"/>
      <c r="KRM155" s="839"/>
      <c r="KRN155" s="839"/>
      <c r="KRO155" s="839"/>
      <c r="KRP155" s="839"/>
      <c r="KRQ155" s="839"/>
      <c r="KRR155" s="839"/>
      <c r="KRS155" s="839"/>
      <c r="KRT155" s="839"/>
      <c r="KRU155" s="839"/>
      <c r="KRV155" s="839"/>
      <c r="KRW155" s="839"/>
      <c r="KRX155" s="839"/>
      <c r="KRY155" s="839"/>
      <c r="KRZ155" s="839"/>
      <c r="KSA155" s="839"/>
      <c r="KSB155" s="839"/>
      <c r="KSC155" s="839"/>
      <c r="KSD155" s="839"/>
      <c r="KSE155" s="839"/>
      <c r="KSF155" s="839"/>
      <c r="KSG155" s="839"/>
      <c r="KSH155" s="839"/>
      <c r="KSI155" s="839"/>
      <c r="KSJ155" s="839"/>
      <c r="KSK155" s="839"/>
      <c r="KSL155" s="839"/>
      <c r="KSM155" s="839"/>
      <c r="KSN155" s="839"/>
      <c r="KSO155" s="839"/>
      <c r="KSP155" s="839"/>
      <c r="KSQ155" s="839"/>
      <c r="KSR155" s="839"/>
      <c r="KSS155" s="839"/>
      <c r="KST155" s="839"/>
      <c r="KSU155" s="839"/>
      <c r="KSV155" s="839"/>
      <c r="KSW155" s="839"/>
      <c r="KSX155" s="839"/>
      <c r="KSY155" s="839"/>
      <c r="KSZ155" s="839"/>
      <c r="KTA155" s="839"/>
      <c r="KTB155" s="839"/>
      <c r="KTC155" s="839"/>
      <c r="KTD155" s="839"/>
      <c r="KTE155" s="839"/>
      <c r="KTF155" s="839"/>
      <c r="KTG155" s="839"/>
      <c r="KTH155" s="839"/>
      <c r="KTI155" s="839"/>
      <c r="KTJ155" s="839"/>
      <c r="KTK155" s="839"/>
      <c r="KTL155" s="839"/>
      <c r="KTM155" s="839"/>
      <c r="KTN155" s="839"/>
      <c r="KTO155" s="839"/>
      <c r="KTP155" s="839"/>
      <c r="KTQ155" s="839"/>
      <c r="KTR155" s="839"/>
      <c r="KTS155" s="839"/>
      <c r="KTT155" s="839"/>
      <c r="KTU155" s="839"/>
      <c r="KTV155" s="839"/>
      <c r="KTW155" s="839"/>
      <c r="KTX155" s="839"/>
      <c r="KTY155" s="839"/>
      <c r="KTZ155" s="839"/>
      <c r="KUA155" s="839"/>
      <c r="KUB155" s="839"/>
      <c r="KUC155" s="839"/>
      <c r="KUD155" s="839"/>
      <c r="KUE155" s="839"/>
      <c r="KUF155" s="839"/>
      <c r="KUG155" s="839"/>
      <c r="KUH155" s="839"/>
      <c r="KUI155" s="839"/>
      <c r="KUJ155" s="839"/>
      <c r="KUK155" s="839"/>
      <c r="KUL155" s="839"/>
      <c r="KUM155" s="839"/>
      <c r="KUN155" s="839"/>
      <c r="KUO155" s="839"/>
      <c r="KUP155" s="839"/>
      <c r="KUQ155" s="839"/>
      <c r="KUR155" s="839"/>
      <c r="KUS155" s="839"/>
      <c r="KUT155" s="839"/>
      <c r="KUU155" s="839"/>
      <c r="KUV155" s="839"/>
      <c r="KUW155" s="839"/>
      <c r="KUX155" s="839"/>
      <c r="KUY155" s="839"/>
      <c r="KUZ155" s="839"/>
      <c r="KVA155" s="839"/>
      <c r="KVB155" s="839"/>
      <c r="KVC155" s="839"/>
      <c r="KVD155" s="839"/>
      <c r="KVE155" s="839"/>
      <c r="KVF155" s="839"/>
      <c r="KVG155" s="839"/>
      <c r="KVH155" s="839"/>
      <c r="KVI155" s="839"/>
      <c r="KVJ155" s="839"/>
      <c r="KVK155" s="839"/>
      <c r="KVL155" s="839"/>
      <c r="KVM155" s="839"/>
      <c r="KVN155" s="839"/>
      <c r="KVO155" s="839"/>
      <c r="KVP155" s="839"/>
      <c r="KVQ155" s="839"/>
      <c r="KVR155" s="839"/>
      <c r="KVS155" s="839"/>
      <c r="KVT155" s="839"/>
      <c r="KVU155" s="839"/>
      <c r="KVV155" s="839"/>
      <c r="KVW155" s="839"/>
      <c r="KVX155" s="839"/>
      <c r="KVY155" s="839"/>
      <c r="KVZ155" s="839"/>
      <c r="KWA155" s="839"/>
      <c r="KWB155" s="839"/>
      <c r="KWC155" s="839"/>
      <c r="KWD155" s="839"/>
      <c r="KWE155" s="839"/>
      <c r="KWF155" s="839"/>
      <c r="KWG155" s="839"/>
      <c r="KWH155" s="839"/>
      <c r="KWI155" s="839"/>
      <c r="KWJ155" s="839"/>
      <c r="KWK155" s="839"/>
      <c r="KWL155" s="839"/>
      <c r="KWM155" s="839"/>
      <c r="KWN155" s="839"/>
      <c r="KWO155" s="839"/>
      <c r="KWP155" s="839"/>
      <c r="KWQ155" s="839"/>
      <c r="KWR155" s="839"/>
      <c r="KWS155" s="839"/>
      <c r="KWT155" s="839"/>
      <c r="KWU155" s="839"/>
      <c r="KWV155" s="839"/>
      <c r="KWW155" s="839"/>
      <c r="KWX155" s="839"/>
      <c r="KWY155" s="839"/>
      <c r="KWZ155" s="839"/>
      <c r="KXA155" s="839"/>
      <c r="KXB155" s="839"/>
      <c r="KXC155" s="839"/>
      <c r="KXD155" s="839"/>
      <c r="KXE155" s="839"/>
      <c r="KXF155" s="839"/>
      <c r="KXG155" s="839"/>
      <c r="KXH155" s="839"/>
      <c r="KXI155" s="839"/>
      <c r="KXJ155" s="839"/>
      <c r="KXK155" s="839"/>
      <c r="KXL155" s="839"/>
      <c r="KXM155" s="839"/>
      <c r="KXN155" s="839"/>
      <c r="KXO155" s="839"/>
      <c r="KXP155" s="839"/>
      <c r="KXQ155" s="839"/>
      <c r="KXR155" s="839"/>
      <c r="KXS155" s="839"/>
      <c r="KXT155" s="839"/>
      <c r="KXU155" s="839"/>
      <c r="KXV155" s="839"/>
      <c r="KXW155" s="839"/>
      <c r="KXX155" s="839"/>
      <c r="KXY155" s="839"/>
      <c r="KXZ155" s="839"/>
      <c r="KYA155" s="839"/>
      <c r="KYB155" s="839"/>
      <c r="KYC155" s="839"/>
      <c r="KYD155" s="839"/>
      <c r="KYE155" s="839"/>
      <c r="KYF155" s="839"/>
      <c r="KYG155" s="839"/>
      <c r="KYH155" s="839"/>
      <c r="KYI155" s="839"/>
      <c r="KYJ155" s="839"/>
      <c r="KYK155" s="839"/>
      <c r="KYL155" s="839"/>
      <c r="KYM155" s="839"/>
      <c r="KYN155" s="839"/>
      <c r="KYO155" s="839"/>
      <c r="KYP155" s="839"/>
      <c r="KYQ155" s="839"/>
      <c r="KYR155" s="839"/>
      <c r="KYS155" s="839"/>
      <c r="KYT155" s="839"/>
      <c r="KYU155" s="839"/>
      <c r="KYV155" s="839"/>
      <c r="KYW155" s="839"/>
      <c r="KYX155" s="839"/>
      <c r="KYY155" s="839"/>
      <c r="KYZ155" s="839"/>
      <c r="KZA155" s="839"/>
      <c r="KZB155" s="839"/>
      <c r="KZC155" s="839"/>
      <c r="KZD155" s="839"/>
      <c r="KZE155" s="839"/>
      <c r="KZF155" s="839"/>
      <c r="KZG155" s="839"/>
      <c r="KZH155" s="839"/>
      <c r="KZI155" s="839"/>
      <c r="KZJ155" s="839"/>
      <c r="KZK155" s="839"/>
      <c r="KZL155" s="839"/>
      <c r="KZM155" s="839"/>
      <c r="KZN155" s="839"/>
      <c r="KZO155" s="839"/>
      <c r="KZP155" s="839"/>
      <c r="KZQ155" s="839"/>
      <c r="KZR155" s="839"/>
      <c r="KZS155" s="839"/>
      <c r="KZT155" s="839"/>
      <c r="KZU155" s="839"/>
      <c r="KZV155" s="839"/>
      <c r="KZW155" s="839"/>
      <c r="KZX155" s="839"/>
      <c r="KZY155" s="839"/>
      <c r="KZZ155" s="839"/>
      <c r="LAA155" s="839"/>
      <c r="LAB155" s="839"/>
      <c r="LAC155" s="839"/>
      <c r="LAD155" s="839"/>
      <c r="LAE155" s="839"/>
      <c r="LAF155" s="839"/>
      <c r="LAG155" s="839"/>
      <c r="LAH155" s="839"/>
      <c r="LAI155" s="839"/>
      <c r="LAJ155" s="839"/>
      <c r="LAK155" s="839"/>
      <c r="LAL155" s="839"/>
      <c r="LAM155" s="839"/>
      <c r="LAN155" s="839"/>
      <c r="LAO155" s="839"/>
      <c r="LAP155" s="839"/>
      <c r="LAQ155" s="839"/>
      <c r="LAR155" s="839"/>
      <c r="LAS155" s="839"/>
      <c r="LAT155" s="839"/>
      <c r="LAU155" s="839"/>
      <c r="LAV155" s="839"/>
      <c r="LAW155" s="839"/>
      <c r="LAX155" s="839"/>
      <c r="LAY155" s="839"/>
      <c r="LAZ155" s="839"/>
      <c r="LBA155" s="839"/>
      <c r="LBB155" s="839"/>
      <c r="LBC155" s="839"/>
      <c r="LBD155" s="839"/>
      <c r="LBE155" s="839"/>
      <c r="LBF155" s="839"/>
      <c r="LBG155" s="839"/>
      <c r="LBH155" s="839"/>
      <c r="LBI155" s="839"/>
      <c r="LBJ155" s="839"/>
      <c r="LBK155" s="839"/>
      <c r="LBL155" s="839"/>
      <c r="LBM155" s="839"/>
      <c r="LBN155" s="839"/>
      <c r="LBO155" s="839"/>
      <c r="LBP155" s="839"/>
      <c r="LBQ155" s="839"/>
      <c r="LBR155" s="839"/>
      <c r="LBS155" s="839"/>
      <c r="LBT155" s="839"/>
      <c r="LBU155" s="839"/>
      <c r="LBV155" s="839"/>
      <c r="LBW155" s="839"/>
      <c r="LBX155" s="839"/>
      <c r="LBY155" s="839"/>
      <c r="LBZ155" s="839"/>
      <c r="LCA155" s="839"/>
      <c r="LCB155" s="839"/>
      <c r="LCC155" s="839"/>
      <c r="LCD155" s="839"/>
      <c r="LCE155" s="839"/>
      <c r="LCF155" s="839"/>
      <c r="LCG155" s="839"/>
      <c r="LCH155" s="839"/>
      <c r="LCI155" s="839"/>
      <c r="LCJ155" s="839"/>
      <c r="LCK155" s="839"/>
      <c r="LCL155" s="839"/>
      <c r="LCM155" s="839"/>
      <c r="LCN155" s="839"/>
      <c r="LCO155" s="839"/>
      <c r="LCP155" s="839"/>
      <c r="LCQ155" s="839"/>
      <c r="LCR155" s="839"/>
      <c r="LCS155" s="839"/>
      <c r="LCT155" s="839"/>
      <c r="LCU155" s="839"/>
      <c r="LCV155" s="839"/>
      <c r="LCW155" s="839"/>
      <c r="LCX155" s="839"/>
      <c r="LCY155" s="839"/>
      <c r="LCZ155" s="839"/>
      <c r="LDA155" s="839"/>
      <c r="LDB155" s="839"/>
      <c r="LDC155" s="839"/>
      <c r="LDD155" s="839"/>
      <c r="LDE155" s="839"/>
      <c r="LDF155" s="839"/>
      <c r="LDG155" s="839"/>
      <c r="LDH155" s="839"/>
      <c r="LDI155" s="839"/>
      <c r="LDJ155" s="839"/>
      <c r="LDK155" s="839"/>
      <c r="LDL155" s="839"/>
      <c r="LDM155" s="839"/>
      <c r="LDN155" s="839"/>
      <c r="LDO155" s="839"/>
      <c r="LDP155" s="839"/>
      <c r="LDQ155" s="839"/>
      <c r="LDR155" s="839"/>
      <c r="LDS155" s="839"/>
      <c r="LDT155" s="839"/>
      <c r="LDU155" s="839"/>
      <c r="LDV155" s="839"/>
      <c r="LDW155" s="839"/>
      <c r="LDX155" s="839"/>
      <c r="LDY155" s="839"/>
      <c r="LDZ155" s="839"/>
      <c r="LEA155" s="839"/>
      <c r="LEB155" s="839"/>
      <c r="LEC155" s="839"/>
      <c r="LED155" s="839"/>
      <c r="LEE155" s="839"/>
      <c r="LEF155" s="839"/>
      <c r="LEG155" s="839"/>
      <c r="LEH155" s="839"/>
      <c r="LEI155" s="839"/>
      <c r="LEJ155" s="839"/>
      <c r="LEK155" s="839"/>
      <c r="LEL155" s="839"/>
      <c r="LEM155" s="839"/>
      <c r="LEN155" s="839"/>
      <c r="LEO155" s="839"/>
      <c r="LEP155" s="839"/>
      <c r="LEQ155" s="839"/>
      <c r="LER155" s="839"/>
      <c r="LES155" s="839"/>
      <c r="LET155" s="839"/>
      <c r="LEU155" s="839"/>
      <c r="LEV155" s="839"/>
      <c r="LEW155" s="839"/>
      <c r="LEX155" s="839"/>
      <c r="LEY155" s="839"/>
      <c r="LEZ155" s="839"/>
      <c r="LFA155" s="839"/>
      <c r="LFB155" s="839"/>
      <c r="LFC155" s="839"/>
      <c r="LFD155" s="839"/>
      <c r="LFE155" s="839"/>
      <c r="LFF155" s="839"/>
      <c r="LFG155" s="839"/>
      <c r="LFH155" s="839"/>
      <c r="LFI155" s="839"/>
      <c r="LFJ155" s="839"/>
      <c r="LFK155" s="839"/>
      <c r="LFL155" s="839"/>
      <c r="LFM155" s="839"/>
      <c r="LFN155" s="839"/>
      <c r="LFO155" s="839"/>
      <c r="LFP155" s="839"/>
      <c r="LFQ155" s="839"/>
      <c r="LFR155" s="839"/>
      <c r="LFS155" s="839"/>
      <c r="LFT155" s="839"/>
      <c r="LFU155" s="839"/>
      <c r="LFV155" s="839"/>
      <c r="LFW155" s="839"/>
      <c r="LFX155" s="839"/>
      <c r="LFY155" s="839"/>
      <c r="LFZ155" s="839"/>
      <c r="LGA155" s="839"/>
      <c r="LGB155" s="839"/>
      <c r="LGC155" s="839"/>
      <c r="LGD155" s="839"/>
      <c r="LGE155" s="839"/>
      <c r="LGF155" s="839"/>
      <c r="LGG155" s="839"/>
      <c r="LGH155" s="839"/>
      <c r="LGI155" s="839"/>
      <c r="LGJ155" s="839"/>
      <c r="LGK155" s="839"/>
      <c r="LGL155" s="839"/>
      <c r="LGM155" s="839"/>
      <c r="LGN155" s="839"/>
      <c r="LGO155" s="839"/>
      <c r="LGP155" s="839"/>
      <c r="LGQ155" s="839"/>
      <c r="LGR155" s="839"/>
      <c r="LGS155" s="839"/>
      <c r="LGT155" s="839"/>
      <c r="LGU155" s="839"/>
      <c r="LGV155" s="839"/>
      <c r="LGW155" s="839"/>
      <c r="LGX155" s="839"/>
      <c r="LGY155" s="839"/>
      <c r="LGZ155" s="839"/>
      <c r="LHA155" s="839"/>
      <c r="LHB155" s="839"/>
      <c r="LHC155" s="839"/>
      <c r="LHD155" s="839"/>
      <c r="LHE155" s="839"/>
      <c r="LHF155" s="839"/>
      <c r="LHG155" s="839"/>
      <c r="LHH155" s="839"/>
      <c r="LHI155" s="839"/>
      <c r="LHJ155" s="839"/>
      <c r="LHK155" s="839"/>
      <c r="LHL155" s="839"/>
      <c r="LHM155" s="839"/>
      <c r="LHN155" s="839"/>
      <c r="LHO155" s="839"/>
      <c r="LHP155" s="839"/>
      <c r="LHQ155" s="839"/>
      <c r="LHR155" s="839"/>
      <c r="LHS155" s="839"/>
      <c r="LHT155" s="839"/>
      <c r="LHU155" s="839"/>
      <c r="LHV155" s="839"/>
      <c r="LHW155" s="839"/>
      <c r="LHX155" s="839"/>
      <c r="LHY155" s="839"/>
      <c r="LHZ155" s="839"/>
      <c r="LIA155" s="839"/>
      <c r="LIB155" s="839"/>
      <c r="LIC155" s="839"/>
      <c r="LID155" s="839"/>
      <c r="LIE155" s="839"/>
      <c r="LIF155" s="839"/>
      <c r="LIG155" s="839"/>
      <c r="LIH155" s="839"/>
      <c r="LII155" s="839"/>
      <c r="LIJ155" s="839"/>
      <c r="LIK155" s="839"/>
      <c r="LIL155" s="839"/>
      <c r="LIM155" s="839"/>
      <c r="LIN155" s="839"/>
      <c r="LIO155" s="839"/>
      <c r="LIP155" s="839"/>
      <c r="LIQ155" s="839"/>
      <c r="LIR155" s="839"/>
      <c r="LIS155" s="839"/>
      <c r="LIT155" s="839"/>
      <c r="LIU155" s="839"/>
      <c r="LIV155" s="839"/>
      <c r="LIW155" s="839"/>
      <c r="LIX155" s="839"/>
      <c r="LIY155" s="839"/>
      <c r="LIZ155" s="839"/>
      <c r="LJA155" s="839"/>
      <c r="LJB155" s="839"/>
      <c r="LJC155" s="839"/>
      <c r="LJD155" s="839"/>
      <c r="LJE155" s="839"/>
      <c r="LJF155" s="839"/>
      <c r="LJG155" s="839"/>
      <c r="LJH155" s="839"/>
      <c r="LJI155" s="839"/>
      <c r="LJJ155" s="839"/>
      <c r="LJK155" s="839"/>
      <c r="LJL155" s="839"/>
      <c r="LJM155" s="839"/>
      <c r="LJN155" s="839"/>
      <c r="LJO155" s="839"/>
      <c r="LJP155" s="839"/>
      <c r="LJQ155" s="839"/>
      <c r="LJR155" s="839"/>
      <c r="LJS155" s="839"/>
      <c r="LJT155" s="839"/>
      <c r="LJU155" s="839"/>
      <c r="LJV155" s="839"/>
      <c r="LJW155" s="839"/>
      <c r="LJX155" s="839"/>
      <c r="LJY155" s="839"/>
      <c r="LJZ155" s="839"/>
      <c r="LKA155" s="839"/>
      <c r="LKB155" s="839"/>
      <c r="LKC155" s="839"/>
      <c r="LKD155" s="839"/>
      <c r="LKE155" s="839"/>
      <c r="LKF155" s="839"/>
      <c r="LKG155" s="839"/>
      <c r="LKH155" s="839"/>
      <c r="LKI155" s="839"/>
      <c r="LKJ155" s="839"/>
      <c r="LKK155" s="839"/>
      <c r="LKL155" s="839"/>
      <c r="LKM155" s="839"/>
      <c r="LKN155" s="839"/>
      <c r="LKO155" s="839"/>
      <c r="LKP155" s="839"/>
      <c r="LKQ155" s="839"/>
      <c r="LKR155" s="839"/>
      <c r="LKS155" s="839"/>
      <c r="LKT155" s="839"/>
      <c r="LKU155" s="839"/>
      <c r="LKV155" s="839"/>
      <c r="LKW155" s="839"/>
      <c r="LKX155" s="839"/>
      <c r="LKY155" s="839"/>
      <c r="LKZ155" s="839"/>
      <c r="LLA155" s="839"/>
      <c r="LLB155" s="839"/>
      <c r="LLC155" s="839"/>
      <c r="LLD155" s="839"/>
      <c r="LLE155" s="839"/>
      <c r="LLF155" s="839"/>
      <c r="LLG155" s="839"/>
      <c r="LLH155" s="839"/>
      <c r="LLI155" s="839"/>
      <c r="LLJ155" s="839"/>
      <c r="LLK155" s="839"/>
      <c r="LLL155" s="839"/>
      <c r="LLM155" s="839"/>
      <c r="LLN155" s="839"/>
      <c r="LLO155" s="839"/>
      <c r="LLP155" s="839"/>
      <c r="LLQ155" s="839"/>
      <c r="LLR155" s="839"/>
      <c r="LLS155" s="839"/>
      <c r="LLT155" s="839"/>
      <c r="LLU155" s="839"/>
      <c r="LLV155" s="839"/>
      <c r="LLW155" s="839"/>
      <c r="LLX155" s="839"/>
      <c r="LLY155" s="839"/>
      <c r="LLZ155" s="839"/>
      <c r="LMA155" s="839"/>
      <c r="LMB155" s="839"/>
      <c r="LMC155" s="839"/>
      <c r="LMD155" s="839"/>
      <c r="LME155" s="839"/>
      <c r="LMF155" s="839"/>
      <c r="LMG155" s="839"/>
      <c r="LMH155" s="839"/>
      <c r="LMI155" s="839"/>
      <c r="LMJ155" s="839"/>
      <c r="LMK155" s="839"/>
      <c r="LML155" s="839"/>
      <c r="LMM155" s="839"/>
      <c r="LMN155" s="839"/>
      <c r="LMO155" s="839"/>
      <c r="LMP155" s="839"/>
      <c r="LMQ155" s="839"/>
      <c r="LMR155" s="839"/>
      <c r="LMS155" s="839"/>
      <c r="LMT155" s="839"/>
      <c r="LMU155" s="839"/>
      <c r="LMV155" s="839"/>
      <c r="LMW155" s="839"/>
      <c r="LMX155" s="839"/>
      <c r="LMY155" s="839"/>
      <c r="LMZ155" s="839"/>
      <c r="LNA155" s="839"/>
      <c r="LNB155" s="839"/>
      <c r="LNC155" s="839"/>
      <c r="LND155" s="839"/>
      <c r="LNE155" s="839"/>
      <c r="LNF155" s="839"/>
      <c r="LNG155" s="839"/>
      <c r="LNH155" s="839"/>
      <c r="LNI155" s="839"/>
      <c r="LNJ155" s="839"/>
      <c r="LNK155" s="839"/>
      <c r="LNL155" s="839"/>
      <c r="LNM155" s="839"/>
      <c r="LNN155" s="839"/>
      <c r="LNO155" s="839"/>
      <c r="LNP155" s="839"/>
      <c r="LNQ155" s="839"/>
      <c r="LNR155" s="839"/>
      <c r="LNS155" s="839"/>
      <c r="LNT155" s="839"/>
      <c r="LNU155" s="839"/>
      <c r="LNV155" s="839"/>
      <c r="LNW155" s="839"/>
      <c r="LNX155" s="839"/>
      <c r="LNY155" s="839"/>
      <c r="LNZ155" s="839"/>
      <c r="LOA155" s="839"/>
      <c r="LOB155" s="839"/>
      <c r="LOC155" s="839"/>
      <c r="LOD155" s="839"/>
      <c r="LOE155" s="839"/>
      <c r="LOF155" s="839"/>
      <c r="LOG155" s="839"/>
      <c r="LOH155" s="839"/>
      <c r="LOI155" s="839"/>
      <c r="LOJ155" s="839"/>
      <c r="LOK155" s="839"/>
      <c r="LOL155" s="839"/>
      <c r="LOM155" s="839"/>
      <c r="LON155" s="839"/>
      <c r="LOO155" s="839"/>
      <c r="LOP155" s="839"/>
      <c r="LOQ155" s="839"/>
      <c r="LOR155" s="839"/>
      <c r="LOS155" s="839"/>
      <c r="LOT155" s="839"/>
      <c r="LOU155" s="839"/>
      <c r="LOV155" s="839"/>
      <c r="LOW155" s="839"/>
      <c r="LOX155" s="839"/>
      <c r="LOY155" s="839"/>
      <c r="LOZ155" s="839"/>
      <c r="LPA155" s="839"/>
      <c r="LPB155" s="839"/>
      <c r="LPC155" s="839"/>
      <c r="LPD155" s="839"/>
      <c r="LPE155" s="839"/>
      <c r="LPF155" s="839"/>
      <c r="LPG155" s="839"/>
      <c r="LPH155" s="839"/>
      <c r="LPI155" s="839"/>
      <c r="LPJ155" s="839"/>
      <c r="LPK155" s="839"/>
      <c r="LPL155" s="839"/>
      <c r="LPM155" s="839"/>
      <c r="LPN155" s="839"/>
      <c r="LPO155" s="839"/>
      <c r="LPP155" s="839"/>
      <c r="LPQ155" s="839"/>
      <c r="LPR155" s="839"/>
      <c r="LPS155" s="839"/>
      <c r="LPT155" s="839"/>
      <c r="LPU155" s="839"/>
      <c r="LPV155" s="839"/>
      <c r="LPW155" s="839"/>
      <c r="LPX155" s="839"/>
      <c r="LPY155" s="839"/>
      <c r="LPZ155" s="839"/>
      <c r="LQA155" s="839"/>
      <c r="LQB155" s="839"/>
      <c r="LQC155" s="839"/>
      <c r="LQD155" s="839"/>
      <c r="LQE155" s="839"/>
      <c r="LQF155" s="839"/>
      <c r="LQG155" s="839"/>
      <c r="LQH155" s="839"/>
      <c r="LQI155" s="839"/>
      <c r="LQJ155" s="839"/>
      <c r="LQK155" s="839"/>
      <c r="LQL155" s="839"/>
      <c r="LQM155" s="839"/>
      <c r="LQN155" s="839"/>
      <c r="LQO155" s="839"/>
      <c r="LQP155" s="839"/>
      <c r="LQQ155" s="839"/>
      <c r="LQR155" s="839"/>
      <c r="LQS155" s="839"/>
      <c r="LQT155" s="839"/>
      <c r="LQU155" s="839"/>
      <c r="LQV155" s="839"/>
      <c r="LQW155" s="839"/>
      <c r="LQX155" s="839"/>
      <c r="LQY155" s="839"/>
      <c r="LQZ155" s="839"/>
      <c r="LRA155" s="839"/>
      <c r="LRB155" s="839"/>
      <c r="LRC155" s="839"/>
      <c r="LRD155" s="839"/>
      <c r="LRE155" s="839"/>
      <c r="LRF155" s="839"/>
      <c r="LRG155" s="839"/>
      <c r="LRH155" s="839"/>
      <c r="LRI155" s="839"/>
      <c r="LRJ155" s="839"/>
      <c r="LRK155" s="839"/>
      <c r="LRL155" s="839"/>
      <c r="LRM155" s="839"/>
      <c r="LRN155" s="839"/>
      <c r="LRO155" s="839"/>
      <c r="LRP155" s="839"/>
      <c r="LRQ155" s="839"/>
      <c r="LRR155" s="839"/>
      <c r="LRS155" s="839"/>
      <c r="LRT155" s="839"/>
      <c r="LRU155" s="839"/>
      <c r="LRV155" s="839"/>
      <c r="LRW155" s="839"/>
      <c r="LRX155" s="839"/>
      <c r="LRY155" s="839"/>
      <c r="LRZ155" s="839"/>
      <c r="LSA155" s="839"/>
      <c r="LSB155" s="839"/>
      <c r="LSC155" s="839"/>
      <c r="LSD155" s="839"/>
      <c r="LSE155" s="839"/>
      <c r="LSF155" s="839"/>
      <c r="LSG155" s="839"/>
      <c r="LSH155" s="839"/>
      <c r="LSI155" s="839"/>
      <c r="LSJ155" s="839"/>
      <c r="LSK155" s="839"/>
      <c r="LSL155" s="839"/>
      <c r="LSM155" s="839"/>
      <c r="LSN155" s="839"/>
      <c r="LSO155" s="839"/>
      <c r="LSP155" s="839"/>
      <c r="LSQ155" s="839"/>
      <c r="LSR155" s="839"/>
      <c r="LSS155" s="839"/>
      <c r="LST155" s="839"/>
      <c r="LSU155" s="839"/>
      <c r="LSV155" s="839"/>
      <c r="LSW155" s="839"/>
      <c r="LSX155" s="839"/>
      <c r="LSY155" s="839"/>
      <c r="LSZ155" s="839"/>
      <c r="LTA155" s="839"/>
      <c r="LTB155" s="839"/>
      <c r="LTC155" s="839"/>
      <c r="LTD155" s="839"/>
      <c r="LTE155" s="839"/>
      <c r="LTF155" s="839"/>
      <c r="LTG155" s="839"/>
      <c r="LTH155" s="839"/>
      <c r="LTI155" s="839"/>
      <c r="LTJ155" s="839"/>
      <c r="LTK155" s="839"/>
      <c r="LTL155" s="839"/>
      <c r="LTM155" s="839"/>
      <c r="LTN155" s="839"/>
      <c r="LTO155" s="839"/>
      <c r="LTP155" s="839"/>
      <c r="LTQ155" s="839"/>
      <c r="LTR155" s="839"/>
      <c r="LTS155" s="839"/>
      <c r="LTT155" s="839"/>
      <c r="LTU155" s="839"/>
      <c r="LTV155" s="839"/>
      <c r="LTW155" s="839"/>
      <c r="LTX155" s="839"/>
      <c r="LTY155" s="839"/>
      <c r="LTZ155" s="839"/>
      <c r="LUA155" s="839"/>
      <c r="LUB155" s="839"/>
      <c r="LUC155" s="839"/>
      <c r="LUD155" s="839"/>
      <c r="LUE155" s="839"/>
      <c r="LUF155" s="839"/>
      <c r="LUG155" s="839"/>
      <c r="LUH155" s="839"/>
      <c r="LUI155" s="839"/>
      <c r="LUJ155" s="839"/>
      <c r="LUK155" s="839"/>
      <c r="LUL155" s="839"/>
      <c r="LUM155" s="839"/>
      <c r="LUN155" s="839"/>
      <c r="LUO155" s="839"/>
      <c r="LUP155" s="839"/>
      <c r="LUQ155" s="839"/>
      <c r="LUR155" s="839"/>
      <c r="LUS155" s="839"/>
      <c r="LUT155" s="839"/>
      <c r="LUU155" s="839"/>
      <c r="LUV155" s="839"/>
      <c r="LUW155" s="839"/>
      <c r="LUX155" s="839"/>
      <c r="LUY155" s="839"/>
      <c r="LUZ155" s="839"/>
      <c r="LVA155" s="839"/>
      <c r="LVB155" s="839"/>
      <c r="LVC155" s="839"/>
      <c r="LVD155" s="839"/>
      <c r="LVE155" s="839"/>
      <c r="LVF155" s="839"/>
      <c r="LVG155" s="839"/>
      <c r="LVH155" s="839"/>
      <c r="LVI155" s="839"/>
      <c r="LVJ155" s="839"/>
      <c r="LVK155" s="839"/>
      <c r="LVL155" s="839"/>
      <c r="LVM155" s="839"/>
      <c r="LVN155" s="839"/>
      <c r="LVO155" s="839"/>
      <c r="LVP155" s="839"/>
      <c r="LVQ155" s="839"/>
      <c r="LVR155" s="839"/>
      <c r="LVS155" s="839"/>
      <c r="LVT155" s="839"/>
      <c r="LVU155" s="839"/>
      <c r="LVV155" s="839"/>
      <c r="LVW155" s="839"/>
      <c r="LVX155" s="839"/>
      <c r="LVY155" s="839"/>
      <c r="LVZ155" s="839"/>
      <c r="LWA155" s="839"/>
      <c r="LWB155" s="839"/>
      <c r="LWC155" s="839"/>
      <c r="LWD155" s="839"/>
      <c r="LWE155" s="839"/>
      <c r="LWF155" s="839"/>
      <c r="LWG155" s="839"/>
      <c r="LWH155" s="839"/>
      <c r="LWI155" s="839"/>
      <c r="LWJ155" s="839"/>
      <c r="LWK155" s="839"/>
      <c r="LWL155" s="839"/>
      <c r="LWM155" s="839"/>
      <c r="LWN155" s="839"/>
      <c r="LWO155" s="839"/>
      <c r="LWP155" s="839"/>
      <c r="LWQ155" s="839"/>
      <c r="LWR155" s="839"/>
      <c r="LWS155" s="839"/>
      <c r="LWT155" s="839"/>
      <c r="LWU155" s="839"/>
      <c r="LWV155" s="839"/>
      <c r="LWW155" s="839"/>
      <c r="LWX155" s="839"/>
      <c r="LWY155" s="839"/>
      <c r="LWZ155" s="839"/>
      <c r="LXA155" s="839"/>
      <c r="LXB155" s="839"/>
      <c r="LXC155" s="839"/>
      <c r="LXD155" s="839"/>
      <c r="LXE155" s="839"/>
      <c r="LXF155" s="839"/>
      <c r="LXG155" s="839"/>
      <c r="LXH155" s="839"/>
      <c r="LXI155" s="839"/>
      <c r="LXJ155" s="839"/>
      <c r="LXK155" s="839"/>
      <c r="LXL155" s="839"/>
      <c r="LXM155" s="839"/>
      <c r="LXN155" s="839"/>
      <c r="LXO155" s="839"/>
      <c r="LXP155" s="839"/>
      <c r="LXQ155" s="839"/>
      <c r="LXR155" s="839"/>
      <c r="LXS155" s="839"/>
      <c r="LXT155" s="839"/>
      <c r="LXU155" s="839"/>
      <c r="LXV155" s="839"/>
      <c r="LXW155" s="839"/>
      <c r="LXX155" s="839"/>
      <c r="LXY155" s="839"/>
      <c r="LXZ155" s="839"/>
      <c r="LYA155" s="839"/>
      <c r="LYB155" s="839"/>
      <c r="LYC155" s="839"/>
      <c r="LYD155" s="839"/>
      <c r="LYE155" s="839"/>
      <c r="LYF155" s="839"/>
      <c r="LYG155" s="839"/>
      <c r="LYH155" s="839"/>
      <c r="LYI155" s="839"/>
      <c r="LYJ155" s="839"/>
      <c r="LYK155" s="839"/>
      <c r="LYL155" s="839"/>
      <c r="LYM155" s="839"/>
      <c r="LYN155" s="839"/>
      <c r="LYO155" s="839"/>
      <c r="LYP155" s="839"/>
      <c r="LYQ155" s="839"/>
      <c r="LYR155" s="839"/>
      <c r="LYS155" s="839"/>
      <c r="LYT155" s="839"/>
      <c r="LYU155" s="839"/>
      <c r="LYV155" s="839"/>
      <c r="LYW155" s="839"/>
      <c r="LYX155" s="839"/>
      <c r="LYY155" s="839"/>
      <c r="LYZ155" s="839"/>
      <c r="LZA155" s="839"/>
      <c r="LZB155" s="839"/>
      <c r="LZC155" s="839"/>
      <c r="LZD155" s="839"/>
      <c r="LZE155" s="839"/>
      <c r="LZF155" s="839"/>
      <c r="LZG155" s="839"/>
      <c r="LZH155" s="839"/>
      <c r="LZI155" s="839"/>
      <c r="LZJ155" s="839"/>
      <c r="LZK155" s="839"/>
      <c r="LZL155" s="839"/>
      <c r="LZM155" s="839"/>
      <c r="LZN155" s="839"/>
      <c r="LZO155" s="839"/>
      <c r="LZP155" s="839"/>
      <c r="LZQ155" s="839"/>
      <c r="LZR155" s="839"/>
      <c r="LZS155" s="839"/>
      <c r="LZT155" s="839"/>
      <c r="LZU155" s="839"/>
      <c r="LZV155" s="839"/>
      <c r="LZW155" s="839"/>
      <c r="LZX155" s="839"/>
      <c r="LZY155" s="839"/>
      <c r="LZZ155" s="839"/>
      <c r="MAA155" s="839"/>
      <c r="MAB155" s="839"/>
      <c r="MAC155" s="839"/>
      <c r="MAD155" s="839"/>
      <c r="MAE155" s="839"/>
      <c r="MAF155" s="839"/>
      <c r="MAG155" s="839"/>
      <c r="MAH155" s="839"/>
      <c r="MAI155" s="839"/>
      <c r="MAJ155" s="839"/>
      <c r="MAK155" s="839"/>
      <c r="MAL155" s="839"/>
      <c r="MAM155" s="839"/>
      <c r="MAN155" s="839"/>
      <c r="MAO155" s="839"/>
      <c r="MAP155" s="839"/>
      <c r="MAQ155" s="839"/>
      <c r="MAR155" s="839"/>
      <c r="MAS155" s="839"/>
      <c r="MAT155" s="839"/>
      <c r="MAU155" s="839"/>
      <c r="MAV155" s="839"/>
      <c r="MAW155" s="839"/>
      <c r="MAX155" s="839"/>
      <c r="MAY155" s="839"/>
      <c r="MAZ155" s="839"/>
      <c r="MBA155" s="839"/>
      <c r="MBB155" s="839"/>
      <c r="MBC155" s="839"/>
      <c r="MBD155" s="839"/>
      <c r="MBE155" s="839"/>
      <c r="MBF155" s="839"/>
      <c r="MBG155" s="839"/>
      <c r="MBH155" s="839"/>
      <c r="MBI155" s="839"/>
      <c r="MBJ155" s="839"/>
      <c r="MBK155" s="839"/>
      <c r="MBL155" s="839"/>
      <c r="MBM155" s="839"/>
      <c r="MBN155" s="839"/>
      <c r="MBO155" s="839"/>
      <c r="MBP155" s="839"/>
      <c r="MBQ155" s="839"/>
      <c r="MBR155" s="839"/>
      <c r="MBS155" s="839"/>
      <c r="MBT155" s="839"/>
      <c r="MBU155" s="839"/>
      <c r="MBV155" s="839"/>
      <c r="MBW155" s="839"/>
      <c r="MBX155" s="839"/>
      <c r="MBY155" s="839"/>
      <c r="MBZ155" s="839"/>
      <c r="MCA155" s="839"/>
      <c r="MCB155" s="839"/>
      <c r="MCC155" s="839"/>
      <c r="MCD155" s="839"/>
      <c r="MCE155" s="839"/>
      <c r="MCF155" s="839"/>
      <c r="MCG155" s="839"/>
      <c r="MCH155" s="839"/>
      <c r="MCI155" s="839"/>
      <c r="MCJ155" s="839"/>
      <c r="MCK155" s="839"/>
      <c r="MCL155" s="839"/>
      <c r="MCM155" s="839"/>
      <c r="MCN155" s="839"/>
      <c r="MCO155" s="839"/>
      <c r="MCP155" s="839"/>
      <c r="MCQ155" s="839"/>
      <c r="MCR155" s="839"/>
      <c r="MCS155" s="839"/>
      <c r="MCT155" s="839"/>
      <c r="MCU155" s="839"/>
      <c r="MCV155" s="839"/>
      <c r="MCW155" s="839"/>
      <c r="MCX155" s="839"/>
      <c r="MCY155" s="839"/>
      <c r="MCZ155" s="839"/>
      <c r="MDA155" s="839"/>
      <c r="MDB155" s="839"/>
      <c r="MDC155" s="839"/>
      <c r="MDD155" s="839"/>
      <c r="MDE155" s="839"/>
      <c r="MDF155" s="839"/>
      <c r="MDG155" s="839"/>
      <c r="MDH155" s="839"/>
      <c r="MDI155" s="839"/>
      <c r="MDJ155" s="839"/>
      <c r="MDK155" s="839"/>
      <c r="MDL155" s="839"/>
      <c r="MDM155" s="839"/>
      <c r="MDN155" s="839"/>
      <c r="MDO155" s="839"/>
      <c r="MDP155" s="839"/>
      <c r="MDQ155" s="839"/>
      <c r="MDR155" s="839"/>
      <c r="MDS155" s="839"/>
      <c r="MDT155" s="839"/>
      <c r="MDU155" s="839"/>
      <c r="MDV155" s="839"/>
      <c r="MDW155" s="839"/>
      <c r="MDX155" s="839"/>
      <c r="MDY155" s="839"/>
      <c r="MDZ155" s="839"/>
      <c r="MEA155" s="839"/>
      <c r="MEB155" s="839"/>
      <c r="MEC155" s="839"/>
      <c r="MED155" s="839"/>
      <c r="MEE155" s="839"/>
      <c r="MEF155" s="839"/>
      <c r="MEG155" s="839"/>
      <c r="MEH155" s="839"/>
      <c r="MEI155" s="839"/>
      <c r="MEJ155" s="839"/>
      <c r="MEK155" s="839"/>
      <c r="MEL155" s="839"/>
      <c r="MEM155" s="839"/>
      <c r="MEN155" s="839"/>
      <c r="MEO155" s="839"/>
      <c r="MEP155" s="839"/>
      <c r="MEQ155" s="839"/>
      <c r="MER155" s="839"/>
      <c r="MES155" s="839"/>
      <c r="MET155" s="839"/>
      <c r="MEU155" s="839"/>
      <c r="MEV155" s="839"/>
      <c r="MEW155" s="839"/>
      <c r="MEX155" s="839"/>
      <c r="MEY155" s="839"/>
      <c r="MEZ155" s="839"/>
      <c r="MFA155" s="839"/>
      <c r="MFB155" s="839"/>
      <c r="MFC155" s="839"/>
      <c r="MFD155" s="839"/>
      <c r="MFE155" s="839"/>
      <c r="MFF155" s="839"/>
      <c r="MFG155" s="839"/>
      <c r="MFH155" s="839"/>
      <c r="MFI155" s="839"/>
      <c r="MFJ155" s="839"/>
      <c r="MFK155" s="839"/>
      <c r="MFL155" s="839"/>
      <c r="MFM155" s="839"/>
      <c r="MFN155" s="839"/>
      <c r="MFO155" s="839"/>
      <c r="MFP155" s="839"/>
      <c r="MFQ155" s="839"/>
      <c r="MFR155" s="839"/>
      <c r="MFS155" s="839"/>
      <c r="MFT155" s="839"/>
      <c r="MFU155" s="839"/>
      <c r="MFV155" s="839"/>
      <c r="MFW155" s="839"/>
      <c r="MFX155" s="839"/>
      <c r="MFY155" s="839"/>
      <c r="MFZ155" s="839"/>
      <c r="MGA155" s="839"/>
      <c r="MGB155" s="839"/>
      <c r="MGC155" s="839"/>
      <c r="MGD155" s="839"/>
      <c r="MGE155" s="839"/>
      <c r="MGF155" s="839"/>
      <c r="MGG155" s="839"/>
      <c r="MGH155" s="839"/>
      <c r="MGI155" s="839"/>
      <c r="MGJ155" s="839"/>
      <c r="MGK155" s="839"/>
      <c r="MGL155" s="839"/>
      <c r="MGM155" s="839"/>
      <c r="MGN155" s="839"/>
      <c r="MGO155" s="839"/>
      <c r="MGP155" s="839"/>
      <c r="MGQ155" s="839"/>
      <c r="MGR155" s="839"/>
      <c r="MGS155" s="839"/>
      <c r="MGT155" s="839"/>
      <c r="MGU155" s="839"/>
      <c r="MGV155" s="839"/>
      <c r="MGW155" s="839"/>
      <c r="MGX155" s="839"/>
      <c r="MGY155" s="839"/>
      <c r="MGZ155" s="839"/>
      <c r="MHA155" s="839"/>
      <c r="MHB155" s="839"/>
      <c r="MHC155" s="839"/>
      <c r="MHD155" s="839"/>
      <c r="MHE155" s="839"/>
      <c r="MHF155" s="839"/>
      <c r="MHG155" s="839"/>
      <c r="MHH155" s="839"/>
      <c r="MHI155" s="839"/>
      <c r="MHJ155" s="839"/>
      <c r="MHK155" s="839"/>
      <c r="MHL155" s="839"/>
      <c r="MHM155" s="839"/>
      <c r="MHN155" s="839"/>
      <c r="MHO155" s="839"/>
      <c r="MHP155" s="839"/>
      <c r="MHQ155" s="839"/>
      <c r="MHR155" s="839"/>
      <c r="MHS155" s="839"/>
      <c r="MHT155" s="839"/>
      <c r="MHU155" s="839"/>
      <c r="MHV155" s="839"/>
      <c r="MHW155" s="839"/>
      <c r="MHX155" s="839"/>
      <c r="MHY155" s="839"/>
      <c r="MHZ155" s="839"/>
      <c r="MIA155" s="839"/>
      <c r="MIB155" s="839"/>
      <c r="MIC155" s="839"/>
      <c r="MID155" s="839"/>
      <c r="MIE155" s="839"/>
      <c r="MIF155" s="839"/>
      <c r="MIG155" s="839"/>
      <c r="MIH155" s="839"/>
      <c r="MII155" s="839"/>
      <c r="MIJ155" s="839"/>
      <c r="MIK155" s="839"/>
      <c r="MIL155" s="839"/>
      <c r="MIM155" s="839"/>
      <c r="MIN155" s="839"/>
      <c r="MIO155" s="839"/>
      <c r="MIP155" s="839"/>
      <c r="MIQ155" s="839"/>
      <c r="MIR155" s="839"/>
      <c r="MIS155" s="839"/>
      <c r="MIT155" s="839"/>
      <c r="MIU155" s="839"/>
      <c r="MIV155" s="839"/>
      <c r="MIW155" s="839"/>
      <c r="MIX155" s="839"/>
      <c r="MIY155" s="839"/>
      <c r="MIZ155" s="839"/>
      <c r="MJA155" s="839"/>
      <c r="MJB155" s="839"/>
      <c r="MJC155" s="839"/>
      <c r="MJD155" s="839"/>
      <c r="MJE155" s="839"/>
      <c r="MJF155" s="839"/>
      <c r="MJG155" s="839"/>
      <c r="MJH155" s="839"/>
      <c r="MJI155" s="839"/>
      <c r="MJJ155" s="839"/>
      <c r="MJK155" s="839"/>
      <c r="MJL155" s="839"/>
      <c r="MJM155" s="839"/>
      <c r="MJN155" s="839"/>
      <c r="MJO155" s="839"/>
      <c r="MJP155" s="839"/>
      <c r="MJQ155" s="839"/>
      <c r="MJR155" s="839"/>
      <c r="MJS155" s="839"/>
      <c r="MJT155" s="839"/>
      <c r="MJU155" s="839"/>
      <c r="MJV155" s="839"/>
      <c r="MJW155" s="839"/>
      <c r="MJX155" s="839"/>
      <c r="MJY155" s="839"/>
      <c r="MJZ155" s="839"/>
      <c r="MKA155" s="839"/>
      <c r="MKB155" s="839"/>
      <c r="MKC155" s="839"/>
      <c r="MKD155" s="839"/>
      <c r="MKE155" s="839"/>
      <c r="MKF155" s="839"/>
      <c r="MKG155" s="839"/>
      <c r="MKH155" s="839"/>
      <c r="MKI155" s="839"/>
      <c r="MKJ155" s="839"/>
      <c r="MKK155" s="839"/>
      <c r="MKL155" s="839"/>
      <c r="MKM155" s="839"/>
      <c r="MKN155" s="839"/>
      <c r="MKO155" s="839"/>
      <c r="MKP155" s="839"/>
      <c r="MKQ155" s="839"/>
      <c r="MKR155" s="839"/>
      <c r="MKS155" s="839"/>
      <c r="MKT155" s="839"/>
      <c r="MKU155" s="839"/>
      <c r="MKV155" s="839"/>
      <c r="MKW155" s="839"/>
      <c r="MKX155" s="839"/>
      <c r="MKY155" s="839"/>
      <c r="MKZ155" s="839"/>
      <c r="MLA155" s="839"/>
      <c r="MLB155" s="839"/>
      <c r="MLC155" s="839"/>
      <c r="MLD155" s="839"/>
      <c r="MLE155" s="839"/>
      <c r="MLF155" s="839"/>
      <c r="MLG155" s="839"/>
      <c r="MLH155" s="839"/>
      <c r="MLI155" s="839"/>
      <c r="MLJ155" s="839"/>
      <c r="MLK155" s="839"/>
      <c r="MLL155" s="839"/>
      <c r="MLM155" s="839"/>
      <c r="MLN155" s="839"/>
      <c r="MLO155" s="839"/>
      <c r="MLP155" s="839"/>
      <c r="MLQ155" s="839"/>
      <c r="MLR155" s="839"/>
      <c r="MLS155" s="839"/>
      <c r="MLT155" s="839"/>
      <c r="MLU155" s="839"/>
      <c r="MLV155" s="839"/>
      <c r="MLW155" s="839"/>
      <c r="MLX155" s="839"/>
      <c r="MLY155" s="839"/>
      <c r="MLZ155" s="839"/>
      <c r="MMA155" s="839"/>
      <c r="MMB155" s="839"/>
      <c r="MMC155" s="839"/>
      <c r="MMD155" s="839"/>
      <c r="MME155" s="839"/>
      <c r="MMF155" s="839"/>
      <c r="MMG155" s="839"/>
      <c r="MMH155" s="839"/>
      <c r="MMI155" s="839"/>
      <c r="MMJ155" s="839"/>
      <c r="MMK155" s="839"/>
      <c r="MML155" s="839"/>
      <c r="MMM155" s="839"/>
      <c r="MMN155" s="839"/>
      <c r="MMO155" s="839"/>
      <c r="MMP155" s="839"/>
      <c r="MMQ155" s="839"/>
      <c r="MMR155" s="839"/>
      <c r="MMS155" s="839"/>
      <c r="MMT155" s="839"/>
      <c r="MMU155" s="839"/>
      <c r="MMV155" s="839"/>
      <c r="MMW155" s="839"/>
      <c r="MMX155" s="839"/>
      <c r="MMY155" s="839"/>
      <c r="MMZ155" s="839"/>
      <c r="MNA155" s="839"/>
      <c r="MNB155" s="839"/>
      <c r="MNC155" s="839"/>
      <c r="MND155" s="839"/>
      <c r="MNE155" s="839"/>
      <c r="MNF155" s="839"/>
      <c r="MNG155" s="839"/>
      <c r="MNH155" s="839"/>
      <c r="MNI155" s="839"/>
      <c r="MNJ155" s="839"/>
      <c r="MNK155" s="839"/>
      <c r="MNL155" s="839"/>
      <c r="MNM155" s="839"/>
      <c r="MNN155" s="839"/>
      <c r="MNO155" s="839"/>
      <c r="MNP155" s="839"/>
      <c r="MNQ155" s="839"/>
      <c r="MNR155" s="839"/>
      <c r="MNS155" s="839"/>
      <c r="MNT155" s="839"/>
      <c r="MNU155" s="839"/>
      <c r="MNV155" s="839"/>
      <c r="MNW155" s="839"/>
      <c r="MNX155" s="839"/>
      <c r="MNY155" s="839"/>
      <c r="MNZ155" s="839"/>
      <c r="MOA155" s="839"/>
      <c r="MOB155" s="839"/>
      <c r="MOC155" s="839"/>
      <c r="MOD155" s="839"/>
      <c r="MOE155" s="839"/>
      <c r="MOF155" s="839"/>
      <c r="MOG155" s="839"/>
      <c r="MOH155" s="839"/>
      <c r="MOI155" s="839"/>
      <c r="MOJ155" s="839"/>
      <c r="MOK155" s="839"/>
      <c r="MOL155" s="839"/>
      <c r="MOM155" s="839"/>
      <c r="MON155" s="839"/>
      <c r="MOO155" s="839"/>
      <c r="MOP155" s="839"/>
      <c r="MOQ155" s="839"/>
      <c r="MOR155" s="839"/>
      <c r="MOS155" s="839"/>
      <c r="MOT155" s="839"/>
      <c r="MOU155" s="839"/>
      <c r="MOV155" s="839"/>
      <c r="MOW155" s="839"/>
      <c r="MOX155" s="839"/>
      <c r="MOY155" s="839"/>
      <c r="MOZ155" s="839"/>
      <c r="MPA155" s="839"/>
      <c r="MPB155" s="839"/>
      <c r="MPC155" s="839"/>
      <c r="MPD155" s="839"/>
      <c r="MPE155" s="839"/>
      <c r="MPF155" s="839"/>
      <c r="MPG155" s="839"/>
      <c r="MPH155" s="839"/>
      <c r="MPI155" s="839"/>
      <c r="MPJ155" s="839"/>
      <c r="MPK155" s="839"/>
      <c r="MPL155" s="839"/>
      <c r="MPM155" s="839"/>
      <c r="MPN155" s="839"/>
      <c r="MPO155" s="839"/>
      <c r="MPP155" s="839"/>
      <c r="MPQ155" s="839"/>
      <c r="MPR155" s="839"/>
      <c r="MPS155" s="839"/>
      <c r="MPT155" s="839"/>
      <c r="MPU155" s="839"/>
      <c r="MPV155" s="839"/>
      <c r="MPW155" s="839"/>
      <c r="MPX155" s="839"/>
      <c r="MPY155" s="839"/>
      <c r="MPZ155" s="839"/>
      <c r="MQA155" s="839"/>
      <c r="MQB155" s="839"/>
      <c r="MQC155" s="839"/>
      <c r="MQD155" s="839"/>
      <c r="MQE155" s="839"/>
      <c r="MQF155" s="839"/>
      <c r="MQG155" s="839"/>
      <c r="MQH155" s="839"/>
      <c r="MQI155" s="839"/>
      <c r="MQJ155" s="839"/>
      <c r="MQK155" s="839"/>
      <c r="MQL155" s="839"/>
      <c r="MQM155" s="839"/>
      <c r="MQN155" s="839"/>
      <c r="MQO155" s="839"/>
      <c r="MQP155" s="839"/>
      <c r="MQQ155" s="839"/>
      <c r="MQR155" s="839"/>
      <c r="MQS155" s="839"/>
      <c r="MQT155" s="839"/>
      <c r="MQU155" s="839"/>
      <c r="MQV155" s="839"/>
      <c r="MQW155" s="839"/>
      <c r="MQX155" s="839"/>
      <c r="MQY155" s="839"/>
      <c r="MQZ155" s="839"/>
      <c r="MRA155" s="839"/>
      <c r="MRB155" s="839"/>
      <c r="MRC155" s="839"/>
      <c r="MRD155" s="839"/>
      <c r="MRE155" s="839"/>
      <c r="MRF155" s="839"/>
      <c r="MRG155" s="839"/>
      <c r="MRH155" s="839"/>
      <c r="MRI155" s="839"/>
      <c r="MRJ155" s="839"/>
      <c r="MRK155" s="839"/>
      <c r="MRL155" s="839"/>
      <c r="MRM155" s="839"/>
      <c r="MRN155" s="839"/>
      <c r="MRO155" s="839"/>
      <c r="MRP155" s="839"/>
      <c r="MRQ155" s="839"/>
      <c r="MRR155" s="839"/>
      <c r="MRS155" s="839"/>
      <c r="MRT155" s="839"/>
      <c r="MRU155" s="839"/>
      <c r="MRV155" s="839"/>
      <c r="MRW155" s="839"/>
      <c r="MRX155" s="839"/>
      <c r="MRY155" s="839"/>
      <c r="MRZ155" s="839"/>
      <c r="MSA155" s="839"/>
      <c r="MSB155" s="839"/>
      <c r="MSC155" s="839"/>
      <c r="MSD155" s="839"/>
      <c r="MSE155" s="839"/>
      <c r="MSF155" s="839"/>
      <c r="MSG155" s="839"/>
      <c r="MSH155" s="839"/>
      <c r="MSI155" s="839"/>
      <c r="MSJ155" s="839"/>
      <c r="MSK155" s="839"/>
      <c r="MSL155" s="839"/>
      <c r="MSM155" s="839"/>
      <c r="MSN155" s="839"/>
      <c r="MSO155" s="839"/>
      <c r="MSP155" s="839"/>
      <c r="MSQ155" s="839"/>
      <c r="MSR155" s="839"/>
      <c r="MSS155" s="839"/>
      <c r="MST155" s="839"/>
      <c r="MSU155" s="839"/>
      <c r="MSV155" s="839"/>
      <c r="MSW155" s="839"/>
      <c r="MSX155" s="839"/>
      <c r="MSY155" s="839"/>
      <c r="MSZ155" s="839"/>
      <c r="MTA155" s="839"/>
      <c r="MTB155" s="839"/>
      <c r="MTC155" s="839"/>
      <c r="MTD155" s="839"/>
      <c r="MTE155" s="839"/>
      <c r="MTF155" s="839"/>
      <c r="MTG155" s="839"/>
      <c r="MTH155" s="839"/>
      <c r="MTI155" s="839"/>
      <c r="MTJ155" s="839"/>
      <c r="MTK155" s="839"/>
      <c r="MTL155" s="839"/>
      <c r="MTM155" s="839"/>
      <c r="MTN155" s="839"/>
      <c r="MTO155" s="839"/>
      <c r="MTP155" s="839"/>
      <c r="MTQ155" s="839"/>
      <c r="MTR155" s="839"/>
      <c r="MTS155" s="839"/>
      <c r="MTT155" s="839"/>
      <c r="MTU155" s="839"/>
      <c r="MTV155" s="839"/>
      <c r="MTW155" s="839"/>
      <c r="MTX155" s="839"/>
      <c r="MTY155" s="839"/>
      <c r="MTZ155" s="839"/>
      <c r="MUA155" s="839"/>
      <c r="MUB155" s="839"/>
      <c r="MUC155" s="839"/>
      <c r="MUD155" s="839"/>
      <c r="MUE155" s="839"/>
      <c r="MUF155" s="839"/>
      <c r="MUG155" s="839"/>
      <c r="MUH155" s="839"/>
      <c r="MUI155" s="839"/>
      <c r="MUJ155" s="839"/>
      <c r="MUK155" s="839"/>
      <c r="MUL155" s="839"/>
      <c r="MUM155" s="839"/>
      <c r="MUN155" s="839"/>
      <c r="MUO155" s="839"/>
      <c r="MUP155" s="839"/>
      <c r="MUQ155" s="839"/>
      <c r="MUR155" s="839"/>
      <c r="MUS155" s="839"/>
      <c r="MUT155" s="839"/>
      <c r="MUU155" s="839"/>
      <c r="MUV155" s="839"/>
      <c r="MUW155" s="839"/>
      <c r="MUX155" s="839"/>
      <c r="MUY155" s="839"/>
      <c r="MUZ155" s="839"/>
      <c r="MVA155" s="839"/>
      <c r="MVB155" s="839"/>
      <c r="MVC155" s="839"/>
      <c r="MVD155" s="839"/>
      <c r="MVE155" s="839"/>
      <c r="MVF155" s="839"/>
      <c r="MVG155" s="839"/>
      <c r="MVH155" s="839"/>
      <c r="MVI155" s="839"/>
      <c r="MVJ155" s="839"/>
      <c r="MVK155" s="839"/>
      <c r="MVL155" s="839"/>
      <c r="MVM155" s="839"/>
      <c r="MVN155" s="839"/>
      <c r="MVO155" s="839"/>
      <c r="MVP155" s="839"/>
      <c r="MVQ155" s="839"/>
      <c r="MVR155" s="839"/>
      <c r="MVS155" s="839"/>
      <c r="MVT155" s="839"/>
      <c r="MVU155" s="839"/>
      <c r="MVV155" s="839"/>
      <c r="MVW155" s="839"/>
      <c r="MVX155" s="839"/>
      <c r="MVY155" s="839"/>
      <c r="MVZ155" s="839"/>
      <c r="MWA155" s="839"/>
      <c r="MWB155" s="839"/>
      <c r="MWC155" s="839"/>
      <c r="MWD155" s="839"/>
      <c r="MWE155" s="839"/>
      <c r="MWF155" s="839"/>
      <c r="MWG155" s="839"/>
      <c r="MWH155" s="839"/>
      <c r="MWI155" s="839"/>
      <c r="MWJ155" s="839"/>
      <c r="MWK155" s="839"/>
      <c r="MWL155" s="839"/>
      <c r="MWM155" s="839"/>
      <c r="MWN155" s="839"/>
      <c r="MWO155" s="839"/>
      <c r="MWP155" s="839"/>
      <c r="MWQ155" s="839"/>
      <c r="MWR155" s="839"/>
      <c r="MWS155" s="839"/>
      <c r="MWT155" s="839"/>
      <c r="MWU155" s="839"/>
      <c r="MWV155" s="839"/>
      <c r="MWW155" s="839"/>
      <c r="MWX155" s="839"/>
      <c r="MWY155" s="839"/>
      <c r="MWZ155" s="839"/>
      <c r="MXA155" s="839"/>
      <c r="MXB155" s="839"/>
      <c r="MXC155" s="839"/>
      <c r="MXD155" s="839"/>
      <c r="MXE155" s="839"/>
      <c r="MXF155" s="839"/>
      <c r="MXG155" s="839"/>
      <c r="MXH155" s="839"/>
      <c r="MXI155" s="839"/>
      <c r="MXJ155" s="839"/>
      <c r="MXK155" s="839"/>
      <c r="MXL155" s="839"/>
      <c r="MXM155" s="839"/>
      <c r="MXN155" s="839"/>
      <c r="MXO155" s="839"/>
      <c r="MXP155" s="839"/>
      <c r="MXQ155" s="839"/>
      <c r="MXR155" s="839"/>
      <c r="MXS155" s="839"/>
      <c r="MXT155" s="839"/>
      <c r="MXU155" s="839"/>
      <c r="MXV155" s="839"/>
      <c r="MXW155" s="839"/>
      <c r="MXX155" s="839"/>
      <c r="MXY155" s="839"/>
      <c r="MXZ155" s="839"/>
      <c r="MYA155" s="839"/>
      <c r="MYB155" s="839"/>
      <c r="MYC155" s="839"/>
      <c r="MYD155" s="839"/>
      <c r="MYE155" s="839"/>
      <c r="MYF155" s="839"/>
      <c r="MYG155" s="839"/>
      <c r="MYH155" s="839"/>
      <c r="MYI155" s="839"/>
      <c r="MYJ155" s="839"/>
      <c r="MYK155" s="839"/>
      <c r="MYL155" s="839"/>
      <c r="MYM155" s="839"/>
      <c r="MYN155" s="839"/>
      <c r="MYO155" s="839"/>
      <c r="MYP155" s="839"/>
      <c r="MYQ155" s="839"/>
      <c r="MYR155" s="839"/>
      <c r="MYS155" s="839"/>
      <c r="MYT155" s="839"/>
      <c r="MYU155" s="839"/>
      <c r="MYV155" s="839"/>
      <c r="MYW155" s="839"/>
      <c r="MYX155" s="839"/>
      <c r="MYY155" s="839"/>
      <c r="MYZ155" s="839"/>
      <c r="MZA155" s="839"/>
      <c r="MZB155" s="839"/>
      <c r="MZC155" s="839"/>
      <c r="MZD155" s="839"/>
      <c r="MZE155" s="839"/>
      <c r="MZF155" s="839"/>
      <c r="MZG155" s="839"/>
      <c r="MZH155" s="839"/>
      <c r="MZI155" s="839"/>
      <c r="MZJ155" s="839"/>
      <c r="MZK155" s="839"/>
      <c r="MZL155" s="839"/>
      <c r="MZM155" s="839"/>
      <c r="MZN155" s="839"/>
      <c r="MZO155" s="839"/>
      <c r="MZP155" s="839"/>
      <c r="MZQ155" s="839"/>
      <c r="MZR155" s="839"/>
      <c r="MZS155" s="839"/>
      <c r="MZT155" s="839"/>
      <c r="MZU155" s="839"/>
      <c r="MZV155" s="839"/>
      <c r="MZW155" s="839"/>
      <c r="MZX155" s="839"/>
      <c r="MZY155" s="839"/>
      <c r="MZZ155" s="839"/>
      <c r="NAA155" s="839"/>
      <c r="NAB155" s="839"/>
      <c r="NAC155" s="839"/>
      <c r="NAD155" s="839"/>
      <c r="NAE155" s="839"/>
      <c r="NAF155" s="839"/>
      <c r="NAG155" s="839"/>
      <c r="NAH155" s="839"/>
      <c r="NAI155" s="839"/>
      <c r="NAJ155" s="839"/>
      <c r="NAK155" s="839"/>
      <c r="NAL155" s="839"/>
      <c r="NAM155" s="839"/>
      <c r="NAN155" s="839"/>
      <c r="NAO155" s="839"/>
      <c r="NAP155" s="839"/>
      <c r="NAQ155" s="839"/>
      <c r="NAR155" s="839"/>
      <c r="NAS155" s="839"/>
      <c r="NAT155" s="839"/>
      <c r="NAU155" s="839"/>
      <c r="NAV155" s="839"/>
      <c r="NAW155" s="839"/>
      <c r="NAX155" s="839"/>
      <c r="NAY155" s="839"/>
      <c r="NAZ155" s="839"/>
      <c r="NBA155" s="839"/>
      <c r="NBB155" s="839"/>
      <c r="NBC155" s="839"/>
      <c r="NBD155" s="839"/>
      <c r="NBE155" s="839"/>
      <c r="NBF155" s="839"/>
      <c r="NBG155" s="839"/>
      <c r="NBH155" s="839"/>
      <c r="NBI155" s="839"/>
      <c r="NBJ155" s="839"/>
      <c r="NBK155" s="839"/>
      <c r="NBL155" s="839"/>
      <c r="NBM155" s="839"/>
      <c r="NBN155" s="839"/>
      <c r="NBO155" s="839"/>
      <c r="NBP155" s="839"/>
      <c r="NBQ155" s="839"/>
      <c r="NBR155" s="839"/>
      <c r="NBS155" s="839"/>
      <c r="NBT155" s="839"/>
      <c r="NBU155" s="839"/>
      <c r="NBV155" s="839"/>
      <c r="NBW155" s="839"/>
      <c r="NBX155" s="839"/>
      <c r="NBY155" s="839"/>
      <c r="NBZ155" s="839"/>
      <c r="NCA155" s="839"/>
      <c r="NCB155" s="839"/>
      <c r="NCC155" s="839"/>
      <c r="NCD155" s="839"/>
      <c r="NCE155" s="839"/>
      <c r="NCF155" s="839"/>
      <c r="NCG155" s="839"/>
      <c r="NCH155" s="839"/>
      <c r="NCI155" s="839"/>
      <c r="NCJ155" s="839"/>
      <c r="NCK155" s="839"/>
      <c r="NCL155" s="839"/>
      <c r="NCM155" s="839"/>
      <c r="NCN155" s="839"/>
      <c r="NCO155" s="839"/>
      <c r="NCP155" s="839"/>
      <c r="NCQ155" s="839"/>
      <c r="NCR155" s="839"/>
      <c r="NCS155" s="839"/>
      <c r="NCT155" s="839"/>
      <c r="NCU155" s="839"/>
      <c r="NCV155" s="839"/>
      <c r="NCW155" s="839"/>
      <c r="NCX155" s="839"/>
      <c r="NCY155" s="839"/>
      <c r="NCZ155" s="839"/>
      <c r="NDA155" s="839"/>
      <c r="NDB155" s="839"/>
      <c r="NDC155" s="839"/>
      <c r="NDD155" s="839"/>
      <c r="NDE155" s="839"/>
      <c r="NDF155" s="839"/>
      <c r="NDG155" s="839"/>
      <c r="NDH155" s="839"/>
      <c r="NDI155" s="839"/>
      <c r="NDJ155" s="839"/>
      <c r="NDK155" s="839"/>
      <c r="NDL155" s="839"/>
      <c r="NDM155" s="839"/>
      <c r="NDN155" s="839"/>
      <c r="NDO155" s="839"/>
      <c r="NDP155" s="839"/>
      <c r="NDQ155" s="839"/>
      <c r="NDR155" s="839"/>
      <c r="NDS155" s="839"/>
      <c r="NDT155" s="839"/>
      <c r="NDU155" s="839"/>
      <c r="NDV155" s="839"/>
      <c r="NDW155" s="839"/>
      <c r="NDX155" s="839"/>
      <c r="NDY155" s="839"/>
      <c r="NDZ155" s="839"/>
      <c r="NEA155" s="839"/>
      <c r="NEB155" s="839"/>
      <c r="NEC155" s="839"/>
      <c r="NED155" s="839"/>
      <c r="NEE155" s="839"/>
      <c r="NEF155" s="839"/>
      <c r="NEG155" s="839"/>
      <c r="NEH155" s="839"/>
      <c r="NEI155" s="839"/>
      <c r="NEJ155" s="839"/>
      <c r="NEK155" s="839"/>
      <c r="NEL155" s="839"/>
      <c r="NEM155" s="839"/>
      <c r="NEN155" s="839"/>
      <c r="NEO155" s="839"/>
      <c r="NEP155" s="839"/>
      <c r="NEQ155" s="839"/>
      <c r="NER155" s="839"/>
      <c r="NES155" s="839"/>
      <c r="NET155" s="839"/>
      <c r="NEU155" s="839"/>
      <c r="NEV155" s="839"/>
      <c r="NEW155" s="839"/>
      <c r="NEX155" s="839"/>
      <c r="NEY155" s="839"/>
      <c r="NEZ155" s="839"/>
      <c r="NFA155" s="839"/>
      <c r="NFB155" s="839"/>
      <c r="NFC155" s="839"/>
      <c r="NFD155" s="839"/>
      <c r="NFE155" s="839"/>
      <c r="NFF155" s="839"/>
      <c r="NFG155" s="839"/>
      <c r="NFH155" s="839"/>
      <c r="NFI155" s="839"/>
      <c r="NFJ155" s="839"/>
      <c r="NFK155" s="839"/>
      <c r="NFL155" s="839"/>
      <c r="NFM155" s="839"/>
      <c r="NFN155" s="839"/>
      <c r="NFO155" s="839"/>
      <c r="NFP155" s="839"/>
      <c r="NFQ155" s="839"/>
      <c r="NFR155" s="839"/>
      <c r="NFS155" s="839"/>
      <c r="NFT155" s="839"/>
      <c r="NFU155" s="839"/>
      <c r="NFV155" s="839"/>
      <c r="NFW155" s="839"/>
      <c r="NFX155" s="839"/>
      <c r="NFY155" s="839"/>
      <c r="NFZ155" s="839"/>
      <c r="NGA155" s="839"/>
      <c r="NGB155" s="839"/>
      <c r="NGC155" s="839"/>
      <c r="NGD155" s="839"/>
      <c r="NGE155" s="839"/>
      <c r="NGF155" s="839"/>
      <c r="NGG155" s="839"/>
      <c r="NGH155" s="839"/>
      <c r="NGI155" s="839"/>
      <c r="NGJ155" s="839"/>
      <c r="NGK155" s="839"/>
      <c r="NGL155" s="839"/>
      <c r="NGM155" s="839"/>
      <c r="NGN155" s="839"/>
      <c r="NGO155" s="839"/>
      <c r="NGP155" s="839"/>
      <c r="NGQ155" s="839"/>
      <c r="NGR155" s="839"/>
      <c r="NGS155" s="839"/>
      <c r="NGT155" s="839"/>
      <c r="NGU155" s="839"/>
      <c r="NGV155" s="839"/>
      <c r="NGW155" s="839"/>
      <c r="NGX155" s="839"/>
      <c r="NGY155" s="839"/>
      <c r="NGZ155" s="839"/>
      <c r="NHA155" s="839"/>
      <c r="NHB155" s="839"/>
      <c r="NHC155" s="839"/>
      <c r="NHD155" s="839"/>
      <c r="NHE155" s="839"/>
      <c r="NHF155" s="839"/>
      <c r="NHG155" s="839"/>
      <c r="NHH155" s="839"/>
      <c r="NHI155" s="839"/>
      <c r="NHJ155" s="839"/>
      <c r="NHK155" s="839"/>
      <c r="NHL155" s="839"/>
      <c r="NHM155" s="839"/>
      <c r="NHN155" s="839"/>
      <c r="NHO155" s="839"/>
      <c r="NHP155" s="839"/>
      <c r="NHQ155" s="839"/>
      <c r="NHR155" s="839"/>
      <c r="NHS155" s="839"/>
      <c r="NHT155" s="839"/>
      <c r="NHU155" s="839"/>
      <c r="NHV155" s="839"/>
      <c r="NHW155" s="839"/>
      <c r="NHX155" s="839"/>
      <c r="NHY155" s="839"/>
      <c r="NHZ155" s="839"/>
      <c r="NIA155" s="839"/>
      <c r="NIB155" s="839"/>
      <c r="NIC155" s="839"/>
      <c r="NID155" s="839"/>
      <c r="NIE155" s="839"/>
      <c r="NIF155" s="839"/>
      <c r="NIG155" s="839"/>
      <c r="NIH155" s="839"/>
      <c r="NII155" s="839"/>
      <c r="NIJ155" s="839"/>
      <c r="NIK155" s="839"/>
      <c r="NIL155" s="839"/>
      <c r="NIM155" s="839"/>
      <c r="NIN155" s="839"/>
      <c r="NIO155" s="839"/>
      <c r="NIP155" s="839"/>
      <c r="NIQ155" s="839"/>
      <c r="NIR155" s="839"/>
      <c r="NIS155" s="839"/>
      <c r="NIT155" s="839"/>
      <c r="NIU155" s="839"/>
      <c r="NIV155" s="839"/>
      <c r="NIW155" s="839"/>
      <c r="NIX155" s="839"/>
      <c r="NIY155" s="839"/>
      <c r="NIZ155" s="839"/>
      <c r="NJA155" s="839"/>
      <c r="NJB155" s="839"/>
      <c r="NJC155" s="839"/>
      <c r="NJD155" s="839"/>
      <c r="NJE155" s="839"/>
      <c r="NJF155" s="839"/>
      <c r="NJG155" s="839"/>
      <c r="NJH155" s="839"/>
      <c r="NJI155" s="839"/>
      <c r="NJJ155" s="839"/>
      <c r="NJK155" s="839"/>
      <c r="NJL155" s="839"/>
      <c r="NJM155" s="839"/>
      <c r="NJN155" s="839"/>
      <c r="NJO155" s="839"/>
      <c r="NJP155" s="839"/>
      <c r="NJQ155" s="839"/>
      <c r="NJR155" s="839"/>
      <c r="NJS155" s="839"/>
      <c r="NJT155" s="839"/>
      <c r="NJU155" s="839"/>
      <c r="NJV155" s="839"/>
      <c r="NJW155" s="839"/>
      <c r="NJX155" s="839"/>
      <c r="NJY155" s="839"/>
      <c r="NJZ155" s="839"/>
      <c r="NKA155" s="839"/>
      <c r="NKB155" s="839"/>
      <c r="NKC155" s="839"/>
      <c r="NKD155" s="839"/>
      <c r="NKE155" s="839"/>
      <c r="NKF155" s="839"/>
      <c r="NKG155" s="839"/>
      <c r="NKH155" s="839"/>
      <c r="NKI155" s="839"/>
      <c r="NKJ155" s="839"/>
      <c r="NKK155" s="839"/>
      <c r="NKL155" s="839"/>
      <c r="NKM155" s="839"/>
      <c r="NKN155" s="839"/>
      <c r="NKO155" s="839"/>
      <c r="NKP155" s="839"/>
      <c r="NKQ155" s="839"/>
      <c r="NKR155" s="839"/>
      <c r="NKS155" s="839"/>
      <c r="NKT155" s="839"/>
      <c r="NKU155" s="839"/>
      <c r="NKV155" s="839"/>
      <c r="NKW155" s="839"/>
      <c r="NKX155" s="839"/>
      <c r="NKY155" s="839"/>
      <c r="NKZ155" s="839"/>
      <c r="NLA155" s="839"/>
      <c r="NLB155" s="839"/>
      <c r="NLC155" s="839"/>
      <c r="NLD155" s="839"/>
      <c r="NLE155" s="839"/>
      <c r="NLF155" s="839"/>
      <c r="NLG155" s="839"/>
      <c r="NLH155" s="839"/>
      <c r="NLI155" s="839"/>
      <c r="NLJ155" s="839"/>
      <c r="NLK155" s="839"/>
      <c r="NLL155" s="839"/>
      <c r="NLM155" s="839"/>
      <c r="NLN155" s="839"/>
      <c r="NLO155" s="839"/>
      <c r="NLP155" s="839"/>
      <c r="NLQ155" s="839"/>
      <c r="NLR155" s="839"/>
      <c r="NLS155" s="839"/>
      <c r="NLT155" s="839"/>
      <c r="NLU155" s="839"/>
      <c r="NLV155" s="839"/>
      <c r="NLW155" s="839"/>
      <c r="NLX155" s="839"/>
      <c r="NLY155" s="839"/>
      <c r="NLZ155" s="839"/>
      <c r="NMA155" s="839"/>
      <c r="NMB155" s="839"/>
      <c r="NMC155" s="839"/>
      <c r="NMD155" s="839"/>
      <c r="NME155" s="839"/>
      <c r="NMF155" s="839"/>
      <c r="NMG155" s="839"/>
      <c r="NMH155" s="839"/>
      <c r="NMI155" s="839"/>
      <c r="NMJ155" s="839"/>
      <c r="NMK155" s="839"/>
      <c r="NML155" s="839"/>
      <c r="NMM155" s="839"/>
      <c r="NMN155" s="839"/>
      <c r="NMO155" s="839"/>
      <c r="NMP155" s="839"/>
      <c r="NMQ155" s="839"/>
      <c r="NMR155" s="839"/>
      <c r="NMS155" s="839"/>
      <c r="NMT155" s="839"/>
      <c r="NMU155" s="839"/>
      <c r="NMV155" s="839"/>
      <c r="NMW155" s="839"/>
      <c r="NMX155" s="839"/>
      <c r="NMY155" s="839"/>
      <c r="NMZ155" s="839"/>
      <c r="NNA155" s="839"/>
      <c r="NNB155" s="839"/>
      <c r="NNC155" s="839"/>
      <c r="NND155" s="839"/>
      <c r="NNE155" s="839"/>
      <c r="NNF155" s="839"/>
      <c r="NNG155" s="839"/>
      <c r="NNH155" s="839"/>
      <c r="NNI155" s="839"/>
      <c r="NNJ155" s="839"/>
      <c r="NNK155" s="839"/>
      <c r="NNL155" s="839"/>
      <c r="NNM155" s="839"/>
      <c r="NNN155" s="839"/>
      <c r="NNO155" s="839"/>
      <c r="NNP155" s="839"/>
      <c r="NNQ155" s="839"/>
      <c r="NNR155" s="839"/>
      <c r="NNS155" s="839"/>
      <c r="NNT155" s="839"/>
      <c r="NNU155" s="839"/>
      <c r="NNV155" s="839"/>
      <c r="NNW155" s="839"/>
      <c r="NNX155" s="839"/>
      <c r="NNY155" s="839"/>
      <c r="NNZ155" s="839"/>
      <c r="NOA155" s="839"/>
      <c r="NOB155" s="839"/>
      <c r="NOC155" s="839"/>
      <c r="NOD155" s="839"/>
      <c r="NOE155" s="839"/>
      <c r="NOF155" s="839"/>
      <c r="NOG155" s="839"/>
      <c r="NOH155" s="839"/>
      <c r="NOI155" s="839"/>
      <c r="NOJ155" s="839"/>
      <c r="NOK155" s="839"/>
      <c r="NOL155" s="839"/>
      <c r="NOM155" s="839"/>
      <c r="NON155" s="839"/>
      <c r="NOO155" s="839"/>
      <c r="NOP155" s="839"/>
      <c r="NOQ155" s="839"/>
      <c r="NOR155" s="839"/>
      <c r="NOS155" s="839"/>
      <c r="NOT155" s="839"/>
      <c r="NOU155" s="839"/>
      <c r="NOV155" s="839"/>
      <c r="NOW155" s="839"/>
      <c r="NOX155" s="839"/>
      <c r="NOY155" s="839"/>
      <c r="NOZ155" s="839"/>
      <c r="NPA155" s="839"/>
      <c r="NPB155" s="839"/>
      <c r="NPC155" s="839"/>
      <c r="NPD155" s="839"/>
      <c r="NPE155" s="839"/>
      <c r="NPF155" s="839"/>
      <c r="NPG155" s="839"/>
      <c r="NPH155" s="839"/>
      <c r="NPI155" s="839"/>
      <c r="NPJ155" s="839"/>
      <c r="NPK155" s="839"/>
      <c r="NPL155" s="839"/>
      <c r="NPM155" s="839"/>
      <c r="NPN155" s="839"/>
      <c r="NPO155" s="839"/>
      <c r="NPP155" s="839"/>
      <c r="NPQ155" s="839"/>
      <c r="NPR155" s="839"/>
      <c r="NPS155" s="839"/>
      <c r="NPT155" s="839"/>
      <c r="NPU155" s="839"/>
      <c r="NPV155" s="839"/>
      <c r="NPW155" s="839"/>
      <c r="NPX155" s="839"/>
      <c r="NPY155" s="839"/>
      <c r="NPZ155" s="839"/>
      <c r="NQA155" s="839"/>
      <c r="NQB155" s="839"/>
      <c r="NQC155" s="839"/>
      <c r="NQD155" s="839"/>
      <c r="NQE155" s="839"/>
      <c r="NQF155" s="839"/>
      <c r="NQG155" s="839"/>
      <c r="NQH155" s="839"/>
      <c r="NQI155" s="839"/>
      <c r="NQJ155" s="839"/>
      <c r="NQK155" s="839"/>
      <c r="NQL155" s="839"/>
      <c r="NQM155" s="839"/>
      <c r="NQN155" s="839"/>
      <c r="NQO155" s="839"/>
      <c r="NQP155" s="839"/>
      <c r="NQQ155" s="839"/>
      <c r="NQR155" s="839"/>
      <c r="NQS155" s="839"/>
      <c r="NQT155" s="839"/>
      <c r="NQU155" s="839"/>
      <c r="NQV155" s="839"/>
      <c r="NQW155" s="839"/>
      <c r="NQX155" s="839"/>
      <c r="NQY155" s="839"/>
      <c r="NQZ155" s="839"/>
      <c r="NRA155" s="839"/>
      <c r="NRB155" s="839"/>
      <c r="NRC155" s="839"/>
      <c r="NRD155" s="839"/>
      <c r="NRE155" s="839"/>
      <c r="NRF155" s="839"/>
      <c r="NRG155" s="839"/>
      <c r="NRH155" s="839"/>
      <c r="NRI155" s="839"/>
      <c r="NRJ155" s="839"/>
      <c r="NRK155" s="839"/>
      <c r="NRL155" s="839"/>
      <c r="NRM155" s="839"/>
      <c r="NRN155" s="839"/>
      <c r="NRO155" s="839"/>
      <c r="NRP155" s="839"/>
      <c r="NRQ155" s="839"/>
      <c r="NRR155" s="839"/>
      <c r="NRS155" s="839"/>
      <c r="NRT155" s="839"/>
      <c r="NRU155" s="839"/>
      <c r="NRV155" s="839"/>
      <c r="NRW155" s="839"/>
      <c r="NRX155" s="839"/>
      <c r="NRY155" s="839"/>
      <c r="NRZ155" s="839"/>
      <c r="NSA155" s="839"/>
      <c r="NSB155" s="839"/>
      <c r="NSC155" s="839"/>
      <c r="NSD155" s="839"/>
      <c r="NSE155" s="839"/>
      <c r="NSF155" s="839"/>
      <c r="NSG155" s="839"/>
      <c r="NSH155" s="839"/>
      <c r="NSI155" s="839"/>
      <c r="NSJ155" s="839"/>
      <c r="NSK155" s="839"/>
      <c r="NSL155" s="839"/>
      <c r="NSM155" s="839"/>
      <c r="NSN155" s="839"/>
      <c r="NSO155" s="839"/>
      <c r="NSP155" s="839"/>
      <c r="NSQ155" s="839"/>
      <c r="NSR155" s="839"/>
      <c r="NSS155" s="839"/>
      <c r="NST155" s="839"/>
      <c r="NSU155" s="839"/>
      <c r="NSV155" s="839"/>
      <c r="NSW155" s="839"/>
      <c r="NSX155" s="839"/>
      <c r="NSY155" s="839"/>
      <c r="NSZ155" s="839"/>
      <c r="NTA155" s="839"/>
      <c r="NTB155" s="839"/>
      <c r="NTC155" s="839"/>
      <c r="NTD155" s="839"/>
      <c r="NTE155" s="839"/>
      <c r="NTF155" s="839"/>
      <c r="NTG155" s="839"/>
      <c r="NTH155" s="839"/>
      <c r="NTI155" s="839"/>
      <c r="NTJ155" s="839"/>
      <c r="NTK155" s="839"/>
      <c r="NTL155" s="839"/>
      <c r="NTM155" s="839"/>
      <c r="NTN155" s="839"/>
      <c r="NTO155" s="839"/>
      <c r="NTP155" s="839"/>
      <c r="NTQ155" s="839"/>
      <c r="NTR155" s="839"/>
      <c r="NTS155" s="839"/>
      <c r="NTT155" s="839"/>
      <c r="NTU155" s="839"/>
      <c r="NTV155" s="839"/>
      <c r="NTW155" s="839"/>
      <c r="NTX155" s="839"/>
      <c r="NTY155" s="839"/>
      <c r="NTZ155" s="839"/>
      <c r="NUA155" s="839"/>
      <c r="NUB155" s="839"/>
      <c r="NUC155" s="839"/>
      <c r="NUD155" s="839"/>
      <c r="NUE155" s="839"/>
      <c r="NUF155" s="839"/>
      <c r="NUG155" s="839"/>
      <c r="NUH155" s="839"/>
      <c r="NUI155" s="839"/>
      <c r="NUJ155" s="839"/>
      <c r="NUK155" s="839"/>
      <c r="NUL155" s="839"/>
      <c r="NUM155" s="839"/>
      <c r="NUN155" s="839"/>
      <c r="NUO155" s="839"/>
      <c r="NUP155" s="839"/>
      <c r="NUQ155" s="839"/>
      <c r="NUR155" s="839"/>
      <c r="NUS155" s="839"/>
      <c r="NUT155" s="839"/>
      <c r="NUU155" s="839"/>
      <c r="NUV155" s="839"/>
      <c r="NUW155" s="839"/>
      <c r="NUX155" s="839"/>
      <c r="NUY155" s="839"/>
      <c r="NUZ155" s="839"/>
      <c r="NVA155" s="839"/>
      <c r="NVB155" s="839"/>
      <c r="NVC155" s="839"/>
      <c r="NVD155" s="839"/>
      <c r="NVE155" s="839"/>
      <c r="NVF155" s="839"/>
      <c r="NVG155" s="839"/>
      <c r="NVH155" s="839"/>
      <c r="NVI155" s="839"/>
      <c r="NVJ155" s="839"/>
      <c r="NVK155" s="839"/>
      <c r="NVL155" s="839"/>
      <c r="NVM155" s="839"/>
      <c r="NVN155" s="839"/>
      <c r="NVO155" s="839"/>
      <c r="NVP155" s="839"/>
      <c r="NVQ155" s="839"/>
      <c r="NVR155" s="839"/>
      <c r="NVS155" s="839"/>
      <c r="NVT155" s="839"/>
      <c r="NVU155" s="839"/>
      <c r="NVV155" s="839"/>
      <c r="NVW155" s="839"/>
      <c r="NVX155" s="839"/>
      <c r="NVY155" s="839"/>
      <c r="NVZ155" s="839"/>
      <c r="NWA155" s="839"/>
      <c r="NWB155" s="839"/>
      <c r="NWC155" s="839"/>
      <c r="NWD155" s="839"/>
      <c r="NWE155" s="839"/>
      <c r="NWF155" s="839"/>
      <c r="NWG155" s="839"/>
      <c r="NWH155" s="839"/>
      <c r="NWI155" s="839"/>
      <c r="NWJ155" s="839"/>
      <c r="NWK155" s="839"/>
      <c r="NWL155" s="839"/>
      <c r="NWM155" s="839"/>
      <c r="NWN155" s="839"/>
      <c r="NWO155" s="839"/>
      <c r="NWP155" s="839"/>
      <c r="NWQ155" s="839"/>
      <c r="NWR155" s="839"/>
      <c r="NWS155" s="839"/>
      <c r="NWT155" s="839"/>
      <c r="NWU155" s="839"/>
      <c r="NWV155" s="839"/>
      <c r="NWW155" s="839"/>
      <c r="NWX155" s="839"/>
      <c r="NWY155" s="839"/>
      <c r="NWZ155" s="839"/>
      <c r="NXA155" s="839"/>
      <c r="NXB155" s="839"/>
      <c r="NXC155" s="839"/>
      <c r="NXD155" s="839"/>
      <c r="NXE155" s="839"/>
      <c r="NXF155" s="839"/>
      <c r="NXG155" s="839"/>
      <c r="NXH155" s="839"/>
      <c r="NXI155" s="839"/>
      <c r="NXJ155" s="839"/>
      <c r="NXK155" s="839"/>
      <c r="NXL155" s="839"/>
      <c r="NXM155" s="839"/>
      <c r="NXN155" s="839"/>
      <c r="NXO155" s="839"/>
      <c r="NXP155" s="839"/>
      <c r="NXQ155" s="839"/>
      <c r="NXR155" s="839"/>
      <c r="NXS155" s="839"/>
      <c r="NXT155" s="839"/>
      <c r="NXU155" s="839"/>
      <c r="NXV155" s="839"/>
      <c r="NXW155" s="839"/>
      <c r="NXX155" s="839"/>
      <c r="NXY155" s="839"/>
      <c r="NXZ155" s="839"/>
      <c r="NYA155" s="839"/>
      <c r="NYB155" s="839"/>
      <c r="NYC155" s="839"/>
      <c r="NYD155" s="839"/>
      <c r="NYE155" s="839"/>
      <c r="NYF155" s="839"/>
      <c r="NYG155" s="839"/>
      <c r="NYH155" s="839"/>
      <c r="NYI155" s="839"/>
      <c r="NYJ155" s="839"/>
      <c r="NYK155" s="839"/>
      <c r="NYL155" s="839"/>
      <c r="NYM155" s="839"/>
      <c r="NYN155" s="839"/>
      <c r="NYO155" s="839"/>
      <c r="NYP155" s="839"/>
      <c r="NYQ155" s="839"/>
      <c r="NYR155" s="839"/>
      <c r="NYS155" s="839"/>
      <c r="NYT155" s="839"/>
      <c r="NYU155" s="839"/>
      <c r="NYV155" s="839"/>
      <c r="NYW155" s="839"/>
      <c r="NYX155" s="839"/>
      <c r="NYY155" s="839"/>
      <c r="NYZ155" s="839"/>
      <c r="NZA155" s="839"/>
      <c r="NZB155" s="839"/>
      <c r="NZC155" s="839"/>
      <c r="NZD155" s="839"/>
      <c r="NZE155" s="839"/>
      <c r="NZF155" s="839"/>
      <c r="NZG155" s="839"/>
      <c r="NZH155" s="839"/>
      <c r="NZI155" s="839"/>
      <c r="NZJ155" s="839"/>
      <c r="NZK155" s="839"/>
      <c r="NZL155" s="839"/>
      <c r="NZM155" s="839"/>
      <c r="NZN155" s="839"/>
      <c r="NZO155" s="839"/>
      <c r="NZP155" s="839"/>
      <c r="NZQ155" s="839"/>
      <c r="NZR155" s="839"/>
      <c r="NZS155" s="839"/>
      <c r="NZT155" s="839"/>
      <c r="NZU155" s="839"/>
      <c r="NZV155" s="839"/>
      <c r="NZW155" s="839"/>
      <c r="NZX155" s="839"/>
      <c r="NZY155" s="839"/>
      <c r="NZZ155" s="839"/>
      <c r="OAA155" s="839"/>
      <c r="OAB155" s="839"/>
      <c r="OAC155" s="839"/>
      <c r="OAD155" s="839"/>
      <c r="OAE155" s="839"/>
      <c r="OAF155" s="839"/>
      <c r="OAG155" s="839"/>
      <c r="OAH155" s="839"/>
      <c r="OAI155" s="839"/>
      <c r="OAJ155" s="839"/>
      <c r="OAK155" s="839"/>
      <c r="OAL155" s="839"/>
      <c r="OAM155" s="839"/>
      <c r="OAN155" s="839"/>
      <c r="OAO155" s="839"/>
      <c r="OAP155" s="839"/>
      <c r="OAQ155" s="839"/>
      <c r="OAR155" s="839"/>
      <c r="OAS155" s="839"/>
      <c r="OAT155" s="839"/>
      <c r="OAU155" s="839"/>
      <c r="OAV155" s="839"/>
      <c r="OAW155" s="839"/>
      <c r="OAX155" s="839"/>
      <c r="OAY155" s="839"/>
      <c r="OAZ155" s="839"/>
      <c r="OBA155" s="839"/>
      <c r="OBB155" s="839"/>
      <c r="OBC155" s="839"/>
      <c r="OBD155" s="839"/>
      <c r="OBE155" s="839"/>
      <c r="OBF155" s="839"/>
      <c r="OBG155" s="839"/>
      <c r="OBH155" s="839"/>
      <c r="OBI155" s="839"/>
      <c r="OBJ155" s="839"/>
      <c r="OBK155" s="839"/>
      <c r="OBL155" s="839"/>
      <c r="OBM155" s="839"/>
      <c r="OBN155" s="839"/>
      <c r="OBO155" s="839"/>
      <c r="OBP155" s="839"/>
      <c r="OBQ155" s="839"/>
      <c r="OBR155" s="839"/>
      <c r="OBS155" s="839"/>
      <c r="OBT155" s="839"/>
      <c r="OBU155" s="839"/>
      <c r="OBV155" s="839"/>
      <c r="OBW155" s="839"/>
      <c r="OBX155" s="839"/>
      <c r="OBY155" s="839"/>
      <c r="OBZ155" s="839"/>
      <c r="OCA155" s="839"/>
      <c r="OCB155" s="839"/>
      <c r="OCC155" s="839"/>
      <c r="OCD155" s="839"/>
      <c r="OCE155" s="839"/>
      <c r="OCF155" s="839"/>
      <c r="OCG155" s="839"/>
      <c r="OCH155" s="839"/>
      <c r="OCI155" s="839"/>
      <c r="OCJ155" s="839"/>
      <c r="OCK155" s="839"/>
      <c r="OCL155" s="839"/>
      <c r="OCM155" s="839"/>
      <c r="OCN155" s="839"/>
      <c r="OCO155" s="839"/>
      <c r="OCP155" s="839"/>
      <c r="OCQ155" s="839"/>
      <c r="OCR155" s="839"/>
      <c r="OCS155" s="839"/>
      <c r="OCT155" s="839"/>
      <c r="OCU155" s="839"/>
      <c r="OCV155" s="839"/>
      <c r="OCW155" s="839"/>
      <c r="OCX155" s="839"/>
      <c r="OCY155" s="839"/>
      <c r="OCZ155" s="839"/>
      <c r="ODA155" s="839"/>
      <c r="ODB155" s="839"/>
      <c r="ODC155" s="839"/>
      <c r="ODD155" s="839"/>
      <c r="ODE155" s="839"/>
      <c r="ODF155" s="839"/>
      <c r="ODG155" s="839"/>
      <c r="ODH155" s="839"/>
      <c r="ODI155" s="839"/>
      <c r="ODJ155" s="839"/>
      <c r="ODK155" s="839"/>
      <c r="ODL155" s="839"/>
      <c r="ODM155" s="839"/>
      <c r="ODN155" s="839"/>
      <c r="ODO155" s="839"/>
      <c r="ODP155" s="839"/>
      <c r="ODQ155" s="839"/>
      <c r="ODR155" s="839"/>
      <c r="ODS155" s="839"/>
      <c r="ODT155" s="839"/>
      <c r="ODU155" s="839"/>
      <c r="ODV155" s="839"/>
      <c r="ODW155" s="839"/>
      <c r="ODX155" s="839"/>
      <c r="ODY155" s="839"/>
      <c r="ODZ155" s="839"/>
      <c r="OEA155" s="839"/>
      <c r="OEB155" s="839"/>
      <c r="OEC155" s="839"/>
      <c r="OED155" s="839"/>
      <c r="OEE155" s="839"/>
      <c r="OEF155" s="839"/>
      <c r="OEG155" s="839"/>
      <c r="OEH155" s="839"/>
      <c r="OEI155" s="839"/>
      <c r="OEJ155" s="839"/>
      <c r="OEK155" s="839"/>
      <c r="OEL155" s="839"/>
      <c r="OEM155" s="839"/>
      <c r="OEN155" s="839"/>
      <c r="OEO155" s="839"/>
      <c r="OEP155" s="839"/>
      <c r="OEQ155" s="839"/>
      <c r="OER155" s="839"/>
      <c r="OES155" s="839"/>
      <c r="OET155" s="839"/>
      <c r="OEU155" s="839"/>
      <c r="OEV155" s="839"/>
      <c r="OEW155" s="839"/>
      <c r="OEX155" s="839"/>
      <c r="OEY155" s="839"/>
      <c r="OEZ155" s="839"/>
      <c r="OFA155" s="839"/>
      <c r="OFB155" s="839"/>
      <c r="OFC155" s="839"/>
      <c r="OFD155" s="839"/>
      <c r="OFE155" s="839"/>
      <c r="OFF155" s="839"/>
      <c r="OFG155" s="839"/>
      <c r="OFH155" s="839"/>
      <c r="OFI155" s="839"/>
      <c r="OFJ155" s="839"/>
      <c r="OFK155" s="839"/>
      <c r="OFL155" s="839"/>
      <c r="OFM155" s="839"/>
      <c r="OFN155" s="839"/>
      <c r="OFO155" s="839"/>
      <c r="OFP155" s="839"/>
      <c r="OFQ155" s="839"/>
      <c r="OFR155" s="839"/>
      <c r="OFS155" s="839"/>
      <c r="OFT155" s="839"/>
      <c r="OFU155" s="839"/>
      <c r="OFV155" s="839"/>
      <c r="OFW155" s="839"/>
      <c r="OFX155" s="839"/>
      <c r="OFY155" s="839"/>
      <c r="OFZ155" s="839"/>
      <c r="OGA155" s="839"/>
      <c r="OGB155" s="839"/>
      <c r="OGC155" s="839"/>
      <c r="OGD155" s="839"/>
      <c r="OGE155" s="839"/>
      <c r="OGF155" s="839"/>
      <c r="OGG155" s="839"/>
      <c r="OGH155" s="839"/>
      <c r="OGI155" s="839"/>
      <c r="OGJ155" s="839"/>
      <c r="OGK155" s="839"/>
      <c r="OGL155" s="839"/>
      <c r="OGM155" s="839"/>
      <c r="OGN155" s="839"/>
      <c r="OGO155" s="839"/>
      <c r="OGP155" s="839"/>
      <c r="OGQ155" s="839"/>
      <c r="OGR155" s="839"/>
      <c r="OGS155" s="839"/>
      <c r="OGT155" s="839"/>
      <c r="OGU155" s="839"/>
      <c r="OGV155" s="839"/>
      <c r="OGW155" s="839"/>
      <c r="OGX155" s="839"/>
      <c r="OGY155" s="839"/>
      <c r="OGZ155" s="839"/>
      <c r="OHA155" s="839"/>
      <c r="OHB155" s="839"/>
      <c r="OHC155" s="839"/>
      <c r="OHD155" s="839"/>
      <c r="OHE155" s="839"/>
      <c r="OHF155" s="839"/>
      <c r="OHG155" s="839"/>
      <c r="OHH155" s="839"/>
      <c r="OHI155" s="839"/>
      <c r="OHJ155" s="839"/>
      <c r="OHK155" s="839"/>
      <c r="OHL155" s="839"/>
      <c r="OHM155" s="839"/>
      <c r="OHN155" s="839"/>
      <c r="OHO155" s="839"/>
      <c r="OHP155" s="839"/>
      <c r="OHQ155" s="839"/>
      <c r="OHR155" s="839"/>
      <c r="OHS155" s="839"/>
      <c r="OHT155" s="839"/>
      <c r="OHU155" s="839"/>
      <c r="OHV155" s="839"/>
      <c r="OHW155" s="839"/>
      <c r="OHX155" s="839"/>
      <c r="OHY155" s="839"/>
      <c r="OHZ155" s="839"/>
      <c r="OIA155" s="839"/>
      <c r="OIB155" s="839"/>
      <c r="OIC155" s="839"/>
      <c r="OID155" s="839"/>
      <c r="OIE155" s="839"/>
      <c r="OIF155" s="839"/>
      <c r="OIG155" s="839"/>
      <c r="OIH155" s="839"/>
      <c r="OII155" s="839"/>
      <c r="OIJ155" s="839"/>
      <c r="OIK155" s="839"/>
      <c r="OIL155" s="839"/>
      <c r="OIM155" s="839"/>
      <c r="OIN155" s="839"/>
      <c r="OIO155" s="839"/>
      <c r="OIP155" s="839"/>
      <c r="OIQ155" s="839"/>
      <c r="OIR155" s="839"/>
      <c r="OIS155" s="839"/>
      <c r="OIT155" s="839"/>
      <c r="OIU155" s="839"/>
      <c r="OIV155" s="839"/>
      <c r="OIW155" s="839"/>
      <c r="OIX155" s="839"/>
      <c r="OIY155" s="839"/>
      <c r="OIZ155" s="839"/>
      <c r="OJA155" s="839"/>
      <c r="OJB155" s="839"/>
      <c r="OJC155" s="839"/>
      <c r="OJD155" s="839"/>
      <c r="OJE155" s="839"/>
      <c r="OJF155" s="839"/>
      <c r="OJG155" s="839"/>
      <c r="OJH155" s="839"/>
      <c r="OJI155" s="839"/>
      <c r="OJJ155" s="839"/>
      <c r="OJK155" s="839"/>
      <c r="OJL155" s="839"/>
      <c r="OJM155" s="839"/>
      <c r="OJN155" s="839"/>
      <c r="OJO155" s="839"/>
      <c r="OJP155" s="839"/>
      <c r="OJQ155" s="839"/>
      <c r="OJR155" s="839"/>
      <c r="OJS155" s="839"/>
      <c r="OJT155" s="839"/>
      <c r="OJU155" s="839"/>
      <c r="OJV155" s="839"/>
      <c r="OJW155" s="839"/>
      <c r="OJX155" s="839"/>
      <c r="OJY155" s="839"/>
      <c r="OJZ155" s="839"/>
      <c r="OKA155" s="839"/>
      <c r="OKB155" s="839"/>
      <c r="OKC155" s="839"/>
      <c r="OKD155" s="839"/>
      <c r="OKE155" s="839"/>
      <c r="OKF155" s="839"/>
      <c r="OKG155" s="839"/>
      <c r="OKH155" s="839"/>
      <c r="OKI155" s="839"/>
      <c r="OKJ155" s="839"/>
      <c r="OKK155" s="839"/>
      <c r="OKL155" s="839"/>
      <c r="OKM155" s="839"/>
      <c r="OKN155" s="839"/>
      <c r="OKO155" s="839"/>
      <c r="OKP155" s="839"/>
      <c r="OKQ155" s="839"/>
      <c r="OKR155" s="839"/>
      <c r="OKS155" s="839"/>
      <c r="OKT155" s="839"/>
      <c r="OKU155" s="839"/>
      <c r="OKV155" s="839"/>
      <c r="OKW155" s="839"/>
      <c r="OKX155" s="839"/>
      <c r="OKY155" s="839"/>
      <c r="OKZ155" s="839"/>
      <c r="OLA155" s="839"/>
      <c r="OLB155" s="839"/>
      <c r="OLC155" s="839"/>
      <c r="OLD155" s="839"/>
      <c r="OLE155" s="839"/>
      <c r="OLF155" s="839"/>
      <c r="OLG155" s="839"/>
      <c r="OLH155" s="839"/>
      <c r="OLI155" s="839"/>
      <c r="OLJ155" s="839"/>
      <c r="OLK155" s="839"/>
      <c r="OLL155" s="839"/>
      <c r="OLM155" s="839"/>
      <c r="OLN155" s="839"/>
      <c r="OLO155" s="839"/>
      <c r="OLP155" s="839"/>
      <c r="OLQ155" s="839"/>
      <c r="OLR155" s="839"/>
      <c r="OLS155" s="839"/>
      <c r="OLT155" s="839"/>
      <c r="OLU155" s="839"/>
      <c r="OLV155" s="839"/>
      <c r="OLW155" s="839"/>
      <c r="OLX155" s="839"/>
      <c r="OLY155" s="839"/>
      <c r="OLZ155" s="839"/>
      <c r="OMA155" s="839"/>
      <c r="OMB155" s="839"/>
      <c r="OMC155" s="839"/>
      <c r="OMD155" s="839"/>
      <c r="OME155" s="839"/>
      <c r="OMF155" s="839"/>
      <c r="OMG155" s="839"/>
      <c r="OMH155" s="839"/>
      <c r="OMI155" s="839"/>
      <c r="OMJ155" s="839"/>
      <c r="OMK155" s="839"/>
      <c r="OML155" s="839"/>
      <c r="OMM155" s="839"/>
      <c r="OMN155" s="839"/>
      <c r="OMO155" s="839"/>
      <c r="OMP155" s="839"/>
      <c r="OMQ155" s="839"/>
      <c r="OMR155" s="839"/>
      <c r="OMS155" s="839"/>
      <c r="OMT155" s="839"/>
      <c r="OMU155" s="839"/>
      <c r="OMV155" s="839"/>
      <c r="OMW155" s="839"/>
      <c r="OMX155" s="839"/>
      <c r="OMY155" s="839"/>
      <c r="OMZ155" s="839"/>
      <c r="ONA155" s="839"/>
      <c r="ONB155" s="839"/>
      <c r="ONC155" s="839"/>
      <c r="OND155" s="839"/>
      <c r="ONE155" s="839"/>
      <c r="ONF155" s="839"/>
      <c r="ONG155" s="839"/>
      <c r="ONH155" s="839"/>
      <c r="ONI155" s="839"/>
      <c r="ONJ155" s="839"/>
      <c r="ONK155" s="839"/>
      <c r="ONL155" s="839"/>
      <c r="ONM155" s="839"/>
      <c r="ONN155" s="839"/>
      <c r="ONO155" s="839"/>
      <c r="ONP155" s="839"/>
      <c r="ONQ155" s="839"/>
      <c r="ONR155" s="839"/>
      <c r="ONS155" s="839"/>
      <c r="ONT155" s="839"/>
      <c r="ONU155" s="839"/>
      <c r="ONV155" s="839"/>
      <c r="ONW155" s="839"/>
      <c r="ONX155" s="839"/>
      <c r="ONY155" s="839"/>
      <c r="ONZ155" s="839"/>
      <c r="OOA155" s="839"/>
      <c r="OOB155" s="839"/>
      <c r="OOC155" s="839"/>
      <c r="OOD155" s="839"/>
      <c r="OOE155" s="839"/>
      <c r="OOF155" s="839"/>
      <c r="OOG155" s="839"/>
      <c r="OOH155" s="839"/>
      <c r="OOI155" s="839"/>
      <c r="OOJ155" s="839"/>
      <c r="OOK155" s="839"/>
      <c r="OOL155" s="839"/>
      <c r="OOM155" s="839"/>
      <c r="OON155" s="839"/>
      <c r="OOO155" s="839"/>
      <c r="OOP155" s="839"/>
      <c r="OOQ155" s="839"/>
      <c r="OOR155" s="839"/>
      <c r="OOS155" s="839"/>
      <c r="OOT155" s="839"/>
      <c r="OOU155" s="839"/>
      <c r="OOV155" s="839"/>
      <c r="OOW155" s="839"/>
      <c r="OOX155" s="839"/>
      <c r="OOY155" s="839"/>
      <c r="OOZ155" s="839"/>
      <c r="OPA155" s="839"/>
      <c r="OPB155" s="839"/>
      <c r="OPC155" s="839"/>
      <c r="OPD155" s="839"/>
      <c r="OPE155" s="839"/>
      <c r="OPF155" s="839"/>
      <c r="OPG155" s="839"/>
      <c r="OPH155" s="839"/>
      <c r="OPI155" s="839"/>
      <c r="OPJ155" s="839"/>
      <c r="OPK155" s="839"/>
      <c r="OPL155" s="839"/>
      <c r="OPM155" s="839"/>
      <c r="OPN155" s="839"/>
      <c r="OPO155" s="839"/>
      <c r="OPP155" s="839"/>
      <c r="OPQ155" s="839"/>
      <c r="OPR155" s="839"/>
      <c r="OPS155" s="839"/>
      <c r="OPT155" s="839"/>
      <c r="OPU155" s="839"/>
      <c r="OPV155" s="839"/>
      <c r="OPW155" s="839"/>
      <c r="OPX155" s="839"/>
      <c r="OPY155" s="839"/>
      <c r="OPZ155" s="839"/>
      <c r="OQA155" s="839"/>
      <c r="OQB155" s="839"/>
      <c r="OQC155" s="839"/>
      <c r="OQD155" s="839"/>
      <c r="OQE155" s="839"/>
      <c r="OQF155" s="839"/>
      <c r="OQG155" s="839"/>
      <c r="OQH155" s="839"/>
      <c r="OQI155" s="839"/>
      <c r="OQJ155" s="839"/>
      <c r="OQK155" s="839"/>
      <c r="OQL155" s="839"/>
      <c r="OQM155" s="839"/>
      <c r="OQN155" s="839"/>
      <c r="OQO155" s="839"/>
      <c r="OQP155" s="839"/>
      <c r="OQQ155" s="839"/>
      <c r="OQR155" s="839"/>
      <c r="OQS155" s="839"/>
      <c r="OQT155" s="839"/>
      <c r="OQU155" s="839"/>
      <c r="OQV155" s="839"/>
      <c r="OQW155" s="839"/>
      <c r="OQX155" s="839"/>
      <c r="OQY155" s="839"/>
      <c r="OQZ155" s="839"/>
      <c r="ORA155" s="839"/>
      <c r="ORB155" s="839"/>
      <c r="ORC155" s="839"/>
      <c r="ORD155" s="839"/>
      <c r="ORE155" s="839"/>
      <c r="ORF155" s="839"/>
      <c r="ORG155" s="839"/>
      <c r="ORH155" s="839"/>
      <c r="ORI155" s="839"/>
      <c r="ORJ155" s="839"/>
      <c r="ORK155" s="839"/>
      <c r="ORL155" s="839"/>
      <c r="ORM155" s="839"/>
      <c r="ORN155" s="839"/>
      <c r="ORO155" s="839"/>
      <c r="ORP155" s="839"/>
      <c r="ORQ155" s="839"/>
      <c r="ORR155" s="839"/>
      <c r="ORS155" s="839"/>
      <c r="ORT155" s="839"/>
      <c r="ORU155" s="839"/>
      <c r="ORV155" s="839"/>
      <c r="ORW155" s="839"/>
      <c r="ORX155" s="839"/>
      <c r="ORY155" s="839"/>
      <c r="ORZ155" s="839"/>
      <c r="OSA155" s="839"/>
      <c r="OSB155" s="839"/>
      <c r="OSC155" s="839"/>
      <c r="OSD155" s="839"/>
      <c r="OSE155" s="839"/>
      <c r="OSF155" s="839"/>
      <c r="OSG155" s="839"/>
      <c r="OSH155" s="839"/>
      <c r="OSI155" s="839"/>
      <c r="OSJ155" s="839"/>
      <c r="OSK155" s="839"/>
      <c r="OSL155" s="839"/>
      <c r="OSM155" s="839"/>
      <c r="OSN155" s="839"/>
      <c r="OSO155" s="839"/>
      <c r="OSP155" s="839"/>
      <c r="OSQ155" s="839"/>
      <c r="OSR155" s="839"/>
      <c r="OSS155" s="839"/>
      <c r="OST155" s="839"/>
      <c r="OSU155" s="839"/>
      <c r="OSV155" s="839"/>
      <c r="OSW155" s="839"/>
      <c r="OSX155" s="839"/>
      <c r="OSY155" s="839"/>
      <c r="OSZ155" s="839"/>
      <c r="OTA155" s="839"/>
      <c r="OTB155" s="839"/>
      <c r="OTC155" s="839"/>
      <c r="OTD155" s="839"/>
      <c r="OTE155" s="839"/>
      <c r="OTF155" s="839"/>
      <c r="OTG155" s="839"/>
      <c r="OTH155" s="839"/>
      <c r="OTI155" s="839"/>
      <c r="OTJ155" s="839"/>
      <c r="OTK155" s="839"/>
      <c r="OTL155" s="839"/>
      <c r="OTM155" s="839"/>
      <c r="OTN155" s="839"/>
      <c r="OTO155" s="839"/>
      <c r="OTP155" s="839"/>
      <c r="OTQ155" s="839"/>
      <c r="OTR155" s="839"/>
      <c r="OTS155" s="839"/>
      <c r="OTT155" s="839"/>
      <c r="OTU155" s="839"/>
      <c r="OTV155" s="839"/>
      <c r="OTW155" s="839"/>
      <c r="OTX155" s="839"/>
      <c r="OTY155" s="839"/>
      <c r="OTZ155" s="839"/>
      <c r="OUA155" s="839"/>
      <c r="OUB155" s="839"/>
      <c r="OUC155" s="839"/>
      <c r="OUD155" s="839"/>
      <c r="OUE155" s="839"/>
      <c r="OUF155" s="839"/>
      <c r="OUG155" s="839"/>
      <c r="OUH155" s="839"/>
      <c r="OUI155" s="839"/>
      <c r="OUJ155" s="839"/>
      <c r="OUK155" s="839"/>
      <c r="OUL155" s="839"/>
      <c r="OUM155" s="839"/>
      <c r="OUN155" s="839"/>
      <c r="OUO155" s="839"/>
      <c r="OUP155" s="839"/>
      <c r="OUQ155" s="839"/>
      <c r="OUR155" s="839"/>
      <c r="OUS155" s="839"/>
      <c r="OUT155" s="839"/>
      <c r="OUU155" s="839"/>
      <c r="OUV155" s="839"/>
      <c r="OUW155" s="839"/>
      <c r="OUX155" s="839"/>
      <c r="OUY155" s="839"/>
      <c r="OUZ155" s="839"/>
      <c r="OVA155" s="839"/>
      <c r="OVB155" s="839"/>
      <c r="OVC155" s="839"/>
      <c r="OVD155" s="839"/>
      <c r="OVE155" s="839"/>
      <c r="OVF155" s="839"/>
      <c r="OVG155" s="839"/>
      <c r="OVH155" s="839"/>
      <c r="OVI155" s="839"/>
      <c r="OVJ155" s="839"/>
      <c r="OVK155" s="839"/>
      <c r="OVL155" s="839"/>
      <c r="OVM155" s="839"/>
      <c r="OVN155" s="839"/>
      <c r="OVO155" s="839"/>
      <c r="OVP155" s="839"/>
      <c r="OVQ155" s="839"/>
      <c r="OVR155" s="839"/>
      <c r="OVS155" s="839"/>
      <c r="OVT155" s="839"/>
      <c r="OVU155" s="839"/>
      <c r="OVV155" s="839"/>
      <c r="OVW155" s="839"/>
      <c r="OVX155" s="839"/>
      <c r="OVY155" s="839"/>
      <c r="OVZ155" s="839"/>
      <c r="OWA155" s="839"/>
      <c r="OWB155" s="839"/>
      <c r="OWC155" s="839"/>
      <c r="OWD155" s="839"/>
      <c r="OWE155" s="839"/>
      <c r="OWF155" s="839"/>
      <c r="OWG155" s="839"/>
      <c r="OWH155" s="839"/>
      <c r="OWI155" s="839"/>
      <c r="OWJ155" s="839"/>
      <c r="OWK155" s="839"/>
      <c r="OWL155" s="839"/>
      <c r="OWM155" s="839"/>
      <c r="OWN155" s="839"/>
      <c r="OWO155" s="839"/>
      <c r="OWP155" s="839"/>
      <c r="OWQ155" s="839"/>
      <c r="OWR155" s="839"/>
      <c r="OWS155" s="839"/>
      <c r="OWT155" s="839"/>
      <c r="OWU155" s="839"/>
      <c r="OWV155" s="839"/>
      <c r="OWW155" s="839"/>
      <c r="OWX155" s="839"/>
      <c r="OWY155" s="839"/>
      <c r="OWZ155" s="839"/>
      <c r="OXA155" s="839"/>
      <c r="OXB155" s="839"/>
      <c r="OXC155" s="839"/>
      <c r="OXD155" s="839"/>
      <c r="OXE155" s="839"/>
      <c r="OXF155" s="839"/>
      <c r="OXG155" s="839"/>
      <c r="OXH155" s="839"/>
      <c r="OXI155" s="839"/>
      <c r="OXJ155" s="839"/>
      <c r="OXK155" s="839"/>
      <c r="OXL155" s="839"/>
      <c r="OXM155" s="839"/>
      <c r="OXN155" s="839"/>
      <c r="OXO155" s="839"/>
      <c r="OXP155" s="839"/>
      <c r="OXQ155" s="839"/>
      <c r="OXR155" s="839"/>
      <c r="OXS155" s="839"/>
      <c r="OXT155" s="839"/>
      <c r="OXU155" s="839"/>
      <c r="OXV155" s="839"/>
      <c r="OXW155" s="839"/>
      <c r="OXX155" s="839"/>
      <c r="OXY155" s="839"/>
      <c r="OXZ155" s="839"/>
      <c r="OYA155" s="839"/>
      <c r="OYB155" s="839"/>
      <c r="OYC155" s="839"/>
      <c r="OYD155" s="839"/>
      <c r="OYE155" s="839"/>
      <c r="OYF155" s="839"/>
      <c r="OYG155" s="839"/>
      <c r="OYH155" s="839"/>
      <c r="OYI155" s="839"/>
      <c r="OYJ155" s="839"/>
      <c r="OYK155" s="839"/>
      <c r="OYL155" s="839"/>
      <c r="OYM155" s="839"/>
      <c r="OYN155" s="839"/>
      <c r="OYO155" s="839"/>
      <c r="OYP155" s="839"/>
      <c r="OYQ155" s="839"/>
      <c r="OYR155" s="839"/>
      <c r="OYS155" s="839"/>
      <c r="OYT155" s="839"/>
      <c r="OYU155" s="839"/>
      <c r="OYV155" s="839"/>
      <c r="OYW155" s="839"/>
      <c r="OYX155" s="839"/>
      <c r="OYY155" s="839"/>
      <c r="OYZ155" s="839"/>
      <c r="OZA155" s="839"/>
      <c r="OZB155" s="839"/>
      <c r="OZC155" s="839"/>
      <c r="OZD155" s="839"/>
      <c r="OZE155" s="839"/>
      <c r="OZF155" s="839"/>
      <c r="OZG155" s="839"/>
      <c r="OZH155" s="839"/>
      <c r="OZI155" s="839"/>
      <c r="OZJ155" s="839"/>
      <c r="OZK155" s="839"/>
      <c r="OZL155" s="839"/>
      <c r="OZM155" s="839"/>
      <c r="OZN155" s="839"/>
      <c r="OZO155" s="839"/>
      <c r="OZP155" s="839"/>
      <c r="OZQ155" s="839"/>
      <c r="OZR155" s="839"/>
      <c r="OZS155" s="839"/>
      <c r="OZT155" s="839"/>
      <c r="OZU155" s="839"/>
      <c r="OZV155" s="839"/>
      <c r="OZW155" s="839"/>
      <c r="OZX155" s="839"/>
      <c r="OZY155" s="839"/>
      <c r="OZZ155" s="839"/>
      <c r="PAA155" s="839"/>
      <c r="PAB155" s="839"/>
      <c r="PAC155" s="839"/>
      <c r="PAD155" s="839"/>
      <c r="PAE155" s="839"/>
      <c r="PAF155" s="839"/>
      <c r="PAG155" s="839"/>
      <c r="PAH155" s="839"/>
      <c r="PAI155" s="839"/>
      <c r="PAJ155" s="839"/>
      <c r="PAK155" s="839"/>
      <c r="PAL155" s="839"/>
      <c r="PAM155" s="839"/>
      <c r="PAN155" s="839"/>
      <c r="PAO155" s="839"/>
      <c r="PAP155" s="839"/>
      <c r="PAQ155" s="839"/>
      <c r="PAR155" s="839"/>
      <c r="PAS155" s="839"/>
      <c r="PAT155" s="839"/>
      <c r="PAU155" s="839"/>
      <c r="PAV155" s="839"/>
      <c r="PAW155" s="839"/>
      <c r="PAX155" s="839"/>
      <c r="PAY155" s="839"/>
      <c r="PAZ155" s="839"/>
      <c r="PBA155" s="839"/>
      <c r="PBB155" s="839"/>
      <c r="PBC155" s="839"/>
      <c r="PBD155" s="839"/>
      <c r="PBE155" s="839"/>
      <c r="PBF155" s="839"/>
      <c r="PBG155" s="839"/>
      <c r="PBH155" s="839"/>
      <c r="PBI155" s="839"/>
      <c r="PBJ155" s="839"/>
      <c r="PBK155" s="839"/>
      <c r="PBL155" s="839"/>
      <c r="PBM155" s="839"/>
      <c r="PBN155" s="839"/>
      <c r="PBO155" s="839"/>
      <c r="PBP155" s="839"/>
      <c r="PBQ155" s="839"/>
      <c r="PBR155" s="839"/>
      <c r="PBS155" s="839"/>
      <c r="PBT155" s="839"/>
      <c r="PBU155" s="839"/>
      <c r="PBV155" s="839"/>
      <c r="PBW155" s="839"/>
      <c r="PBX155" s="839"/>
      <c r="PBY155" s="839"/>
      <c r="PBZ155" s="839"/>
      <c r="PCA155" s="839"/>
      <c r="PCB155" s="839"/>
      <c r="PCC155" s="839"/>
      <c r="PCD155" s="839"/>
      <c r="PCE155" s="839"/>
      <c r="PCF155" s="839"/>
      <c r="PCG155" s="839"/>
      <c r="PCH155" s="839"/>
      <c r="PCI155" s="839"/>
      <c r="PCJ155" s="839"/>
      <c r="PCK155" s="839"/>
      <c r="PCL155" s="839"/>
      <c r="PCM155" s="839"/>
      <c r="PCN155" s="839"/>
      <c r="PCO155" s="839"/>
      <c r="PCP155" s="839"/>
      <c r="PCQ155" s="839"/>
      <c r="PCR155" s="839"/>
      <c r="PCS155" s="839"/>
      <c r="PCT155" s="839"/>
      <c r="PCU155" s="839"/>
      <c r="PCV155" s="839"/>
      <c r="PCW155" s="839"/>
      <c r="PCX155" s="839"/>
      <c r="PCY155" s="839"/>
      <c r="PCZ155" s="839"/>
      <c r="PDA155" s="839"/>
      <c r="PDB155" s="839"/>
      <c r="PDC155" s="839"/>
      <c r="PDD155" s="839"/>
      <c r="PDE155" s="839"/>
      <c r="PDF155" s="839"/>
      <c r="PDG155" s="839"/>
      <c r="PDH155" s="839"/>
      <c r="PDI155" s="839"/>
      <c r="PDJ155" s="839"/>
      <c r="PDK155" s="839"/>
      <c r="PDL155" s="839"/>
      <c r="PDM155" s="839"/>
      <c r="PDN155" s="839"/>
      <c r="PDO155" s="839"/>
      <c r="PDP155" s="839"/>
      <c r="PDQ155" s="839"/>
      <c r="PDR155" s="839"/>
      <c r="PDS155" s="839"/>
      <c r="PDT155" s="839"/>
      <c r="PDU155" s="839"/>
      <c r="PDV155" s="839"/>
      <c r="PDW155" s="839"/>
      <c r="PDX155" s="839"/>
      <c r="PDY155" s="839"/>
      <c r="PDZ155" s="839"/>
      <c r="PEA155" s="839"/>
      <c r="PEB155" s="839"/>
      <c r="PEC155" s="839"/>
      <c r="PED155" s="839"/>
      <c r="PEE155" s="839"/>
      <c r="PEF155" s="839"/>
      <c r="PEG155" s="839"/>
      <c r="PEH155" s="839"/>
      <c r="PEI155" s="839"/>
      <c r="PEJ155" s="839"/>
      <c r="PEK155" s="839"/>
      <c r="PEL155" s="839"/>
      <c r="PEM155" s="839"/>
      <c r="PEN155" s="839"/>
      <c r="PEO155" s="839"/>
      <c r="PEP155" s="839"/>
      <c r="PEQ155" s="839"/>
      <c r="PER155" s="839"/>
      <c r="PES155" s="839"/>
      <c r="PET155" s="839"/>
      <c r="PEU155" s="839"/>
      <c r="PEV155" s="839"/>
      <c r="PEW155" s="839"/>
      <c r="PEX155" s="839"/>
      <c r="PEY155" s="839"/>
      <c r="PEZ155" s="839"/>
      <c r="PFA155" s="839"/>
      <c r="PFB155" s="839"/>
      <c r="PFC155" s="839"/>
      <c r="PFD155" s="839"/>
      <c r="PFE155" s="839"/>
      <c r="PFF155" s="839"/>
      <c r="PFG155" s="839"/>
      <c r="PFH155" s="839"/>
      <c r="PFI155" s="839"/>
      <c r="PFJ155" s="839"/>
      <c r="PFK155" s="839"/>
      <c r="PFL155" s="839"/>
      <c r="PFM155" s="839"/>
      <c r="PFN155" s="839"/>
      <c r="PFO155" s="839"/>
      <c r="PFP155" s="839"/>
      <c r="PFQ155" s="839"/>
      <c r="PFR155" s="839"/>
      <c r="PFS155" s="839"/>
      <c r="PFT155" s="839"/>
      <c r="PFU155" s="839"/>
      <c r="PFV155" s="839"/>
      <c r="PFW155" s="839"/>
      <c r="PFX155" s="839"/>
      <c r="PFY155" s="839"/>
      <c r="PFZ155" s="839"/>
      <c r="PGA155" s="839"/>
      <c r="PGB155" s="839"/>
      <c r="PGC155" s="839"/>
      <c r="PGD155" s="839"/>
      <c r="PGE155" s="839"/>
      <c r="PGF155" s="839"/>
      <c r="PGG155" s="839"/>
      <c r="PGH155" s="839"/>
      <c r="PGI155" s="839"/>
      <c r="PGJ155" s="839"/>
      <c r="PGK155" s="839"/>
      <c r="PGL155" s="839"/>
      <c r="PGM155" s="839"/>
      <c r="PGN155" s="839"/>
      <c r="PGO155" s="839"/>
      <c r="PGP155" s="839"/>
      <c r="PGQ155" s="839"/>
      <c r="PGR155" s="839"/>
      <c r="PGS155" s="839"/>
      <c r="PGT155" s="839"/>
      <c r="PGU155" s="839"/>
      <c r="PGV155" s="839"/>
      <c r="PGW155" s="839"/>
      <c r="PGX155" s="839"/>
      <c r="PGY155" s="839"/>
      <c r="PGZ155" s="839"/>
      <c r="PHA155" s="839"/>
      <c r="PHB155" s="839"/>
      <c r="PHC155" s="839"/>
      <c r="PHD155" s="839"/>
      <c r="PHE155" s="839"/>
      <c r="PHF155" s="839"/>
      <c r="PHG155" s="839"/>
      <c r="PHH155" s="839"/>
      <c r="PHI155" s="839"/>
      <c r="PHJ155" s="839"/>
      <c r="PHK155" s="839"/>
      <c r="PHL155" s="839"/>
      <c r="PHM155" s="839"/>
      <c r="PHN155" s="839"/>
      <c r="PHO155" s="839"/>
      <c r="PHP155" s="839"/>
      <c r="PHQ155" s="839"/>
      <c r="PHR155" s="839"/>
      <c r="PHS155" s="839"/>
      <c r="PHT155" s="839"/>
      <c r="PHU155" s="839"/>
      <c r="PHV155" s="839"/>
      <c r="PHW155" s="839"/>
      <c r="PHX155" s="839"/>
      <c r="PHY155" s="839"/>
      <c r="PHZ155" s="839"/>
      <c r="PIA155" s="839"/>
      <c r="PIB155" s="839"/>
      <c r="PIC155" s="839"/>
      <c r="PID155" s="839"/>
      <c r="PIE155" s="839"/>
      <c r="PIF155" s="839"/>
      <c r="PIG155" s="839"/>
      <c r="PIH155" s="839"/>
      <c r="PII155" s="839"/>
      <c r="PIJ155" s="839"/>
      <c r="PIK155" s="839"/>
      <c r="PIL155" s="839"/>
      <c r="PIM155" s="839"/>
      <c r="PIN155" s="839"/>
      <c r="PIO155" s="839"/>
      <c r="PIP155" s="839"/>
      <c r="PIQ155" s="839"/>
      <c r="PIR155" s="839"/>
      <c r="PIS155" s="839"/>
      <c r="PIT155" s="839"/>
      <c r="PIU155" s="839"/>
      <c r="PIV155" s="839"/>
      <c r="PIW155" s="839"/>
      <c r="PIX155" s="839"/>
      <c r="PIY155" s="839"/>
      <c r="PIZ155" s="839"/>
      <c r="PJA155" s="839"/>
      <c r="PJB155" s="839"/>
      <c r="PJC155" s="839"/>
      <c r="PJD155" s="839"/>
      <c r="PJE155" s="839"/>
      <c r="PJF155" s="839"/>
      <c r="PJG155" s="839"/>
      <c r="PJH155" s="839"/>
      <c r="PJI155" s="839"/>
      <c r="PJJ155" s="839"/>
      <c r="PJK155" s="839"/>
      <c r="PJL155" s="839"/>
      <c r="PJM155" s="839"/>
      <c r="PJN155" s="839"/>
      <c r="PJO155" s="839"/>
      <c r="PJP155" s="839"/>
      <c r="PJQ155" s="839"/>
      <c r="PJR155" s="839"/>
      <c r="PJS155" s="839"/>
      <c r="PJT155" s="839"/>
      <c r="PJU155" s="839"/>
      <c r="PJV155" s="839"/>
      <c r="PJW155" s="839"/>
      <c r="PJX155" s="839"/>
      <c r="PJY155" s="839"/>
      <c r="PJZ155" s="839"/>
      <c r="PKA155" s="839"/>
      <c r="PKB155" s="839"/>
      <c r="PKC155" s="839"/>
      <c r="PKD155" s="839"/>
      <c r="PKE155" s="839"/>
      <c r="PKF155" s="839"/>
      <c r="PKG155" s="839"/>
      <c r="PKH155" s="839"/>
      <c r="PKI155" s="839"/>
      <c r="PKJ155" s="839"/>
      <c r="PKK155" s="839"/>
      <c r="PKL155" s="839"/>
      <c r="PKM155" s="839"/>
      <c r="PKN155" s="839"/>
      <c r="PKO155" s="839"/>
      <c r="PKP155" s="839"/>
      <c r="PKQ155" s="839"/>
      <c r="PKR155" s="839"/>
      <c r="PKS155" s="839"/>
      <c r="PKT155" s="839"/>
      <c r="PKU155" s="839"/>
      <c r="PKV155" s="839"/>
      <c r="PKW155" s="839"/>
      <c r="PKX155" s="839"/>
      <c r="PKY155" s="839"/>
      <c r="PKZ155" s="839"/>
      <c r="PLA155" s="839"/>
      <c r="PLB155" s="839"/>
      <c r="PLC155" s="839"/>
      <c r="PLD155" s="839"/>
      <c r="PLE155" s="839"/>
      <c r="PLF155" s="839"/>
      <c r="PLG155" s="839"/>
      <c r="PLH155" s="839"/>
      <c r="PLI155" s="839"/>
      <c r="PLJ155" s="839"/>
      <c r="PLK155" s="839"/>
      <c r="PLL155" s="839"/>
      <c r="PLM155" s="839"/>
      <c r="PLN155" s="839"/>
      <c r="PLO155" s="839"/>
      <c r="PLP155" s="839"/>
      <c r="PLQ155" s="839"/>
      <c r="PLR155" s="839"/>
      <c r="PLS155" s="839"/>
      <c r="PLT155" s="839"/>
      <c r="PLU155" s="839"/>
      <c r="PLV155" s="839"/>
      <c r="PLW155" s="839"/>
      <c r="PLX155" s="839"/>
      <c r="PLY155" s="839"/>
      <c r="PLZ155" s="839"/>
      <c r="PMA155" s="839"/>
      <c r="PMB155" s="839"/>
      <c r="PMC155" s="839"/>
      <c r="PMD155" s="839"/>
      <c r="PME155" s="839"/>
      <c r="PMF155" s="839"/>
      <c r="PMG155" s="839"/>
      <c r="PMH155" s="839"/>
      <c r="PMI155" s="839"/>
      <c r="PMJ155" s="839"/>
      <c r="PMK155" s="839"/>
      <c r="PML155" s="839"/>
      <c r="PMM155" s="839"/>
      <c r="PMN155" s="839"/>
      <c r="PMO155" s="839"/>
      <c r="PMP155" s="839"/>
      <c r="PMQ155" s="839"/>
      <c r="PMR155" s="839"/>
      <c r="PMS155" s="839"/>
      <c r="PMT155" s="839"/>
      <c r="PMU155" s="839"/>
      <c r="PMV155" s="839"/>
      <c r="PMW155" s="839"/>
      <c r="PMX155" s="839"/>
      <c r="PMY155" s="839"/>
      <c r="PMZ155" s="839"/>
      <c r="PNA155" s="839"/>
      <c r="PNB155" s="839"/>
      <c r="PNC155" s="839"/>
      <c r="PND155" s="839"/>
      <c r="PNE155" s="839"/>
      <c r="PNF155" s="839"/>
      <c r="PNG155" s="839"/>
      <c r="PNH155" s="839"/>
      <c r="PNI155" s="839"/>
      <c r="PNJ155" s="839"/>
      <c r="PNK155" s="839"/>
      <c r="PNL155" s="839"/>
      <c r="PNM155" s="839"/>
      <c r="PNN155" s="839"/>
      <c r="PNO155" s="839"/>
      <c r="PNP155" s="839"/>
      <c r="PNQ155" s="839"/>
      <c r="PNR155" s="839"/>
      <c r="PNS155" s="839"/>
      <c r="PNT155" s="839"/>
      <c r="PNU155" s="839"/>
      <c r="PNV155" s="839"/>
      <c r="PNW155" s="839"/>
      <c r="PNX155" s="839"/>
      <c r="PNY155" s="839"/>
      <c r="PNZ155" s="839"/>
      <c r="POA155" s="839"/>
      <c r="POB155" s="839"/>
      <c r="POC155" s="839"/>
      <c r="POD155" s="839"/>
      <c r="POE155" s="839"/>
      <c r="POF155" s="839"/>
      <c r="POG155" s="839"/>
      <c r="POH155" s="839"/>
      <c r="POI155" s="839"/>
      <c r="POJ155" s="839"/>
      <c r="POK155" s="839"/>
      <c r="POL155" s="839"/>
      <c r="POM155" s="839"/>
      <c r="PON155" s="839"/>
      <c r="POO155" s="839"/>
      <c r="POP155" s="839"/>
      <c r="POQ155" s="839"/>
      <c r="POR155" s="839"/>
      <c r="POS155" s="839"/>
      <c r="POT155" s="839"/>
      <c r="POU155" s="839"/>
      <c r="POV155" s="839"/>
      <c r="POW155" s="839"/>
      <c r="POX155" s="839"/>
      <c r="POY155" s="839"/>
      <c r="POZ155" s="839"/>
      <c r="PPA155" s="839"/>
      <c r="PPB155" s="839"/>
      <c r="PPC155" s="839"/>
      <c r="PPD155" s="839"/>
      <c r="PPE155" s="839"/>
      <c r="PPF155" s="839"/>
      <c r="PPG155" s="839"/>
      <c r="PPH155" s="839"/>
      <c r="PPI155" s="839"/>
      <c r="PPJ155" s="839"/>
      <c r="PPK155" s="839"/>
      <c r="PPL155" s="839"/>
      <c r="PPM155" s="839"/>
      <c r="PPN155" s="839"/>
      <c r="PPO155" s="839"/>
      <c r="PPP155" s="839"/>
      <c r="PPQ155" s="839"/>
      <c r="PPR155" s="839"/>
      <c r="PPS155" s="839"/>
      <c r="PPT155" s="839"/>
      <c r="PPU155" s="839"/>
      <c r="PPV155" s="839"/>
      <c r="PPW155" s="839"/>
      <c r="PPX155" s="839"/>
      <c r="PPY155" s="839"/>
      <c r="PPZ155" s="839"/>
      <c r="PQA155" s="839"/>
      <c r="PQB155" s="839"/>
      <c r="PQC155" s="839"/>
      <c r="PQD155" s="839"/>
      <c r="PQE155" s="839"/>
      <c r="PQF155" s="839"/>
      <c r="PQG155" s="839"/>
      <c r="PQH155" s="839"/>
      <c r="PQI155" s="839"/>
      <c r="PQJ155" s="839"/>
      <c r="PQK155" s="839"/>
      <c r="PQL155" s="839"/>
      <c r="PQM155" s="839"/>
      <c r="PQN155" s="839"/>
      <c r="PQO155" s="839"/>
      <c r="PQP155" s="839"/>
      <c r="PQQ155" s="839"/>
      <c r="PQR155" s="839"/>
      <c r="PQS155" s="839"/>
      <c r="PQT155" s="839"/>
      <c r="PQU155" s="839"/>
      <c r="PQV155" s="839"/>
      <c r="PQW155" s="839"/>
      <c r="PQX155" s="839"/>
      <c r="PQY155" s="839"/>
      <c r="PQZ155" s="839"/>
      <c r="PRA155" s="839"/>
      <c r="PRB155" s="839"/>
      <c r="PRC155" s="839"/>
      <c r="PRD155" s="839"/>
      <c r="PRE155" s="839"/>
      <c r="PRF155" s="839"/>
      <c r="PRG155" s="839"/>
      <c r="PRH155" s="839"/>
      <c r="PRI155" s="839"/>
      <c r="PRJ155" s="839"/>
      <c r="PRK155" s="839"/>
      <c r="PRL155" s="839"/>
      <c r="PRM155" s="839"/>
      <c r="PRN155" s="839"/>
      <c r="PRO155" s="839"/>
      <c r="PRP155" s="839"/>
      <c r="PRQ155" s="839"/>
      <c r="PRR155" s="839"/>
      <c r="PRS155" s="839"/>
      <c r="PRT155" s="839"/>
      <c r="PRU155" s="839"/>
      <c r="PRV155" s="839"/>
      <c r="PRW155" s="839"/>
      <c r="PRX155" s="839"/>
      <c r="PRY155" s="839"/>
      <c r="PRZ155" s="839"/>
      <c r="PSA155" s="839"/>
      <c r="PSB155" s="839"/>
      <c r="PSC155" s="839"/>
      <c r="PSD155" s="839"/>
      <c r="PSE155" s="839"/>
      <c r="PSF155" s="839"/>
      <c r="PSG155" s="839"/>
      <c r="PSH155" s="839"/>
      <c r="PSI155" s="839"/>
      <c r="PSJ155" s="839"/>
      <c r="PSK155" s="839"/>
      <c r="PSL155" s="839"/>
      <c r="PSM155" s="839"/>
      <c r="PSN155" s="839"/>
      <c r="PSO155" s="839"/>
      <c r="PSP155" s="839"/>
      <c r="PSQ155" s="839"/>
      <c r="PSR155" s="839"/>
      <c r="PSS155" s="839"/>
      <c r="PST155" s="839"/>
      <c r="PSU155" s="839"/>
      <c r="PSV155" s="839"/>
      <c r="PSW155" s="839"/>
      <c r="PSX155" s="839"/>
      <c r="PSY155" s="839"/>
      <c r="PSZ155" s="839"/>
      <c r="PTA155" s="839"/>
      <c r="PTB155" s="839"/>
      <c r="PTC155" s="839"/>
      <c r="PTD155" s="839"/>
      <c r="PTE155" s="839"/>
      <c r="PTF155" s="839"/>
      <c r="PTG155" s="839"/>
      <c r="PTH155" s="839"/>
      <c r="PTI155" s="839"/>
      <c r="PTJ155" s="839"/>
      <c r="PTK155" s="839"/>
      <c r="PTL155" s="839"/>
      <c r="PTM155" s="839"/>
      <c r="PTN155" s="839"/>
      <c r="PTO155" s="839"/>
      <c r="PTP155" s="839"/>
      <c r="PTQ155" s="839"/>
      <c r="PTR155" s="839"/>
      <c r="PTS155" s="839"/>
      <c r="PTT155" s="839"/>
      <c r="PTU155" s="839"/>
      <c r="PTV155" s="839"/>
      <c r="PTW155" s="839"/>
      <c r="PTX155" s="839"/>
      <c r="PTY155" s="839"/>
      <c r="PTZ155" s="839"/>
      <c r="PUA155" s="839"/>
      <c r="PUB155" s="839"/>
      <c r="PUC155" s="839"/>
      <c r="PUD155" s="839"/>
      <c r="PUE155" s="839"/>
      <c r="PUF155" s="839"/>
      <c r="PUG155" s="839"/>
      <c r="PUH155" s="839"/>
      <c r="PUI155" s="839"/>
      <c r="PUJ155" s="839"/>
      <c r="PUK155" s="839"/>
      <c r="PUL155" s="839"/>
      <c r="PUM155" s="839"/>
      <c r="PUN155" s="839"/>
      <c r="PUO155" s="839"/>
      <c r="PUP155" s="839"/>
      <c r="PUQ155" s="839"/>
      <c r="PUR155" s="839"/>
      <c r="PUS155" s="839"/>
      <c r="PUT155" s="839"/>
      <c r="PUU155" s="839"/>
      <c r="PUV155" s="839"/>
      <c r="PUW155" s="839"/>
      <c r="PUX155" s="839"/>
      <c r="PUY155" s="839"/>
      <c r="PUZ155" s="839"/>
      <c r="PVA155" s="839"/>
      <c r="PVB155" s="839"/>
      <c r="PVC155" s="839"/>
      <c r="PVD155" s="839"/>
      <c r="PVE155" s="839"/>
      <c r="PVF155" s="839"/>
      <c r="PVG155" s="839"/>
      <c r="PVH155" s="839"/>
      <c r="PVI155" s="839"/>
      <c r="PVJ155" s="839"/>
      <c r="PVK155" s="839"/>
      <c r="PVL155" s="839"/>
      <c r="PVM155" s="839"/>
      <c r="PVN155" s="839"/>
      <c r="PVO155" s="839"/>
      <c r="PVP155" s="839"/>
      <c r="PVQ155" s="839"/>
      <c r="PVR155" s="839"/>
      <c r="PVS155" s="839"/>
      <c r="PVT155" s="839"/>
      <c r="PVU155" s="839"/>
      <c r="PVV155" s="839"/>
      <c r="PVW155" s="839"/>
      <c r="PVX155" s="839"/>
      <c r="PVY155" s="839"/>
      <c r="PVZ155" s="839"/>
      <c r="PWA155" s="839"/>
      <c r="PWB155" s="839"/>
      <c r="PWC155" s="839"/>
      <c r="PWD155" s="839"/>
      <c r="PWE155" s="839"/>
      <c r="PWF155" s="839"/>
      <c r="PWG155" s="839"/>
      <c r="PWH155" s="839"/>
      <c r="PWI155" s="839"/>
      <c r="PWJ155" s="839"/>
      <c r="PWK155" s="839"/>
      <c r="PWL155" s="839"/>
      <c r="PWM155" s="839"/>
      <c r="PWN155" s="839"/>
      <c r="PWO155" s="839"/>
      <c r="PWP155" s="839"/>
      <c r="PWQ155" s="839"/>
      <c r="PWR155" s="839"/>
      <c r="PWS155" s="839"/>
      <c r="PWT155" s="839"/>
      <c r="PWU155" s="839"/>
      <c r="PWV155" s="839"/>
      <c r="PWW155" s="839"/>
      <c r="PWX155" s="839"/>
      <c r="PWY155" s="839"/>
      <c r="PWZ155" s="839"/>
      <c r="PXA155" s="839"/>
      <c r="PXB155" s="839"/>
      <c r="PXC155" s="839"/>
      <c r="PXD155" s="839"/>
      <c r="PXE155" s="839"/>
      <c r="PXF155" s="839"/>
      <c r="PXG155" s="839"/>
      <c r="PXH155" s="839"/>
      <c r="PXI155" s="839"/>
      <c r="PXJ155" s="839"/>
      <c r="PXK155" s="839"/>
      <c r="PXL155" s="839"/>
      <c r="PXM155" s="839"/>
      <c r="PXN155" s="839"/>
      <c r="PXO155" s="839"/>
      <c r="PXP155" s="839"/>
      <c r="PXQ155" s="839"/>
      <c r="PXR155" s="839"/>
      <c r="PXS155" s="839"/>
      <c r="PXT155" s="839"/>
      <c r="PXU155" s="839"/>
      <c r="PXV155" s="839"/>
      <c r="PXW155" s="839"/>
      <c r="PXX155" s="839"/>
      <c r="PXY155" s="839"/>
      <c r="PXZ155" s="839"/>
      <c r="PYA155" s="839"/>
      <c r="PYB155" s="839"/>
      <c r="PYC155" s="839"/>
      <c r="PYD155" s="839"/>
      <c r="PYE155" s="839"/>
      <c r="PYF155" s="839"/>
      <c r="PYG155" s="839"/>
      <c r="PYH155" s="839"/>
      <c r="PYI155" s="839"/>
      <c r="PYJ155" s="839"/>
      <c r="PYK155" s="839"/>
      <c r="PYL155" s="839"/>
      <c r="PYM155" s="839"/>
      <c r="PYN155" s="839"/>
      <c r="PYO155" s="839"/>
      <c r="PYP155" s="839"/>
      <c r="PYQ155" s="839"/>
      <c r="PYR155" s="839"/>
      <c r="PYS155" s="839"/>
      <c r="PYT155" s="839"/>
      <c r="PYU155" s="839"/>
      <c r="PYV155" s="839"/>
      <c r="PYW155" s="839"/>
      <c r="PYX155" s="839"/>
      <c r="PYY155" s="839"/>
      <c r="PYZ155" s="839"/>
      <c r="PZA155" s="839"/>
      <c r="PZB155" s="839"/>
      <c r="PZC155" s="839"/>
      <c r="PZD155" s="839"/>
      <c r="PZE155" s="839"/>
      <c r="PZF155" s="839"/>
      <c r="PZG155" s="839"/>
      <c r="PZH155" s="839"/>
      <c r="PZI155" s="839"/>
      <c r="PZJ155" s="839"/>
      <c r="PZK155" s="839"/>
      <c r="PZL155" s="839"/>
      <c r="PZM155" s="839"/>
      <c r="PZN155" s="839"/>
      <c r="PZO155" s="839"/>
      <c r="PZP155" s="839"/>
      <c r="PZQ155" s="839"/>
      <c r="PZR155" s="839"/>
      <c r="PZS155" s="839"/>
      <c r="PZT155" s="839"/>
      <c r="PZU155" s="839"/>
      <c r="PZV155" s="839"/>
      <c r="PZW155" s="839"/>
      <c r="PZX155" s="839"/>
      <c r="PZY155" s="839"/>
      <c r="PZZ155" s="839"/>
      <c r="QAA155" s="839"/>
      <c r="QAB155" s="839"/>
      <c r="QAC155" s="839"/>
      <c r="QAD155" s="839"/>
      <c r="QAE155" s="839"/>
      <c r="QAF155" s="839"/>
      <c r="QAG155" s="839"/>
      <c r="QAH155" s="839"/>
      <c r="QAI155" s="839"/>
      <c r="QAJ155" s="839"/>
      <c r="QAK155" s="839"/>
      <c r="QAL155" s="839"/>
      <c r="QAM155" s="839"/>
      <c r="QAN155" s="839"/>
      <c r="QAO155" s="839"/>
      <c r="QAP155" s="839"/>
      <c r="QAQ155" s="839"/>
      <c r="QAR155" s="839"/>
      <c r="QAS155" s="839"/>
      <c r="QAT155" s="839"/>
      <c r="QAU155" s="839"/>
      <c r="QAV155" s="839"/>
      <c r="QAW155" s="839"/>
      <c r="QAX155" s="839"/>
      <c r="QAY155" s="839"/>
      <c r="QAZ155" s="839"/>
      <c r="QBA155" s="839"/>
      <c r="QBB155" s="839"/>
      <c r="QBC155" s="839"/>
      <c r="QBD155" s="839"/>
      <c r="QBE155" s="839"/>
      <c r="QBF155" s="839"/>
      <c r="QBG155" s="839"/>
      <c r="QBH155" s="839"/>
      <c r="QBI155" s="839"/>
      <c r="QBJ155" s="839"/>
      <c r="QBK155" s="839"/>
      <c r="QBL155" s="839"/>
      <c r="QBM155" s="839"/>
      <c r="QBN155" s="839"/>
      <c r="QBO155" s="839"/>
      <c r="QBP155" s="839"/>
      <c r="QBQ155" s="839"/>
      <c r="QBR155" s="839"/>
      <c r="QBS155" s="839"/>
      <c r="QBT155" s="839"/>
      <c r="QBU155" s="839"/>
      <c r="QBV155" s="839"/>
      <c r="QBW155" s="839"/>
      <c r="QBX155" s="839"/>
      <c r="QBY155" s="839"/>
      <c r="QBZ155" s="839"/>
      <c r="QCA155" s="839"/>
      <c r="QCB155" s="839"/>
      <c r="QCC155" s="839"/>
      <c r="QCD155" s="839"/>
      <c r="QCE155" s="839"/>
      <c r="QCF155" s="839"/>
      <c r="QCG155" s="839"/>
      <c r="QCH155" s="839"/>
      <c r="QCI155" s="839"/>
      <c r="QCJ155" s="839"/>
      <c r="QCK155" s="839"/>
      <c r="QCL155" s="839"/>
      <c r="QCM155" s="839"/>
      <c r="QCN155" s="839"/>
      <c r="QCO155" s="839"/>
      <c r="QCP155" s="839"/>
      <c r="QCQ155" s="839"/>
      <c r="QCR155" s="839"/>
      <c r="QCS155" s="839"/>
      <c r="QCT155" s="839"/>
      <c r="QCU155" s="839"/>
      <c r="QCV155" s="839"/>
      <c r="QCW155" s="839"/>
      <c r="QCX155" s="839"/>
      <c r="QCY155" s="839"/>
      <c r="QCZ155" s="839"/>
      <c r="QDA155" s="839"/>
      <c r="QDB155" s="839"/>
      <c r="QDC155" s="839"/>
      <c r="QDD155" s="839"/>
      <c r="QDE155" s="839"/>
      <c r="QDF155" s="839"/>
      <c r="QDG155" s="839"/>
      <c r="QDH155" s="839"/>
      <c r="QDI155" s="839"/>
      <c r="QDJ155" s="839"/>
      <c r="QDK155" s="839"/>
      <c r="QDL155" s="839"/>
      <c r="QDM155" s="839"/>
      <c r="QDN155" s="839"/>
      <c r="QDO155" s="839"/>
      <c r="QDP155" s="839"/>
      <c r="QDQ155" s="839"/>
      <c r="QDR155" s="839"/>
      <c r="QDS155" s="839"/>
      <c r="QDT155" s="839"/>
      <c r="QDU155" s="839"/>
      <c r="QDV155" s="839"/>
      <c r="QDW155" s="839"/>
      <c r="QDX155" s="839"/>
      <c r="QDY155" s="839"/>
      <c r="QDZ155" s="839"/>
      <c r="QEA155" s="839"/>
      <c r="QEB155" s="839"/>
      <c r="QEC155" s="839"/>
      <c r="QED155" s="839"/>
      <c r="QEE155" s="839"/>
      <c r="QEF155" s="839"/>
      <c r="QEG155" s="839"/>
      <c r="QEH155" s="839"/>
      <c r="QEI155" s="839"/>
      <c r="QEJ155" s="839"/>
      <c r="QEK155" s="839"/>
      <c r="QEL155" s="839"/>
      <c r="QEM155" s="839"/>
      <c r="QEN155" s="839"/>
      <c r="QEO155" s="839"/>
      <c r="QEP155" s="839"/>
      <c r="QEQ155" s="839"/>
      <c r="QER155" s="839"/>
      <c r="QES155" s="839"/>
      <c r="QET155" s="839"/>
      <c r="QEU155" s="839"/>
      <c r="QEV155" s="839"/>
      <c r="QEW155" s="839"/>
      <c r="QEX155" s="839"/>
      <c r="QEY155" s="839"/>
      <c r="QEZ155" s="839"/>
      <c r="QFA155" s="839"/>
      <c r="QFB155" s="839"/>
      <c r="QFC155" s="839"/>
      <c r="QFD155" s="839"/>
      <c r="QFE155" s="839"/>
      <c r="QFF155" s="839"/>
      <c r="QFG155" s="839"/>
      <c r="QFH155" s="839"/>
      <c r="QFI155" s="839"/>
      <c r="QFJ155" s="839"/>
      <c r="QFK155" s="839"/>
      <c r="QFL155" s="839"/>
      <c r="QFM155" s="839"/>
      <c r="QFN155" s="839"/>
      <c r="QFO155" s="839"/>
      <c r="QFP155" s="839"/>
      <c r="QFQ155" s="839"/>
      <c r="QFR155" s="839"/>
      <c r="QFS155" s="839"/>
      <c r="QFT155" s="839"/>
      <c r="QFU155" s="839"/>
      <c r="QFV155" s="839"/>
      <c r="QFW155" s="839"/>
      <c r="QFX155" s="839"/>
      <c r="QFY155" s="839"/>
      <c r="QFZ155" s="839"/>
      <c r="QGA155" s="839"/>
      <c r="QGB155" s="839"/>
      <c r="QGC155" s="839"/>
      <c r="QGD155" s="839"/>
      <c r="QGE155" s="839"/>
      <c r="QGF155" s="839"/>
      <c r="QGG155" s="839"/>
      <c r="QGH155" s="839"/>
      <c r="QGI155" s="839"/>
      <c r="QGJ155" s="839"/>
      <c r="QGK155" s="839"/>
      <c r="QGL155" s="839"/>
      <c r="QGM155" s="839"/>
      <c r="QGN155" s="839"/>
      <c r="QGO155" s="839"/>
      <c r="QGP155" s="839"/>
      <c r="QGQ155" s="839"/>
      <c r="QGR155" s="839"/>
      <c r="QGS155" s="839"/>
      <c r="QGT155" s="839"/>
      <c r="QGU155" s="839"/>
      <c r="QGV155" s="839"/>
      <c r="QGW155" s="839"/>
      <c r="QGX155" s="839"/>
      <c r="QGY155" s="839"/>
      <c r="QGZ155" s="839"/>
      <c r="QHA155" s="839"/>
      <c r="QHB155" s="839"/>
      <c r="QHC155" s="839"/>
      <c r="QHD155" s="839"/>
      <c r="QHE155" s="839"/>
      <c r="QHF155" s="839"/>
      <c r="QHG155" s="839"/>
      <c r="QHH155" s="839"/>
      <c r="QHI155" s="839"/>
      <c r="QHJ155" s="839"/>
      <c r="QHK155" s="839"/>
      <c r="QHL155" s="839"/>
      <c r="QHM155" s="839"/>
      <c r="QHN155" s="839"/>
      <c r="QHO155" s="839"/>
      <c r="QHP155" s="839"/>
      <c r="QHQ155" s="839"/>
      <c r="QHR155" s="839"/>
      <c r="QHS155" s="839"/>
      <c r="QHT155" s="839"/>
      <c r="QHU155" s="839"/>
      <c r="QHV155" s="839"/>
      <c r="QHW155" s="839"/>
      <c r="QHX155" s="839"/>
      <c r="QHY155" s="839"/>
      <c r="QHZ155" s="839"/>
      <c r="QIA155" s="839"/>
      <c r="QIB155" s="839"/>
      <c r="QIC155" s="839"/>
      <c r="QID155" s="839"/>
      <c r="QIE155" s="839"/>
      <c r="QIF155" s="839"/>
      <c r="QIG155" s="839"/>
      <c r="QIH155" s="839"/>
      <c r="QII155" s="839"/>
      <c r="QIJ155" s="839"/>
      <c r="QIK155" s="839"/>
      <c r="QIL155" s="839"/>
      <c r="QIM155" s="839"/>
      <c r="QIN155" s="839"/>
      <c r="QIO155" s="839"/>
      <c r="QIP155" s="839"/>
      <c r="QIQ155" s="839"/>
      <c r="QIR155" s="839"/>
      <c r="QIS155" s="839"/>
      <c r="QIT155" s="839"/>
      <c r="QIU155" s="839"/>
      <c r="QIV155" s="839"/>
      <c r="QIW155" s="839"/>
      <c r="QIX155" s="839"/>
      <c r="QIY155" s="839"/>
      <c r="QIZ155" s="839"/>
      <c r="QJA155" s="839"/>
      <c r="QJB155" s="839"/>
      <c r="QJC155" s="839"/>
      <c r="QJD155" s="839"/>
      <c r="QJE155" s="839"/>
      <c r="QJF155" s="839"/>
      <c r="QJG155" s="839"/>
      <c r="QJH155" s="839"/>
      <c r="QJI155" s="839"/>
      <c r="QJJ155" s="839"/>
      <c r="QJK155" s="839"/>
      <c r="QJL155" s="839"/>
      <c r="QJM155" s="839"/>
      <c r="QJN155" s="839"/>
      <c r="QJO155" s="839"/>
      <c r="QJP155" s="839"/>
      <c r="QJQ155" s="839"/>
      <c r="QJR155" s="839"/>
      <c r="QJS155" s="839"/>
      <c r="QJT155" s="839"/>
      <c r="QJU155" s="839"/>
      <c r="QJV155" s="839"/>
      <c r="QJW155" s="839"/>
      <c r="QJX155" s="839"/>
      <c r="QJY155" s="839"/>
      <c r="QJZ155" s="839"/>
      <c r="QKA155" s="839"/>
      <c r="QKB155" s="839"/>
      <c r="QKC155" s="839"/>
      <c r="QKD155" s="839"/>
      <c r="QKE155" s="839"/>
      <c r="QKF155" s="839"/>
      <c r="QKG155" s="839"/>
      <c r="QKH155" s="839"/>
      <c r="QKI155" s="839"/>
      <c r="QKJ155" s="839"/>
      <c r="QKK155" s="839"/>
      <c r="QKL155" s="839"/>
      <c r="QKM155" s="839"/>
      <c r="QKN155" s="839"/>
      <c r="QKO155" s="839"/>
      <c r="QKP155" s="839"/>
      <c r="QKQ155" s="839"/>
      <c r="QKR155" s="839"/>
      <c r="QKS155" s="839"/>
      <c r="QKT155" s="839"/>
      <c r="QKU155" s="839"/>
      <c r="QKV155" s="839"/>
      <c r="QKW155" s="839"/>
      <c r="QKX155" s="839"/>
      <c r="QKY155" s="839"/>
      <c r="QKZ155" s="839"/>
      <c r="QLA155" s="839"/>
      <c r="QLB155" s="839"/>
      <c r="QLC155" s="839"/>
      <c r="QLD155" s="839"/>
      <c r="QLE155" s="839"/>
      <c r="QLF155" s="839"/>
      <c r="QLG155" s="839"/>
      <c r="QLH155" s="839"/>
      <c r="QLI155" s="839"/>
      <c r="QLJ155" s="839"/>
      <c r="QLK155" s="839"/>
      <c r="QLL155" s="839"/>
      <c r="QLM155" s="839"/>
      <c r="QLN155" s="839"/>
      <c r="QLO155" s="839"/>
      <c r="QLP155" s="839"/>
      <c r="QLQ155" s="839"/>
      <c r="QLR155" s="839"/>
      <c r="QLS155" s="839"/>
      <c r="QLT155" s="839"/>
      <c r="QLU155" s="839"/>
      <c r="QLV155" s="839"/>
      <c r="QLW155" s="839"/>
      <c r="QLX155" s="839"/>
      <c r="QLY155" s="839"/>
      <c r="QLZ155" s="839"/>
      <c r="QMA155" s="839"/>
      <c r="QMB155" s="839"/>
      <c r="QMC155" s="839"/>
      <c r="QMD155" s="839"/>
      <c r="QME155" s="839"/>
      <c r="QMF155" s="839"/>
      <c r="QMG155" s="839"/>
      <c r="QMH155" s="839"/>
      <c r="QMI155" s="839"/>
      <c r="QMJ155" s="839"/>
      <c r="QMK155" s="839"/>
      <c r="QML155" s="839"/>
      <c r="QMM155" s="839"/>
      <c r="QMN155" s="839"/>
      <c r="QMO155" s="839"/>
      <c r="QMP155" s="839"/>
      <c r="QMQ155" s="839"/>
      <c r="QMR155" s="839"/>
      <c r="QMS155" s="839"/>
      <c r="QMT155" s="839"/>
      <c r="QMU155" s="839"/>
      <c r="QMV155" s="839"/>
      <c r="QMW155" s="839"/>
      <c r="QMX155" s="839"/>
      <c r="QMY155" s="839"/>
      <c r="QMZ155" s="839"/>
      <c r="QNA155" s="839"/>
      <c r="QNB155" s="839"/>
      <c r="QNC155" s="839"/>
      <c r="QND155" s="839"/>
      <c r="QNE155" s="839"/>
      <c r="QNF155" s="839"/>
      <c r="QNG155" s="839"/>
      <c r="QNH155" s="839"/>
      <c r="QNI155" s="839"/>
      <c r="QNJ155" s="839"/>
      <c r="QNK155" s="839"/>
      <c r="QNL155" s="839"/>
      <c r="QNM155" s="839"/>
      <c r="QNN155" s="839"/>
      <c r="QNO155" s="839"/>
      <c r="QNP155" s="839"/>
      <c r="QNQ155" s="839"/>
      <c r="QNR155" s="839"/>
      <c r="QNS155" s="839"/>
      <c r="QNT155" s="839"/>
      <c r="QNU155" s="839"/>
      <c r="QNV155" s="839"/>
      <c r="QNW155" s="839"/>
      <c r="QNX155" s="839"/>
      <c r="QNY155" s="839"/>
      <c r="QNZ155" s="839"/>
      <c r="QOA155" s="839"/>
      <c r="QOB155" s="839"/>
      <c r="QOC155" s="839"/>
      <c r="QOD155" s="839"/>
      <c r="QOE155" s="839"/>
      <c r="QOF155" s="839"/>
      <c r="QOG155" s="839"/>
      <c r="QOH155" s="839"/>
      <c r="QOI155" s="839"/>
      <c r="QOJ155" s="839"/>
      <c r="QOK155" s="839"/>
      <c r="QOL155" s="839"/>
      <c r="QOM155" s="839"/>
      <c r="QON155" s="839"/>
      <c r="QOO155" s="839"/>
      <c r="QOP155" s="839"/>
      <c r="QOQ155" s="839"/>
      <c r="QOR155" s="839"/>
      <c r="QOS155" s="839"/>
      <c r="QOT155" s="839"/>
      <c r="QOU155" s="839"/>
      <c r="QOV155" s="839"/>
      <c r="QOW155" s="839"/>
      <c r="QOX155" s="839"/>
      <c r="QOY155" s="839"/>
      <c r="QOZ155" s="839"/>
      <c r="QPA155" s="839"/>
      <c r="QPB155" s="839"/>
      <c r="QPC155" s="839"/>
      <c r="QPD155" s="839"/>
      <c r="QPE155" s="839"/>
      <c r="QPF155" s="839"/>
      <c r="QPG155" s="839"/>
      <c r="QPH155" s="839"/>
      <c r="QPI155" s="839"/>
      <c r="QPJ155" s="839"/>
      <c r="QPK155" s="839"/>
      <c r="QPL155" s="839"/>
      <c r="QPM155" s="839"/>
      <c r="QPN155" s="839"/>
      <c r="QPO155" s="839"/>
      <c r="QPP155" s="839"/>
      <c r="QPQ155" s="839"/>
      <c r="QPR155" s="839"/>
      <c r="QPS155" s="839"/>
      <c r="QPT155" s="839"/>
      <c r="QPU155" s="839"/>
      <c r="QPV155" s="839"/>
      <c r="QPW155" s="839"/>
      <c r="QPX155" s="839"/>
      <c r="QPY155" s="839"/>
      <c r="QPZ155" s="839"/>
      <c r="QQA155" s="839"/>
      <c r="QQB155" s="839"/>
      <c r="QQC155" s="839"/>
      <c r="QQD155" s="839"/>
      <c r="QQE155" s="839"/>
      <c r="QQF155" s="839"/>
      <c r="QQG155" s="839"/>
      <c r="QQH155" s="839"/>
      <c r="QQI155" s="839"/>
      <c r="QQJ155" s="839"/>
      <c r="QQK155" s="839"/>
      <c r="QQL155" s="839"/>
      <c r="QQM155" s="839"/>
      <c r="QQN155" s="839"/>
      <c r="QQO155" s="839"/>
      <c r="QQP155" s="839"/>
      <c r="QQQ155" s="839"/>
      <c r="QQR155" s="839"/>
      <c r="QQS155" s="839"/>
      <c r="QQT155" s="839"/>
      <c r="QQU155" s="839"/>
      <c r="QQV155" s="839"/>
      <c r="QQW155" s="839"/>
      <c r="QQX155" s="839"/>
      <c r="QQY155" s="839"/>
      <c r="QQZ155" s="839"/>
      <c r="QRA155" s="839"/>
      <c r="QRB155" s="839"/>
      <c r="QRC155" s="839"/>
      <c r="QRD155" s="839"/>
      <c r="QRE155" s="839"/>
      <c r="QRF155" s="839"/>
      <c r="QRG155" s="839"/>
      <c r="QRH155" s="839"/>
      <c r="QRI155" s="839"/>
      <c r="QRJ155" s="839"/>
      <c r="QRK155" s="839"/>
      <c r="QRL155" s="839"/>
      <c r="QRM155" s="839"/>
      <c r="QRN155" s="839"/>
      <c r="QRO155" s="839"/>
      <c r="QRP155" s="839"/>
      <c r="QRQ155" s="839"/>
      <c r="QRR155" s="839"/>
      <c r="QRS155" s="839"/>
      <c r="QRT155" s="839"/>
      <c r="QRU155" s="839"/>
      <c r="QRV155" s="839"/>
      <c r="QRW155" s="839"/>
      <c r="QRX155" s="839"/>
      <c r="QRY155" s="839"/>
      <c r="QRZ155" s="839"/>
      <c r="QSA155" s="839"/>
      <c r="QSB155" s="839"/>
      <c r="QSC155" s="839"/>
      <c r="QSD155" s="839"/>
      <c r="QSE155" s="839"/>
      <c r="QSF155" s="839"/>
      <c r="QSG155" s="839"/>
      <c r="QSH155" s="839"/>
      <c r="QSI155" s="839"/>
      <c r="QSJ155" s="839"/>
      <c r="QSK155" s="839"/>
      <c r="QSL155" s="839"/>
      <c r="QSM155" s="839"/>
      <c r="QSN155" s="839"/>
      <c r="QSO155" s="839"/>
      <c r="QSP155" s="839"/>
      <c r="QSQ155" s="839"/>
      <c r="QSR155" s="839"/>
      <c r="QSS155" s="839"/>
      <c r="QST155" s="839"/>
      <c r="QSU155" s="839"/>
      <c r="QSV155" s="839"/>
      <c r="QSW155" s="839"/>
      <c r="QSX155" s="839"/>
      <c r="QSY155" s="839"/>
      <c r="QSZ155" s="839"/>
      <c r="QTA155" s="839"/>
      <c r="QTB155" s="839"/>
      <c r="QTC155" s="839"/>
      <c r="QTD155" s="839"/>
      <c r="QTE155" s="839"/>
      <c r="QTF155" s="839"/>
      <c r="QTG155" s="839"/>
      <c r="QTH155" s="839"/>
      <c r="QTI155" s="839"/>
      <c r="QTJ155" s="839"/>
      <c r="QTK155" s="839"/>
      <c r="QTL155" s="839"/>
      <c r="QTM155" s="839"/>
      <c r="QTN155" s="839"/>
      <c r="QTO155" s="839"/>
      <c r="QTP155" s="839"/>
      <c r="QTQ155" s="839"/>
      <c r="QTR155" s="839"/>
      <c r="QTS155" s="839"/>
      <c r="QTT155" s="839"/>
      <c r="QTU155" s="839"/>
      <c r="QTV155" s="839"/>
      <c r="QTW155" s="839"/>
      <c r="QTX155" s="839"/>
      <c r="QTY155" s="839"/>
      <c r="QTZ155" s="839"/>
      <c r="QUA155" s="839"/>
      <c r="QUB155" s="839"/>
      <c r="QUC155" s="839"/>
      <c r="QUD155" s="839"/>
      <c r="QUE155" s="839"/>
      <c r="QUF155" s="839"/>
      <c r="QUG155" s="839"/>
      <c r="QUH155" s="839"/>
      <c r="QUI155" s="839"/>
      <c r="QUJ155" s="839"/>
      <c r="QUK155" s="839"/>
      <c r="QUL155" s="839"/>
      <c r="QUM155" s="839"/>
      <c r="QUN155" s="839"/>
      <c r="QUO155" s="839"/>
      <c r="QUP155" s="839"/>
      <c r="QUQ155" s="839"/>
      <c r="QUR155" s="839"/>
      <c r="QUS155" s="839"/>
      <c r="QUT155" s="839"/>
      <c r="QUU155" s="839"/>
      <c r="QUV155" s="839"/>
      <c r="QUW155" s="839"/>
      <c r="QUX155" s="839"/>
      <c r="QUY155" s="839"/>
      <c r="QUZ155" s="839"/>
      <c r="QVA155" s="839"/>
      <c r="QVB155" s="839"/>
      <c r="QVC155" s="839"/>
      <c r="QVD155" s="839"/>
      <c r="QVE155" s="839"/>
      <c r="QVF155" s="839"/>
      <c r="QVG155" s="839"/>
      <c r="QVH155" s="839"/>
      <c r="QVI155" s="839"/>
      <c r="QVJ155" s="839"/>
      <c r="QVK155" s="839"/>
      <c r="QVL155" s="839"/>
      <c r="QVM155" s="839"/>
      <c r="QVN155" s="839"/>
      <c r="QVO155" s="839"/>
      <c r="QVP155" s="839"/>
      <c r="QVQ155" s="839"/>
      <c r="QVR155" s="839"/>
      <c r="QVS155" s="839"/>
      <c r="QVT155" s="839"/>
      <c r="QVU155" s="839"/>
      <c r="QVV155" s="839"/>
      <c r="QVW155" s="839"/>
      <c r="QVX155" s="839"/>
      <c r="QVY155" s="839"/>
      <c r="QVZ155" s="839"/>
      <c r="QWA155" s="839"/>
      <c r="QWB155" s="839"/>
      <c r="QWC155" s="839"/>
      <c r="QWD155" s="839"/>
      <c r="QWE155" s="839"/>
      <c r="QWF155" s="839"/>
      <c r="QWG155" s="839"/>
      <c r="QWH155" s="839"/>
      <c r="QWI155" s="839"/>
      <c r="QWJ155" s="839"/>
      <c r="QWK155" s="839"/>
      <c r="QWL155" s="839"/>
      <c r="QWM155" s="839"/>
      <c r="QWN155" s="839"/>
      <c r="QWO155" s="839"/>
      <c r="QWP155" s="839"/>
      <c r="QWQ155" s="839"/>
      <c r="QWR155" s="839"/>
      <c r="QWS155" s="839"/>
      <c r="QWT155" s="839"/>
      <c r="QWU155" s="839"/>
      <c r="QWV155" s="839"/>
      <c r="QWW155" s="839"/>
      <c r="QWX155" s="839"/>
      <c r="QWY155" s="839"/>
      <c r="QWZ155" s="839"/>
      <c r="QXA155" s="839"/>
      <c r="QXB155" s="839"/>
      <c r="QXC155" s="839"/>
      <c r="QXD155" s="839"/>
      <c r="QXE155" s="839"/>
      <c r="QXF155" s="839"/>
      <c r="QXG155" s="839"/>
      <c r="QXH155" s="839"/>
      <c r="QXI155" s="839"/>
      <c r="QXJ155" s="839"/>
      <c r="QXK155" s="839"/>
      <c r="QXL155" s="839"/>
      <c r="QXM155" s="839"/>
      <c r="QXN155" s="839"/>
      <c r="QXO155" s="839"/>
      <c r="QXP155" s="839"/>
      <c r="QXQ155" s="839"/>
      <c r="QXR155" s="839"/>
      <c r="QXS155" s="839"/>
      <c r="QXT155" s="839"/>
      <c r="QXU155" s="839"/>
      <c r="QXV155" s="839"/>
      <c r="QXW155" s="839"/>
      <c r="QXX155" s="839"/>
      <c r="QXY155" s="839"/>
      <c r="QXZ155" s="839"/>
      <c r="QYA155" s="839"/>
      <c r="QYB155" s="839"/>
      <c r="QYC155" s="839"/>
      <c r="QYD155" s="839"/>
      <c r="QYE155" s="839"/>
      <c r="QYF155" s="839"/>
      <c r="QYG155" s="839"/>
      <c r="QYH155" s="839"/>
      <c r="QYI155" s="839"/>
      <c r="QYJ155" s="839"/>
      <c r="QYK155" s="839"/>
      <c r="QYL155" s="839"/>
      <c r="QYM155" s="839"/>
      <c r="QYN155" s="839"/>
      <c r="QYO155" s="839"/>
      <c r="QYP155" s="839"/>
      <c r="QYQ155" s="839"/>
      <c r="QYR155" s="839"/>
      <c r="QYS155" s="839"/>
      <c r="QYT155" s="839"/>
      <c r="QYU155" s="839"/>
      <c r="QYV155" s="839"/>
      <c r="QYW155" s="839"/>
      <c r="QYX155" s="839"/>
      <c r="QYY155" s="839"/>
      <c r="QYZ155" s="839"/>
      <c r="QZA155" s="839"/>
      <c r="QZB155" s="839"/>
      <c r="QZC155" s="839"/>
      <c r="QZD155" s="839"/>
      <c r="QZE155" s="839"/>
      <c r="QZF155" s="839"/>
      <c r="QZG155" s="839"/>
      <c r="QZH155" s="839"/>
      <c r="QZI155" s="839"/>
      <c r="QZJ155" s="839"/>
      <c r="QZK155" s="839"/>
      <c r="QZL155" s="839"/>
      <c r="QZM155" s="839"/>
      <c r="QZN155" s="839"/>
      <c r="QZO155" s="839"/>
      <c r="QZP155" s="839"/>
      <c r="QZQ155" s="839"/>
      <c r="QZR155" s="839"/>
      <c r="QZS155" s="839"/>
      <c r="QZT155" s="839"/>
      <c r="QZU155" s="839"/>
      <c r="QZV155" s="839"/>
      <c r="QZW155" s="839"/>
      <c r="QZX155" s="839"/>
      <c r="QZY155" s="839"/>
      <c r="QZZ155" s="839"/>
      <c r="RAA155" s="839"/>
      <c r="RAB155" s="839"/>
      <c r="RAC155" s="839"/>
      <c r="RAD155" s="839"/>
      <c r="RAE155" s="839"/>
      <c r="RAF155" s="839"/>
      <c r="RAG155" s="839"/>
      <c r="RAH155" s="839"/>
      <c r="RAI155" s="839"/>
      <c r="RAJ155" s="839"/>
      <c r="RAK155" s="839"/>
      <c r="RAL155" s="839"/>
      <c r="RAM155" s="839"/>
      <c r="RAN155" s="839"/>
      <c r="RAO155" s="839"/>
      <c r="RAP155" s="839"/>
      <c r="RAQ155" s="839"/>
      <c r="RAR155" s="839"/>
      <c r="RAS155" s="839"/>
      <c r="RAT155" s="839"/>
      <c r="RAU155" s="839"/>
      <c r="RAV155" s="839"/>
      <c r="RAW155" s="839"/>
      <c r="RAX155" s="839"/>
      <c r="RAY155" s="839"/>
      <c r="RAZ155" s="839"/>
      <c r="RBA155" s="839"/>
      <c r="RBB155" s="839"/>
      <c r="RBC155" s="839"/>
      <c r="RBD155" s="839"/>
      <c r="RBE155" s="839"/>
      <c r="RBF155" s="839"/>
      <c r="RBG155" s="839"/>
      <c r="RBH155" s="839"/>
      <c r="RBI155" s="839"/>
      <c r="RBJ155" s="839"/>
      <c r="RBK155" s="839"/>
      <c r="RBL155" s="839"/>
      <c r="RBM155" s="839"/>
      <c r="RBN155" s="839"/>
      <c r="RBO155" s="839"/>
      <c r="RBP155" s="839"/>
      <c r="RBQ155" s="839"/>
      <c r="RBR155" s="839"/>
      <c r="RBS155" s="839"/>
      <c r="RBT155" s="839"/>
      <c r="RBU155" s="839"/>
      <c r="RBV155" s="839"/>
      <c r="RBW155" s="839"/>
      <c r="RBX155" s="839"/>
      <c r="RBY155" s="839"/>
      <c r="RBZ155" s="839"/>
      <c r="RCA155" s="839"/>
      <c r="RCB155" s="839"/>
      <c r="RCC155" s="839"/>
      <c r="RCD155" s="839"/>
      <c r="RCE155" s="839"/>
      <c r="RCF155" s="839"/>
      <c r="RCG155" s="839"/>
      <c r="RCH155" s="839"/>
      <c r="RCI155" s="839"/>
      <c r="RCJ155" s="839"/>
      <c r="RCK155" s="839"/>
      <c r="RCL155" s="839"/>
      <c r="RCM155" s="839"/>
      <c r="RCN155" s="839"/>
      <c r="RCO155" s="839"/>
      <c r="RCP155" s="839"/>
      <c r="RCQ155" s="839"/>
      <c r="RCR155" s="839"/>
      <c r="RCS155" s="839"/>
      <c r="RCT155" s="839"/>
      <c r="RCU155" s="839"/>
      <c r="RCV155" s="839"/>
      <c r="RCW155" s="839"/>
      <c r="RCX155" s="839"/>
      <c r="RCY155" s="839"/>
      <c r="RCZ155" s="839"/>
      <c r="RDA155" s="839"/>
      <c r="RDB155" s="839"/>
      <c r="RDC155" s="839"/>
      <c r="RDD155" s="839"/>
      <c r="RDE155" s="839"/>
      <c r="RDF155" s="839"/>
      <c r="RDG155" s="839"/>
      <c r="RDH155" s="839"/>
      <c r="RDI155" s="839"/>
      <c r="RDJ155" s="839"/>
      <c r="RDK155" s="839"/>
      <c r="RDL155" s="839"/>
      <c r="RDM155" s="839"/>
      <c r="RDN155" s="839"/>
      <c r="RDO155" s="839"/>
      <c r="RDP155" s="839"/>
      <c r="RDQ155" s="839"/>
      <c r="RDR155" s="839"/>
      <c r="RDS155" s="839"/>
      <c r="RDT155" s="839"/>
      <c r="RDU155" s="839"/>
      <c r="RDV155" s="839"/>
      <c r="RDW155" s="839"/>
      <c r="RDX155" s="839"/>
      <c r="RDY155" s="839"/>
      <c r="RDZ155" s="839"/>
      <c r="REA155" s="839"/>
      <c r="REB155" s="839"/>
      <c r="REC155" s="839"/>
      <c r="RED155" s="839"/>
      <c r="REE155" s="839"/>
      <c r="REF155" s="839"/>
      <c r="REG155" s="839"/>
      <c r="REH155" s="839"/>
      <c r="REI155" s="839"/>
      <c r="REJ155" s="839"/>
      <c r="REK155" s="839"/>
      <c r="REL155" s="839"/>
      <c r="REM155" s="839"/>
      <c r="REN155" s="839"/>
      <c r="REO155" s="839"/>
      <c r="REP155" s="839"/>
      <c r="REQ155" s="839"/>
      <c r="RER155" s="839"/>
      <c r="RES155" s="839"/>
      <c r="RET155" s="839"/>
      <c r="REU155" s="839"/>
      <c r="REV155" s="839"/>
      <c r="REW155" s="839"/>
      <c r="REX155" s="839"/>
      <c r="REY155" s="839"/>
      <c r="REZ155" s="839"/>
      <c r="RFA155" s="839"/>
      <c r="RFB155" s="839"/>
      <c r="RFC155" s="839"/>
      <c r="RFD155" s="839"/>
      <c r="RFE155" s="839"/>
      <c r="RFF155" s="839"/>
      <c r="RFG155" s="839"/>
      <c r="RFH155" s="839"/>
      <c r="RFI155" s="839"/>
      <c r="RFJ155" s="839"/>
      <c r="RFK155" s="839"/>
      <c r="RFL155" s="839"/>
      <c r="RFM155" s="839"/>
      <c r="RFN155" s="839"/>
      <c r="RFO155" s="839"/>
      <c r="RFP155" s="839"/>
      <c r="RFQ155" s="839"/>
      <c r="RFR155" s="839"/>
      <c r="RFS155" s="839"/>
      <c r="RFT155" s="839"/>
      <c r="RFU155" s="839"/>
      <c r="RFV155" s="839"/>
      <c r="RFW155" s="839"/>
      <c r="RFX155" s="839"/>
      <c r="RFY155" s="839"/>
      <c r="RFZ155" s="839"/>
      <c r="RGA155" s="839"/>
      <c r="RGB155" s="839"/>
      <c r="RGC155" s="839"/>
      <c r="RGD155" s="839"/>
      <c r="RGE155" s="839"/>
      <c r="RGF155" s="839"/>
      <c r="RGG155" s="839"/>
      <c r="RGH155" s="839"/>
      <c r="RGI155" s="839"/>
      <c r="RGJ155" s="839"/>
      <c r="RGK155" s="839"/>
      <c r="RGL155" s="839"/>
      <c r="RGM155" s="839"/>
      <c r="RGN155" s="839"/>
      <c r="RGO155" s="839"/>
      <c r="RGP155" s="839"/>
      <c r="RGQ155" s="839"/>
      <c r="RGR155" s="839"/>
      <c r="RGS155" s="839"/>
      <c r="RGT155" s="839"/>
      <c r="RGU155" s="839"/>
      <c r="RGV155" s="839"/>
      <c r="RGW155" s="839"/>
      <c r="RGX155" s="839"/>
      <c r="RGY155" s="839"/>
      <c r="RGZ155" s="839"/>
      <c r="RHA155" s="839"/>
      <c r="RHB155" s="839"/>
      <c r="RHC155" s="839"/>
      <c r="RHD155" s="839"/>
      <c r="RHE155" s="839"/>
      <c r="RHF155" s="839"/>
      <c r="RHG155" s="839"/>
      <c r="RHH155" s="839"/>
      <c r="RHI155" s="839"/>
      <c r="RHJ155" s="839"/>
      <c r="RHK155" s="839"/>
      <c r="RHL155" s="839"/>
      <c r="RHM155" s="839"/>
      <c r="RHN155" s="839"/>
      <c r="RHO155" s="839"/>
      <c r="RHP155" s="839"/>
      <c r="RHQ155" s="839"/>
      <c r="RHR155" s="839"/>
      <c r="RHS155" s="839"/>
      <c r="RHT155" s="839"/>
      <c r="RHU155" s="839"/>
      <c r="RHV155" s="839"/>
      <c r="RHW155" s="839"/>
      <c r="RHX155" s="839"/>
      <c r="RHY155" s="839"/>
      <c r="RHZ155" s="839"/>
      <c r="RIA155" s="839"/>
      <c r="RIB155" s="839"/>
      <c r="RIC155" s="839"/>
      <c r="RID155" s="839"/>
      <c r="RIE155" s="839"/>
      <c r="RIF155" s="839"/>
      <c r="RIG155" s="839"/>
      <c r="RIH155" s="839"/>
      <c r="RII155" s="839"/>
      <c r="RIJ155" s="839"/>
      <c r="RIK155" s="839"/>
      <c r="RIL155" s="839"/>
      <c r="RIM155" s="839"/>
      <c r="RIN155" s="839"/>
      <c r="RIO155" s="839"/>
      <c r="RIP155" s="839"/>
      <c r="RIQ155" s="839"/>
      <c r="RIR155" s="839"/>
      <c r="RIS155" s="839"/>
      <c r="RIT155" s="839"/>
      <c r="RIU155" s="839"/>
      <c r="RIV155" s="839"/>
      <c r="RIW155" s="839"/>
      <c r="RIX155" s="839"/>
      <c r="RIY155" s="839"/>
      <c r="RIZ155" s="839"/>
      <c r="RJA155" s="839"/>
      <c r="RJB155" s="839"/>
      <c r="RJC155" s="839"/>
      <c r="RJD155" s="839"/>
      <c r="RJE155" s="839"/>
      <c r="RJF155" s="839"/>
      <c r="RJG155" s="839"/>
      <c r="RJH155" s="839"/>
      <c r="RJI155" s="839"/>
      <c r="RJJ155" s="839"/>
      <c r="RJK155" s="839"/>
      <c r="RJL155" s="839"/>
      <c r="RJM155" s="839"/>
      <c r="RJN155" s="839"/>
      <c r="RJO155" s="839"/>
      <c r="RJP155" s="839"/>
      <c r="RJQ155" s="839"/>
      <c r="RJR155" s="839"/>
      <c r="RJS155" s="839"/>
      <c r="RJT155" s="839"/>
      <c r="RJU155" s="839"/>
      <c r="RJV155" s="839"/>
      <c r="RJW155" s="839"/>
      <c r="RJX155" s="839"/>
      <c r="RJY155" s="839"/>
      <c r="RJZ155" s="839"/>
      <c r="RKA155" s="839"/>
      <c r="RKB155" s="839"/>
      <c r="RKC155" s="839"/>
      <c r="RKD155" s="839"/>
      <c r="RKE155" s="839"/>
      <c r="RKF155" s="839"/>
      <c r="RKG155" s="839"/>
      <c r="RKH155" s="839"/>
      <c r="RKI155" s="839"/>
      <c r="RKJ155" s="839"/>
      <c r="RKK155" s="839"/>
      <c r="RKL155" s="839"/>
      <c r="RKM155" s="839"/>
      <c r="RKN155" s="839"/>
      <c r="RKO155" s="839"/>
      <c r="RKP155" s="839"/>
      <c r="RKQ155" s="839"/>
      <c r="RKR155" s="839"/>
      <c r="RKS155" s="839"/>
      <c r="RKT155" s="839"/>
      <c r="RKU155" s="839"/>
      <c r="RKV155" s="839"/>
      <c r="RKW155" s="839"/>
      <c r="RKX155" s="839"/>
      <c r="RKY155" s="839"/>
      <c r="RKZ155" s="839"/>
      <c r="RLA155" s="839"/>
      <c r="RLB155" s="839"/>
      <c r="RLC155" s="839"/>
      <c r="RLD155" s="839"/>
      <c r="RLE155" s="839"/>
      <c r="RLF155" s="839"/>
      <c r="RLG155" s="839"/>
      <c r="RLH155" s="839"/>
      <c r="RLI155" s="839"/>
      <c r="RLJ155" s="839"/>
      <c r="RLK155" s="839"/>
      <c r="RLL155" s="839"/>
      <c r="RLM155" s="839"/>
      <c r="RLN155" s="839"/>
      <c r="RLO155" s="839"/>
      <c r="RLP155" s="839"/>
      <c r="RLQ155" s="839"/>
      <c r="RLR155" s="839"/>
      <c r="RLS155" s="839"/>
      <c r="RLT155" s="839"/>
      <c r="RLU155" s="839"/>
      <c r="RLV155" s="839"/>
      <c r="RLW155" s="839"/>
      <c r="RLX155" s="839"/>
      <c r="RLY155" s="839"/>
      <c r="RLZ155" s="839"/>
      <c r="RMA155" s="839"/>
      <c r="RMB155" s="839"/>
      <c r="RMC155" s="839"/>
      <c r="RMD155" s="839"/>
      <c r="RME155" s="839"/>
      <c r="RMF155" s="839"/>
      <c r="RMG155" s="839"/>
      <c r="RMH155" s="839"/>
      <c r="RMI155" s="839"/>
      <c r="RMJ155" s="839"/>
      <c r="RMK155" s="839"/>
      <c r="RML155" s="839"/>
      <c r="RMM155" s="839"/>
      <c r="RMN155" s="839"/>
      <c r="RMO155" s="839"/>
      <c r="RMP155" s="839"/>
      <c r="RMQ155" s="839"/>
      <c r="RMR155" s="839"/>
      <c r="RMS155" s="839"/>
      <c r="RMT155" s="839"/>
      <c r="RMU155" s="839"/>
      <c r="RMV155" s="839"/>
      <c r="RMW155" s="839"/>
      <c r="RMX155" s="839"/>
      <c r="RMY155" s="839"/>
      <c r="RMZ155" s="839"/>
      <c r="RNA155" s="839"/>
      <c r="RNB155" s="839"/>
      <c r="RNC155" s="839"/>
      <c r="RND155" s="839"/>
      <c r="RNE155" s="839"/>
      <c r="RNF155" s="839"/>
      <c r="RNG155" s="839"/>
      <c r="RNH155" s="839"/>
      <c r="RNI155" s="839"/>
      <c r="RNJ155" s="839"/>
      <c r="RNK155" s="839"/>
      <c r="RNL155" s="839"/>
      <c r="RNM155" s="839"/>
      <c r="RNN155" s="839"/>
      <c r="RNO155" s="839"/>
      <c r="RNP155" s="839"/>
      <c r="RNQ155" s="839"/>
      <c r="RNR155" s="839"/>
      <c r="RNS155" s="839"/>
      <c r="RNT155" s="839"/>
      <c r="RNU155" s="839"/>
      <c r="RNV155" s="839"/>
      <c r="RNW155" s="839"/>
      <c r="RNX155" s="839"/>
      <c r="RNY155" s="839"/>
      <c r="RNZ155" s="839"/>
      <c r="ROA155" s="839"/>
      <c r="ROB155" s="839"/>
      <c r="ROC155" s="839"/>
      <c r="ROD155" s="839"/>
      <c r="ROE155" s="839"/>
      <c r="ROF155" s="839"/>
      <c r="ROG155" s="839"/>
      <c r="ROH155" s="839"/>
      <c r="ROI155" s="839"/>
      <c r="ROJ155" s="839"/>
      <c r="ROK155" s="839"/>
      <c r="ROL155" s="839"/>
      <c r="ROM155" s="839"/>
      <c r="RON155" s="839"/>
      <c r="ROO155" s="839"/>
      <c r="ROP155" s="839"/>
      <c r="ROQ155" s="839"/>
      <c r="ROR155" s="839"/>
      <c r="ROS155" s="839"/>
      <c r="ROT155" s="839"/>
      <c r="ROU155" s="839"/>
      <c r="ROV155" s="839"/>
      <c r="ROW155" s="839"/>
      <c r="ROX155" s="839"/>
      <c r="ROY155" s="839"/>
      <c r="ROZ155" s="839"/>
      <c r="RPA155" s="839"/>
      <c r="RPB155" s="839"/>
      <c r="RPC155" s="839"/>
      <c r="RPD155" s="839"/>
      <c r="RPE155" s="839"/>
      <c r="RPF155" s="839"/>
      <c r="RPG155" s="839"/>
      <c r="RPH155" s="839"/>
      <c r="RPI155" s="839"/>
      <c r="RPJ155" s="839"/>
      <c r="RPK155" s="839"/>
      <c r="RPL155" s="839"/>
      <c r="RPM155" s="839"/>
      <c r="RPN155" s="839"/>
      <c r="RPO155" s="839"/>
      <c r="RPP155" s="839"/>
      <c r="RPQ155" s="839"/>
      <c r="RPR155" s="839"/>
      <c r="RPS155" s="839"/>
      <c r="RPT155" s="839"/>
      <c r="RPU155" s="839"/>
      <c r="RPV155" s="839"/>
      <c r="RPW155" s="839"/>
      <c r="RPX155" s="839"/>
      <c r="RPY155" s="839"/>
      <c r="RPZ155" s="839"/>
      <c r="RQA155" s="839"/>
      <c r="RQB155" s="839"/>
      <c r="RQC155" s="839"/>
      <c r="RQD155" s="839"/>
      <c r="RQE155" s="839"/>
      <c r="RQF155" s="839"/>
      <c r="RQG155" s="839"/>
      <c r="RQH155" s="839"/>
      <c r="RQI155" s="839"/>
      <c r="RQJ155" s="839"/>
      <c r="RQK155" s="839"/>
      <c r="RQL155" s="839"/>
      <c r="RQM155" s="839"/>
      <c r="RQN155" s="839"/>
      <c r="RQO155" s="839"/>
      <c r="RQP155" s="839"/>
      <c r="RQQ155" s="839"/>
      <c r="RQR155" s="839"/>
      <c r="RQS155" s="839"/>
      <c r="RQT155" s="839"/>
      <c r="RQU155" s="839"/>
      <c r="RQV155" s="839"/>
      <c r="RQW155" s="839"/>
      <c r="RQX155" s="839"/>
      <c r="RQY155" s="839"/>
      <c r="RQZ155" s="839"/>
      <c r="RRA155" s="839"/>
      <c r="RRB155" s="839"/>
      <c r="RRC155" s="839"/>
      <c r="RRD155" s="839"/>
      <c r="RRE155" s="839"/>
      <c r="RRF155" s="839"/>
      <c r="RRG155" s="839"/>
      <c r="RRH155" s="839"/>
      <c r="RRI155" s="839"/>
      <c r="RRJ155" s="839"/>
      <c r="RRK155" s="839"/>
      <c r="RRL155" s="839"/>
      <c r="RRM155" s="839"/>
      <c r="RRN155" s="839"/>
      <c r="RRO155" s="839"/>
      <c r="RRP155" s="839"/>
      <c r="RRQ155" s="839"/>
      <c r="RRR155" s="839"/>
      <c r="RRS155" s="839"/>
      <c r="RRT155" s="839"/>
      <c r="RRU155" s="839"/>
      <c r="RRV155" s="839"/>
      <c r="RRW155" s="839"/>
      <c r="RRX155" s="839"/>
      <c r="RRY155" s="839"/>
      <c r="RRZ155" s="839"/>
      <c r="RSA155" s="839"/>
      <c r="RSB155" s="839"/>
      <c r="RSC155" s="839"/>
      <c r="RSD155" s="839"/>
      <c r="RSE155" s="839"/>
      <c r="RSF155" s="839"/>
      <c r="RSG155" s="839"/>
      <c r="RSH155" s="839"/>
      <c r="RSI155" s="839"/>
      <c r="RSJ155" s="839"/>
      <c r="RSK155" s="839"/>
      <c r="RSL155" s="839"/>
      <c r="RSM155" s="839"/>
      <c r="RSN155" s="839"/>
      <c r="RSO155" s="839"/>
      <c r="RSP155" s="839"/>
      <c r="RSQ155" s="839"/>
      <c r="RSR155" s="839"/>
      <c r="RSS155" s="839"/>
      <c r="RST155" s="839"/>
      <c r="RSU155" s="839"/>
      <c r="RSV155" s="839"/>
      <c r="RSW155" s="839"/>
      <c r="RSX155" s="839"/>
      <c r="RSY155" s="839"/>
      <c r="RSZ155" s="839"/>
      <c r="RTA155" s="839"/>
      <c r="RTB155" s="839"/>
      <c r="RTC155" s="839"/>
      <c r="RTD155" s="839"/>
      <c r="RTE155" s="839"/>
      <c r="RTF155" s="839"/>
      <c r="RTG155" s="839"/>
      <c r="RTH155" s="839"/>
      <c r="RTI155" s="839"/>
      <c r="RTJ155" s="839"/>
      <c r="RTK155" s="839"/>
      <c r="RTL155" s="839"/>
      <c r="RTM155" s="839"/>
      <c r="RTN155" s="839"/>
      <c r="RTO155" s="839"/>
      <c r="RTP155" s="839"/>
      <c r="RTQ155" s="839"/>
      <c r="RTR155" s="839"/>
      <c r="RTS155" s="839"/>
      <c r="RTT155" s="839"/>
      <c r="RTU155" s="839"/>
      <c r="RTV155" s="839"/>
      <c r="RTW155" s="839"/>
      <c r="RTX155" s="839"/>
      <c r="RTY155" s="839"/>
      <c r="RTZ155" s="839"/>
      <c r="RUA155" s="839"/>
      <c r="RUB155" s="839"/>
      <c r="RUC155" s="839"/>
      <c r="RUD155" s="839"/>
      <c r="RUE155" s="839"/>
      <c r="RUF155" s="839"/>
      <c r="RUG155" s="839"/>
      <c r="RUH155" s="839"/>
      <c r="RUI155" s="839"/>
      <c r="RUJ155" s="839"/>
      <c r="RUK155" s="839"/>
      <c r="RUL155" s="839"/>
      <c r="RUM155" s="839"/>
      <c r="RUN155" s="839"/>
      <c r="RUO155" s="839"/>
      <c r="RUP155" s="839"/>
      <c r="RUQ155" s="839"/>
      <c r="RUR155" s="839"/>
      <c r="RUS155" s="839"/>
      <c r="RUT155" s="839"/>
      <c r="RUU155" s="839"/>
      <c r="RUV155" s="839"/>
      <c r="RUW155" s="839"/>
      <c r="RUX155" s="839"/>
      <c r="RUY155" s="839"/>
      <c r="RUZ155" s="839"/>
      <c r="RVA155" s="839"/>
      <c r="RVB155" s="839"/>
      <c r="RVC155" s="839"/>
      <c r="RVD155" s="839"/>
      <c r="RVE155" s="839"/>
      <c r="RVF155" s="839"/>
      <c r="RVG155" s="839"/>
      <c r="RVH155" s="839"/>
      <c r="RVI155" s="839"/>
      <c r="RVJ155" s="839"/>
      <c r="RVK155" s="839"/>
      <c r="RVL155" s="839"/>
      <c r="RVM155" s="839"/>
      <c r="RVN155" s="839"/>
      <c r="RVO155" s="839"/>
      <c r="RVP155" s="839"/>
      <c r="RVQ155" s="839"/>
      <c r="RVR155" s="839"/>
      <c r="RVS155" s="839"/>
      <c r="RVT155" s="839"/>
      <c r="RVU155" s="839"/>
      <c r="RVV155" s="839"/>
      <c r="RVW155" s="839"/>
      <c r="RVX155" s="839"/>
      <c r="RVY155" s="839"/>
      <c r="RVZ155" s="839"/>
      <c r="RWA155" s="839"/>
      <c r="RWB155" s="839"/>
      <c r="RWC155" s="839"/>
      <c r="RWD155" s="839"/>
      <c r="RWE155" s="839"/>
      <c r="RWF155" s="839"/>
      <c r="RWG155" s="839"/>
      <c r="RWH155" s="839"/>
      <c r="RWI155" s="839"/>
      <c r="RWJ155" s="839"/>
      <c r="RWK155" s="839"/>
      <c r="RWL155" s="839"/>
      <c r="RWM155" s="839"/>
      <c r="RWN155" s="839"/>
      <c r="RWO155" s="839"/>
      <c r="RWP155" s="839"/>
      <c r="RWQ155" s="839"/>
      <c r="RWR155" s="839"/>
      <c r="RWS155" s="839"/>
      <c r="RWT155" s="839"/>
      <c r="RWU155" s="839"/>
      <c r="RWV155" s="839"/>
      <c r="RWW155" s="839"/>
      <c r="RWX155" s="839"/>
      <c r="RWY155" s="839"/>
      <c r="RWZ155" s="839"/>
      <c r="RXA155" s="839"/>
      <c r="RXB155" s="839"/>
      <c r="RXC155" s="839"/>
      <c r="RXD155" s="839"/>
      <c r="RXE155" s="839"/>
      <c r="RXF155" s="839"/>
      <c r="RXG155" s="839"/>
      <c r="RXH155" s="839"/>
      <c r="RXI155" s="839"/>
      <c r="RXJ155" s="839"/>
      <c r="RXK155" s="839"/>
      <c r="RXL155" s="839"/>
      <c r="RXM155" s="839"/>
      <c r="RXN155" s="839"/>
      <c r="RXO155" s="839"/>
      <c r="RXP155" s="839"/>
      <c r="RXQ155" s="839"/>
      <c r="RXR155" s="839"/>
      <c r="RXS155" s="839"/>
      <c r="RXT155" s="839"/>
      <c r="RXU155" s="839"/>
      <c r="RXV155" s="839"/>
      <c r="RXW155" s="839"/>
      <c r="RXX155" s="839"/>
      <c r="RXY155" s="839"/>
      <c r="RXZ155" s="839"/>
      <c r="RYA155" s="839"/>
      <c r="RYB155" s="839"/>
      <c r="RYC155" s="839"/>
      <c r="RYD155" s="839"/>
      <c r="RYE155" s="839"/>
      <c r="RYF155" s="839"/>
      <c r="RYG155" s="839"/>
      <c r="RYH155" s="839"/>
      <c r="RYI155" s="839"/>
      <c r="RYJ155" s="839"/>
      <c r="RYK155" s="839"/>
      <c r="RYL155" s="839"/>
      <c r="RYM155" s="839"/>
      <c r="RYN155" s="839"/>
      <c r="RYO155" s="839"/>
      <c r="RYP155" s="839"/>
      <c r="RYQ155" s="839"/>
      <c r="RYR155" s="839"/>
      <c r="RYS155" s="839"/>
      <c r="RYT155" s="839"/>
      <c r="RYU155" s="839"/>
      <c r="RYV155" s="839"/>
      <c r="RYW155" s="839"/>
      <c r="RYX155" s="839"/>
      <c r="RYY155" s="839"/>
      <c r="RYZ155" s="839"/>
      <c r="RZA155" s="839"/>
      <c r="RZB155" s="839"/>
      <c r="RZC155" s="839"/>
      <c r="RZD155" s="839"/>
      <c r="RZE155" s="839"/>
      <c r="RZF155" s="839"/>
      <c r="RZG155" s="839"/>
      <c r="RZH155" s="839"/>
      <c r="RZI155" s="839"/>
      <c r="RZJ155" s="839"/>
      <c r="RZK155" s="839"/>
      <c r="RZL155" s="839"/>
      <c r="RZM155" s="839"/>
      <c r="RZN155" s="839"/>
      <c r="RZO155" s="839"/>
      <c r="RZP155" s="839"/>
      <c r="RZQ155" s="839"/>
      <c r="RZR155" s="839"/>
      <c r="RZS155" s="839"/>
      <c r="RZT155" s="839"/>
      <c r="RZU155" s="839"/>
      <c r="RZV155" s="839"/>
      <c r="RZW155" s="839"/>
      <c r="RZX155" s="839"/>
      <c r="RZY155" s="839"/>
      <c r="RZZ155" s="839"/>
      <c r="SAA155" s="839"/>
      <c r="SAB155" s="839"/>
      <c r="SAC155" s="839"/>
      <c r="SAD155" s="839"/>
      <c r="SAE155" s="839"/>
      <c r="SAF155" s="839"/>
      <c r="SAG155" s="839"/>
      <c r="SAH155" s="839"/>
      <c r="SAI155" s="839"/>
      <c r="SAJ155" s="839"/>
      <c r="SAK155" s="839"/>
      <c r="SAL155" s="839"/>
      <c r="SAM155" s="839"/>
      <c r="SAN155" s="839"/>
      <c r="SAO155" s="839"/>
      <c r="SAP155" s="839"/>
      <c r="SAQ155" s="839"/>
      <c r="SAR155" s="839"/>
      <c r="SAS155" s="839"/>
      <c r="SAT155" s="839"/>
      <c r="SAU155" s="839"/>
      <c r="SAV155" s="839"/>
      <c r="SAW155" s="839"/>
      <c r="SAX155" s="839"/>
      <c r="SAY155" s="839"/>
      <c r="SAZ155" s="839"/>
      <c r="SBA155" s="839"/>
      <c r="SBB155" s="839"/>
      <c r="SBC155" s="839"/>
      <c r="SBD155" s="839"/>
      <c r="SBE155" s="839"/>
      <c r="SBF155" s="839"/>
      <c r="SBG155" s="839"/>
      <c r="SBH155" s="839"/>
      <c r="SBI155" s="839"/>
      <c r="SBJ155" s="839"/>
      <c r="SBK155" s="839"/>
      <c r="SBL155" s="839"/>
      <c r="SBM155" s="839"/>
      <c r="SBN155" s="839"/>
      <c r="SBO155" s="839"/>
      <c r="SBP155" s="839"/>
      <c r="SBQ155" s="839"/>
      <c r="SBR155" s="839"/>
      <c r="SBS155" s="839"/>
      <c r="SBT155" s="839"/>
      <c r="SBU155" s="839"/>
      <c r="SBV155" s="839"/>
      <c r="SBW155" s="839"/>
      <c r="SBX155" s="839"/>
      <c r="SBY155" s="839"/>
      <c r="SBZ155" s="839"/>
      <c r="SCA155" s="839"/>
      <c r="SCB155" s="839"/>
      <c r="SCC155" s="839"/>
      <c r="SCD155" s="839"/>
      <c r="SCE155" s="839"/>
      <c r="SCF155" s="839"/>
      <c r="SCG155" s="839"/>
      <c r="SCH155" s="839"/>
      <c r="SCI155" s="839"/>
      <c r="SCJ155" s="839"/>
      <c r="SCK155" s="839"/>
      <c r="SCL155" s="839"/>
      <c r="SCM155" s="839"/>
      <c r="SCN155" s="839"/>
      <c r="SCO155" s="839"/>
      <c r="SCP155" s="839"/>
      <c r="SCQ155" s="839"/>
      <c r="SCR155" s="839"/>
      <c r="SCS155" s="839"/>
      <c r="SCT155" s="839"/>
      <c r="SCU155" s="839"/>
      <c r="SCV155" s="839"/>
      <c r="SCW155" s="839"/>
      <c r="SCX155" s="839"/>
      <c r="SCY155" s="839"/>
      <c r="SCZ155" s="839"/>
      <c r="SDA155" s="839"/>
      <c r="SDB155" s="839"/>
      <c r="SDC155" s="839"/>
      <c r="SDD155" s="839"/>
      <c r="SDE155" s="839"/>
      <c r="SDF155" s="839"/>
      <c r="SDG155" s="839"/>
      <c r="SDH155" s="839"/>
      <c r="SDI155" s="839"/>
      <c r="SDJ155" s="839"/>
      <c r="SDK155" s="839"/>
      <c r="SDL155" s="839"/>
      <c r="SDM155" s="839"/>
      <c r="SDN155" s="839"/>
      <c r="SDO155" s="839"/>
      <c r="SDP155" s="839"/>
      <c r="SDQ155" s="839"/>
      <c r="SDR155" s="839"/>
      <c r="SDS155" s="839"/>
      <c r="SDT155" s="839"/>
      <c r="SDU155" s="839"/>
      <c r="SDV155" s="839"/>
      <c r="SDW155" s="839"/>
      <c r="SDX155" s="839"/>
      <c r="SDY155" s="839"/>
      <c r="SDZ155" s="839"/>
      <c r="SEA155" s="839"/>
      <c r="SEB155" s="839"/>
      <c r="SEC155" s="839"/>
      <c r="SED155" s="839"/>
      <c r="SEE155" s="839"/>
      <c r="SEF155" s="839"/>
      <c r="SEG155" s="839"/>
      <c r="SEH155" s="839"/>
      <c r="SEI155" s="839"/>
      <c r="SEJ155" s="839"/>
      <c r="SEK155" s="839"/>
      <c r="SEL155" s="839"/>
      <c r="SEM155" s="839"/>
      <c r="SEN155" s="839"/>
      <c r="SEO155" s="839"/>
      <c r="SEP155" s="839"/>
      <c r="SEQ155" s="839"/>
      <c r="SER155" s="839"/>
      <c r="SES155" s="839"/>
      <c r="SET155" s="839"/>
      <c r="SEU155" s="839"/>
      <c r="SEV155" s="839"/>
      <c r="SEW155" s="839"/>
      <c r="SEX155" s="839"/>
      <c r="SEY155" s="839"/>
      <c r="SEZ155" s="839"/>
      <c r="SFA155" s="839"/>
      <c r="SFB155" s="839"/>
      <c r="SFC155" s="839"/>
      <c r="SFD155" s="839"/>
      <c r="SFE155" s="839"/>
      <c r="SFF155" s="839"/>
      <c r="SFG155" s="839"/>
      <c r="SFH155" s="839"/>
      <c r="SFI155" s="839"/>
      <c r="SFJ155" s="839"/>
      <c r="SFK155" s="839"/>
      <c r="SFL155" s="839"/>
      <c r="SFM155" s="839"/>
      <c r="SFN155" s="839"/>
      <c r="SFO155" s="839"/>
      <c r="SFP155" s="839"/>
      <c r="SFQ155" s="839"/>
      <c r="SFR155" s="839"/>
      <c r="SFS155" s="839"/>
      <c r="SFT155" s="839"/>
      <c r="SFU155" s="839"/>
      <c r="SFV155" s="839"/>
      <c r="SFW155" s="839"/>
      <c r="SFX155" s="839"/>
      <c r="SFY155" s="839"/>
      <c r="SFZ155" s="839"/>
      <c r="SGA155" s="839"/>
      <c r="SGB155" s="839"/>
      <c r="SGC155" s="839"/>
      <c r="SGD155" s="839"/>
      <c r="SGE155" s="839"/>
      <c r="SGF155" s="839"/>
      <c r="SGG155" s="839"/>
      <c r="SGH155" s="839"/>
      <c r="SGI155" s="839"/>
      <c r="SGJ155" s="839"/>
      <c r="SGK155" s="839"/>
      <c r="SGL155" s="839"/>
      <c r="SGM155" s="839"/>
      <c r="SGN155" s="839"/>
      <c r="SGO155" s="839"/>
      <c r="SGP155" s="839"/>
      <c r="SGQ155" s="839"/>
      <c r="SGR155" s="839"/>
      <c r="SGS155" s="839"/>
      <c r="SGT155" s="839"/>
      <c r="SGU155" s="839"/>
      <c r="SGV155" s="839"/>
      <c r="SGW155" s="839"/>
      <c r="SGX155" s="839"/>
      <c r="SGY155" s="839"/>
      <c r="SGZ155" s="839"/>
      <c r="SHA155" s="839"/>
      <c r="SHB155" s="839"/>
      <c r="SHC155" s="839"/>
      <c r="SHD155" s="839"/>
      <c r="SHE155" s="839"/>
      <c r="SHF155" s="839"/>
      <c r="SHG155" s="839"/>
      <c r="SHH155" s="839"/>
      <c r="SHI155" s="839"/>
      <c r="SHJ155" s="839"/>
      <c r="SHK155" s="839"/>
      <c r="SHL155" s="839"/>
      <c r="SHM155" s="839"/>
      <c r="SHN155" s="839"/>
      <c r="SHO155" s="839"/>
      <c r="SHP155" s="839"/>
      <c r="SHQ155" s="839"/>
      <c r="SHR155" s="839"/>
      <c r="SHS155" s="839"/>
      <c r="SHT155" s="839"/>
      <c r="SHU155" s="839"/>
      <c r="SHV155" s="839"/>
      <c r="SHW155" s="839"/>
      <c r="SHX155" s="839"/>
      <c r="SHY155" s="839"/>
      <c r="SHZ155" s="839"/>
      <c r="SIA155" s="839"/>
      <c r="SIB155" s="839"/>
      <c r="SIC155" s="839"/>
      <c r="SID155" s="839"/>
      <c r="SIE155" s="839"/>
      <c r="SIF155" s="839"/>
      <c r="SIG155" s="839"/>
      <c r="SIH155" s="839"/>
      <c r="SII155" s="839"/>
      <c r="SIJ155" s="839"/>
      <c r="SIK155" s="839"/>
      <c r="SIL155" s="839"/>
      <c r="SIM155" s="839"/>
      <c r="SIN155" s="839"/>
      <c r="SIO155" s="839"/>
      <c r="SIP155" s="839"/>
      <c r="SIQ155" s="839"/>
      <c r="SIR155" s="839"/>
      <c r="SIS155" s="839"/>
      <c r="SIT155" s="839"/>
      <c r="SIU155" s="839"/>
      <c r="SIV155" s="839"/>
      <c r="SIW155" s="839"/>
      <c r="SIX155" s="839"/>
      <c r="SIY155" s="839"/>
      <c r="SIZ155" s="839"/>
      <c r="SJA155" s="839"/>
      <c r="SJB155" s="839"/>
      <c r="SJC155" s="839"/>
      <c r="SJD155" s="839"/>
      <c r="SJE155" s="839"/>
      <c r="SJF155" s="839"/>
      <c r="SJG155" s="839"/>
      <c r="SJH155" s="839"/>
      <c r="SJI155" s="839"/>
      <c r="SJJ155" s="839"/>
      <c r="SJK155" s="839"/>
      <c r="SJL155" s="839"/>
      <c r="SJM155" s="839"/>
      <c r="SJN155" s="839"/>
      <c r="SJO155" s="839"/>
      <c r="SJP155" s="839"/>
      <c r="SJQ155" s="839"/>
      <c r="SJR155" s="839"/>
      <c r="SJS155" s="839"/>
      <c r="SJT155" s="839"/>
      <c r="SJU155" s="839"/>
      <c r="SJV155" s="839"/>
      <c r="SJW155" s="839"/>
      <c r="SJX155" s="839"/>
      <c r="SJY155" s="839"/>
      <c r="SJZ155" s="839"/>
      <c r="SKA155" s="839"/>
      <c r="SKB155" s="839"/>
      <c r="SKC155" s="839"/>
      <c r="SKD155" s="839"/>
      <c r="SKE155" s="839"/>
      <c r="SKF155" s="839"/>
      <c r="SKG155" s="839"/>
      <c r="SKH155" s="839"/>
      <c r="SKI155" s="839"/>
      <c r="SKJ155" s="839"/>
      <c r="SKK155" s="839"/>
      <c r="SKL155" s="839"/>
      <c r="SKM155" s="839"/>
      <c r="SKN155" s="839"/>
      <c r="SKO155" s="839"/>
      <c r="SKP155" s="839"/>
      <c r="SKQ155" s="839"/>
      <c r="SKR155" s="839"/>
      <c r="SKS155" s="839"/>
      <c r="SKT155" s="839"/>
      <c r="SKU155" s="839"/>
      <c r="SKV155" s="839"/>
      <c r="SKW155" s="839"/>
      <c r="SKX155" s="839"/>
      <c r="SKY155" s="839"/>
      <c r="SKZ155" s="839"/>
      <c r="SLA155" s="839"/>
      <c r="SLB155" s="839"/>
      <c r="SLC155" s="839"/>
      <c r="SLD155" s="839"/>
      <c r="SLE155" s="839"/>
      <c r="SLF155" s="839"/>
      <c r="SLG155" s="839"/>
      <c r="SLH155" s="839"/>
      <c r="SLI155" s="839"/>
      <c r="SLJ155" s="839"/>
      <c r="SLK155" s="839"/>
      <c r="SLL155" s="839"/>
      <c r="SLM155" s="839"/>
      <c r="SLN155" s="839"/>
      <c r="SLO155" s="839"/>
      <c r="SLP155" s="839"/>
      <c r="SLQ155" s="839"/>
      <c r="SLR155" s="839"/>
      <c r="SLS155" s="839"/>
      <c r="SLT155" s="839"/>
      <c r="SLU155" s="839"/>
      <c r="SLV155" s="839"/>
      <c r="SLW155" s="839"/>
      <c r="SLX155" s="839"/>
      <c r="SLY155" s="839"/>
      <c r="SLZ155" s="839"/>
      <c r="SMA155" s="839"/>
      <c r="SMB155" s="839"/>
      <c r="SMC155" s="839"/>
      <c r="SMD155" s="839"/>
      <c r="SME155" s="839"/>
      <c r="SMF155" s="839"/>
      <c r="SMG155" s="839"/>
      <c r="SMH155" s="839"/>
      <c r="SMI155" s="839"/>
      <c r="SMJ155" s="839"/>
      <c r="SMK155" s="839"/>
      <c r="SML155" s="839"/>
      <c r="SMM155" s="839"/>
      <c r="SMN155" s="839"/>
      <c r="SMO155" s="839"/>
      <c r="SMP155" s="839"/>
      <c r="SMQ155" s="839"/>
      <c r="SMR155" s="839"/>
      <c r="SMS155" s="839"/>
      <c r="SMT155" s="839"/>
      <c r="SMU155" s="839"/>
      <c r="SMV155" s="839"/>
      <c r="SMW155" s="839"/>
      <c r="SMX155" s="839"/>
      <c r="SMY155" s="839"/>
      <c r="SMZ155" s="839"/>
      <c r="SNA155" s="839"/>
      <c r="SNB155" s="839"/>
      <c r="SNC155" s="839"/>
      <c r="SND155" s="839"/>
      <c r="SNE155" s="839"/>
      <c r="SNF155" s="839"/>
      <c r="SNG155" s="839"/>
      <c r="SNH155" s="839"/>
      <c r="SNI155" s="839"/>
      <c r="SNJ155" s="839"/>
      <c r="SNK155" s="839"/>
      <c r="SNL155" s="839"/>
      <c r="SNM155" s="839"/>
      <c r="SNN155" s="839"/>
      <c r="SNO155" s="839"/>
      <c r="SNP155" s="839"/>
      <c r="SNQ155" s="839"/>
      <c r="SNR155" s="839"/>
      <c r="SNS155" s="839"/>
      <c r="SNT155" s="839"/>
      <c r="SNU155" s="839"/>
      <c r="SNV155" s="839"/>
      <c r="SNW155" s="839"/>
      <c r="SNX155" s="839"/>
      <c r="SNY155" s="839"/>
      <c r="SNZ155" s="839"/>
      <c r="SOA155" s="839"/>
      <c r="SOB155" s="839"/>
      <c r="SOC155" s="839"/>
      <c r="SOD155" s="839"/>
      <c r="SOE155" s="839"/>
      <c r="SOF155" s="839"/>
      <c r="SOG155" s="839"/>
      <c r="SOH155" s="839"/>
      <c r="SOI155" s="839"/>
      <c r="SOJ155" s="839"/>
      <c r="SOK155" s="839"/>
      <c r="SOL155" s="839"/>
      <c r="SOM155" s="839"/>
      <c r="SON155" s="839"/>
      <c r="SOO155" s="839"/>
      <c r="SOP155" s="839"/>
      <c r="SOQ155" s="839"/>
      <c r="SOR155" s="839"/>
      <c r="SOS155" s="839"/>
      <c r="SOT155" s="839"/>
      <c r="SOU155" s="839"/>
      <c r="SOV155" s="839"/>
      <c r="SOW155" s="839"/>
      <c r="SOX155" s="839"/>
      <c r="SOY155" s="839"/>
      <c r="SOZ155" s="839"/>
      <c r="SPA155" s="839"/>
      <c r="SPB155" s="839"/>
      <c r="SPC155" s="839"/>
      <c r="SPD155" s="839"/>
      <c r="SPE155" s="839"/>
      <c r="SPF155" s="839"/>
      <c r="SPG155" s="839"/>
      <c r="SPH155" s="839"/>
      <c r="SPI155" s="839"/>
      <c r="SPJ155" s="839"/>
      <c r="SPK155" s="839"/>
      <c r="SPL155" s="839"/>
      <c r="SPM155" s="839"/>
      <c r="SPN155" s="839"/>
      <c r="SPO155" s="839"/>
      <c r="SPP155" s="839"/>
      <c r="SPQ155" s="839"/>
      <c r="SPR155" s="839"/>
      <c r="SPS155" s="839"/>
      <c r="SPT155" s="839"/>
      <c r="SPU155" s="839"/>
      <c r="SPV155" s="839"/>
      <c r="SPW155" s="839"/>
      <c r="SPX155" s="839"/>
      <c r="SPY155" s="839"/>
      <c r="SPZ155" s="839"/>
      <c r="SQA155" s="839"/>
      <c r="SQB155" s="839"/>
      <c r="SQC155" s="839"/>
      <c r="SQD155" s="839"/>
      <c r="SQE155" s="839"/>
      <c r="SQF155" s="839"/>
      <c r="SQG155" s="839"/>
      <c r="SQH155" s="839"/>
      <c r="SQI155" s="839"/>
      <c r="SQJ155" s="839"/>
      <c r="SQK155" s="839"/>
      <c r="SQL155" s="839"/>
      <c r="SQM155" s="839"/>
      <c r="SQN155" s="839"/>
      <c r="SQO155" s="839"/>
      <c r="SQP155" s="839"/>
      <c r="SQQ155" s="839"/>
      <c r="SQR155" s="839"/>
      <c r="SQS155" s="839"/>
      <c r="SQT155" s="839"/>
      <c r="SQU155" s="839"/>
      <c r="SQV155" s="839"/>
      <c r="SQW155" s="839"/>
      <c r="SQX155" s="839"/>
      <c r="SQY155" s="839"/>
      <c r="SQZ155" s="839"/>
      <c r="SRA155" s="839"/>
      <c r="SRB155" s="839"/>
      <c r="SRC155" s="839"/>
      <c r="SRD155" s="839"/>
      <c r="SRE155" s="839"/>
      <c r="SRF155" s="839"/>
      <c r="SRG155" s="839"/>
      <c r="SRH155" s="839"/>
      <c r="SRI155" s="839"/>
      <c r="SRJ155" s="839"/>
      <c r="SRK155" s="839"/>
      <c r="SRL155" s="839"/>
      <c r="SRM155" s="839"/>
      <c r="SRN155" s="839"/>
      <c r="SRO155" s="839"/>
      <c r="SRP155" s="839"/>
      <c r="SRQ155" s="839"/>
      <c r="SRR155" s="839"/>
      <c r="SRS155" s="839"/>
      <c r="SRT155" s="839"/>
      <c r="SRU155" s="839"/>
      <c r="SRV155" s="839"/>
      <c r="SRW155" s="839"/>
      <c r="SRX155" s="839"/>
      <c r="SRY155" s="839"/>
      <c r="SRZ155" s="839"/>
      <c r="SSA155" s="839"/>
      <c r="SSB155" s="839"/>
      <c r="SSC155" s="839"/>
      <c r="SSD155" s="839"/>
      <c r="SSE155" s="839"/>
      <c r="SSF155" s="839"/>
      <c r="SSG155" s="839"/>
      <c r="SSH155" s="839"/>
      <c r="SSI155" s="839"/>
      <c r="SSJ155" s="839"/>
      <c r="SSK155" s="839"/>
      <c r="SSL155" s="839"/>
      <c r="SSM155" s="839"/>
      <c r="SSN155" s="839"/>
      <c r="SSO155" s="839"/>
      <c r="SSP155" s="839"/>
      <c r="SSQ155" s="839"/>
      <c r="SSR155" s="839"/>
      <c r="SSS155" s="839"/>
      <c r="SST155" s="839"/>
      <c r="SSU155" s="839"/>
      <c r="SSV155" s="839"/>
      <c r="SSW155" s="839"/>
      <c r="SSX155" s="839"/>
      <c r="SSY155" s="839"/>
      <c r="SSZ155" s="839"/>
      <c r="STA155" s="839"/>
      <c r="STB155" s="839"/>
      <c r="STC155" s="839"/>
      <c r="STD155" s="839"/>
      <c r="STE155" s="839"/>
      <c r="STF155" s="839"/>
      <c r="STG155" s="839"/>
      <c r="STH155" s="839"/>
      <c r="STI155" s="839"/>
      <c r="STJ155" s="839"/>
      <c r="STK155" s="839"/>
      <c r="STL155" s="839"/>
      <c r="STM155" s="839"/>
      <c r="STN155" s="839"/>
      <c r="STO155" s="839"/>
      <c r="STP155" s="839"/>
      <c r="STQ155" s="839"/>
      <c r="STR155" s="839"/>
      <c r="STS155" s="839"/>
      <c r="STT155" s="839"/>
      <c r="STU155" s="839"/>
      <c r="STV155" s="839"/>
      <c r="STW155" s="839"/>
      <c r="STX155" s="839"/>
      <c r="STY155" s="839"/>
      <c r="STZ155" s="839"/>
      <c r="SUA155" s="839"/>
      <c r="SUB155" s="839"/>
      <c r="SUC155" s="839"/>
      <c r="SUD155" s="839"/>
      <c r="SUE155" s="839"/>
      <c r="SUF155" s="839"/>
      <c r="SUG155" s="839"/>
      <c r="SUH155" s="839"/>
      <c r="SUI155" s="839"/>
      <c r="SUJ155" s="839"/>
      <c r="SUK155" s="839"/>
      <c r="SUL155" s="839"/>
      <c r="SUM155" s="839"/>
      <c r="SUN155" s="839"/>
      <c r="SUO155" s="839"/>
      <c r="SUP155" s="839"/>
      <c r="SUQ155" s="839"/>
      <c r="SUR155" s="839"/>
      <c r="SUS155" s="839"/>
      <c r="SUT155" s="839"/>
      <c r="SUU155" s="839"/>
      <c r="SUV155" s="839"/>
      <c r="SUW155" s="839"/>
      <c r="SUX155" s="839"/>
      <c r="SUY155" s="839"/>
      <c r="SUZ155" s="839"/>
      <c r="SVA155" s="839"/>
      <c r="SVB155" s="839"/>
      <c r="SVC155" s="839"/>
      <c r="SVD155" s="839"/>
      <c r="SVE155" s="839"/>
      <c r="SVF155" s="839"/>
      <c r="SVG155" s="839"/>
      <c r="SVH155" s="839"/>
      <c r="SVI155" s="839"/>
      <c r="SVJ155" s="839"/>
      <c r="SVK155" s="839"/>
      <c r="SVL155" s="839"/>
      <c r="SVM155" s="839"/>
      <c r="SVN155" s="839"/>
      <c r="SVO155" s="839"/>
      <c r="SVP155" s="839"/>
      <c r="SVQ155" s="839"/>
      <c r="SVR155" s="839"/>
      <c r="SVS155" s="839"/>
      <c r="SVT155" s="839"/>
      <c r="SVU155" s="839"/>
      <c r="SVV155" s="839"/>
      <c r="SVW155" s="839"/>
      <c r="SVX155" s="839"/>
      <c r="SVY155" s="839"/>
      <c r="SVZ155" s="839"/>
      <c r="SWA155" s="839"/>
      <c r="SWB155" s="839"/>
      <c r="SWC155" s="839"/>
      <c r="SWD155" s="839"/>
      <c r="SWE155" s="839"/>
      <c r="SWF155" s="839"/>
      <c r="SWG155" s="839"/>
      <c r="SWH155" s="839"/>
      <c r="SWI155" s="839"/>
      <c r="SWJ155" s="839"/>
      <c r="SWK155" s="839"/>
      <c r="SWL155" s="839"/>
      <c r="SWM155" s="839"/>
      <c r="SWN155" s="839"/>
      <c r="SWO155" s="839"/>
      <c r="SWP155" s="839"/>
      <c r="SWQ155" s="839"/>
      <c r="SWR155" s="839"/>
      <c r="SWS155" s="839"/>
      <c r="SWT155" s="839"/>
      <c r="SWU155" s="839"/>
      <c r="SWV155" s="839"/>
      <c r="SWW155" s="839"/>
      <c r="SWX155" s="839"/>
      <c r="SWY155" s="839"/>
      <c r="SWZ155" s="839"/>
      <c r="SXA155" s="839"/>
      <c r="SXB155" s="839"/>
      <c r="SXC155" s="839"/>
      <c r="SXD155" s="839"/>
      <c r="SXE155" s="839"/>
      <c r="SXF155" s="839"/>
      <c r="SXG155" s="839"/>
      <c r="SXH155" s="839"/>
      <c r="SXI155" s="839"/>
      <c r="SXJ155" s="839"/>
      <c r="SXK155" s="839"/>
      <c r="SXL155" s="839"/>
      <c r="SXM155" s="839"/>
      <c r="SXN155" s="839"/>
      <c r="SXO155" s="839"/>
      <c r="SXP155" s="839"/>
      <c r="SXQ155" s="839"/>
      <c r="SXR155" s="839"/>
      <c r="SXS155" s="839"/>
      <c r="SXT155" s="839"/>
      <c r="SXU155" s="839"/>
      <c r="SXV155" s="839"/>
      <c r="SXW155" s="839"/>
      <c r="SXX155" s="839"/>
      <c r="SXY155" s="839"/>
      <c r="SXZ155" s="839"/>
      <c r="SYA155" s="839"/>
      <c r="SYB155" s="839"/>
      <c r="SYC155" s="839"/>
      <c r="SYD155" s="839"/>
      <c r="SYE155" s="839"/>
      <c r="SYF155" s="839"/>
      <c r="SYG155" s="839"/>
      <c r="SYH155" s="839"/>
      <c r="SYI155" s="839"/>
      <c r="SYJ155" s="839"/>
      <c r="SYK155" s="839"/>
      <c r="SYL155" s="839"/>
      <c r="SYM155" s="839"/>
      <c r="SYN155" s="839"/>
      <c r="SYO155" s="839"/>
      <c r="SYP155" s="839"/>
      <c r="SYQ155" s="839"/>
      <c r="SYR155" s="839"/>
      <c r="SYS155" s="839"/>
      <c r="SYT155" s="839"/>
      <c r="SYU155" s="839"/>
      <c r="SYV155" s="839"/>
      <c r="SYW155" s="839"/>
      <c r="SYX155" s="839"/>
      <c r="SYY155" s="839"/>
      <c r="SYZ155" s="839"/>
      <c r="SZA155" s="839"/>
      <c r="SZB155" s="839"/>
      <c r="SZC155" s="839"/>
      <c r="SZD155" s="839"/>
      <c r="SZE155" s="839"/>
      <c r="SZF155" s="839"/>
      <c r="SZG155" s="839"/>
      <c r="SZH155" s="839"/>
      <c r="SZI155" s="839"/>
      <c r="SZJ155" s="839"/>
      <c r="SZK155" s="839"/>
      <c r="SZL155" s="839"/>
      <c r="SZM155" s="839"/>
      <c r="SZN155" s="839"/>
      <c r="SZO155" s="839"/>
      <c r="SZP155" s="839"/>
      <c r="SZQ155" s="839"/>
      <c r="SZR155" s="839"/>
      <c r="SZS155" s="839"/>
      <c r="SZT155" s="839"/>
      <c r="SZU155" s="839"/>
      <c r="SZV155" s="839"/>
      <c r="SZW155" s="839"/>
      <c r="SZX155" s="839"/>
      <c r="SZY155" s="839"/>
      <c r="SZZ155" s="839"/>
      <c r="TAA155" s="839"/>
      <c r="TAB155" s="839"/>
      <c r="TAC155" s="839"/>
      <c r="TAD155" s="839"/>
      <c r="TAE155" s="839"/>
      <c r="TAF155" s="839"/>
      <c r="TAG155" s="839"/>
      <c r="TAH155" s="839"/>
      <c r="TAI155" s="839"/>
      <c r="TAJ155" s="839"/>
      <c r="TAK155" s="839"/>
      <c r="TAL155" s="839"/>
      <c r="TAM155" s="839"/>
      <c r="TAN155" s="839"/>
      <c r="TAO155" s="839"/>
      <c r="TAP155" s="839"/>
      <c r="TAQ155" s="839"/>
      <c r="TAR155" s="839"/>
      <c r="TAS155" s="839"/>
      <c r="TAT155" s="839"/>
      <c r="TAU155" s="839"/>
      <c r="TAV155" s="839"/>
      <c r="TAW155" s="839"/>
      <c r="TAX155" s="839"/>
      <c r="TAY155" s="839"/>
      <c r="TAZ155" s="839"/>
      <c r="TBA155" s="839"/>
      <c r="TBB155" s="839"/>
      <c r="TBC155" s="839"/>
      <c r="TBD155" s="839"/>
      <c r="TBE155" s="839"/>
      <c r="TBF155" s="839"/>
      <c r="TBG155" s="839"/>
      <c r="TBH155" s="839"/>
      <c r="TBI155" s="839"/>
      <c r="TBJ155" s="839"/>
      <c r="TBK155" s="839"/>
      <c r="TBL155" s="839"/>
      <c r="TBM155" s="839"/>
      <c r="TBN155" s="839"/>
      <c r="TBO155" s="839"/>
      <c r="TBP155" s="839"/>
      <c r="TBQ155" s="839"/>
      <c r="TBR155" s="839"/>
      <c r="TBS155" s="839"/>
      <c r="TBT155" s="839"/>
      <c r="TBU155" s="839"/>
      <c r="TBV155" s="839"/>
      <c r="TBW155" s="839"/>
      <c r="TBX155" s="839"/>
      <c r="TBY155" s="839"/>
      <c r="TBZ155" s="839"/>
      <c r="TCA155" s="839"/>
      <c r="TCB155" s="839"/>
      <c r="TCC155" s="839"/>
      <c r="TCD155" s="839"/>
      <c r="TCE155" s="839"/>
      <c r="TCF155" s="839"/>
      <c r="TCG155" s="839"/>
      <c r="TCH155" s="839"/>
      <c r="TCI155" s="839"/>
      <c r="TCJ155" s="839"/>
      <c r="TCK155" s="839"/>
      <c r="TCL155" s="839"/>
      <c r="TCM155" s="839"/>
      <c r="TCN155" s="839"/>
      <c r="TCO155" s="839"/>
      <c r="TCP155" s="839"/>
      <c r="TCQ155" s="839"/>
      <c r="TCR155" s="839"/>
      <c r="TCS155" s="839"/>
      <c r="TCT155" s="839"/>
      <c r="TCU155" s="839"/>
      <c r="TCV155" s="839"/>
      <c r="TCW155" s="839"/>
      <c r="TCX155" s="839"/>
      <c r="TCY155" s="839"/>
      <c r="TCZ155" s="839"/>
      <c r="TDA155" s="839"/>
      <c r="TDB155" s="839"/>
      <c r="TDC155" s="839"/>
      <c r="TDD155" s="839"/>
      <c r="TDE155" s="839"/>
      <c r="TDF155" s="839"/>
      <c r="TDG155" s="839"/>
      <c r="TDH155" s="839"/>
      <c r="TDI155" s="839"/>
      <c r="TDJ155" s="839"/>
      <c r="TDK155" s="839"/>
      <c r="TDL155" s="839"/>
      <c r="TDM155" s="839"/>
      <c r="TDN155" s="839"/>
      <c r="TDO155" s="839"/>
      <c r="TDP155" s="839"/>
      <c r="TDQ155" s="839"/>
      <c r="TDR155" s="839"/>
      <c r="TDS155" s="839"/>
      <c r="TDT155" s="839"/>
      <c r="TDU155" s="839"/>
      <c r="TDV155" s="839"/>
      <c r="TDW155" s="839"/>
      <c r="TDX155" s="839"/>
      <c r="TDY155" s="839"/>
      <c r="TDZ155" s="839"/>
      <c r="TEA155" s="839"/>
      <c r="TEB155" s="839"/>
      <c r="TEC155" s="839"/>
      <c r="TED155" s="839"/>
      <c r="TEE155" s="839"/>
      <c r="TEF155" s="839"/>
      <c r="TEG155" s="839"/>
      <c r="TEH155" s="839"/>
      <c r="TEI155" s="839"/>
      <c r="TEJ155" s="839"/>
      <c r="TEK155" s="839"/>
      <c r="TEL155" s="839"/>
      <c r="TEM155" s="839"/>
      <c r="TEN155" s="839"/>
      <c r="TEO155" s="839"/>
      <c r="TEP155" s="839"/>
      <c r="TEQ155" s="839"/>
      <c r="TER155" s="839"/>
      <c r="TES155" s="839"/>
      <c r="TET155" s="839"/>
      <c r="TEU155" s="839"/>
      <c r="TEV155" s="839"/>
      <c r="TEW155" s="839"/>
      <c r="TEX155" s="839"/>
      <c r="TEY155" s="839"/>
      <c r="TEZ155" s="839"/>
      <c r="TFA155" s="839"/>
      <c r="TFB155" s="839"/>
      <c r="TFC155" s="839"/>
      <c r="TFD155" s="839"/>
      <c r="TFE155" s="839"/>
      <c r="TFF155" s="839"/>
      <c r="TFG155" s="839"/>
      <c r="TFH155" s="839"/>
      <c r="TFI155" s="839"/>
      <c r="TFJ155" s="839"/>
      <c r="TFK155" s="839"/>
      <c r="TFL155" s="839"/>
      <c r="TFM155" s="839"/>
      <c r="TFN155" s="839"/>
      <c r="TFO155" s="839"/>
      <c r="TFP155" s="839"/>
      <c r="TFQ155" s="839"/>
      <c r="TFR155" s="839"/>
      <c r="TFS155" s="839"/>
      <c r="TFT155" s="839"/>
      <c r="TFU155" s="839"/>
      <c r="TFV155" s="839"/>
      <c r="TFW155" s="839"/>
      <c r="TFX155" s="839"/>
      <c r="TFY155" s="839"/>
      <c r="TFZ155" s="839"/>
      <c r="TGA155" s="839"/>
      <c r="TGB155" s="839"/>
      <c r="TGC155" s="839"/>
      <c r="TGD155" s="839"/>
      <c r="TGE155" s="839"/>
      <c r="TGF155" s="839"/>
      <c r="TGG155" s="839"/>
      <c r="TGH155" s="839"/>
      <c r="TGI155" s="839"/>
      <c r="TGJ155" s="839"/>
      <c r="TGK155" s="839"/>
      <c r="TGL155" s="839"/>
      <c r="TGM155" s="839"/>
      <c r="TGN155" s="839"/>
      <c r="TGO155" s="839"/>
      <c r="TGP155" s="839"/>
      <c r="TGQ155" s="839"/>
      <c r="TGR155" s="839"/>
      <c r="TGS155" s="839"/>
      <c r="TGT155" s="839"/>
      <c r="TGU155" s="839"/>
      <c r="TGV155" s="839"/>
      <c r="TGW155" s="839"/>
      <c r="TGX155" s="839"/>
      <c r="TGY155" s="839"/>
      <c r="TGZ155" s="839"/>
      <c r="THA155" s="839"/>
      <c r="THB155" s="839"/>
      <c r="THC155" s="839"/>
      <c r="THD155" s="839"/>
      <c r="THE155" s="839"/>
      <c r="THF155" s="839"/>
      <c r="THG155" s="839"/>
      <c r="THH155" s="839"/>
      <c r="THI155" s="839"/>
      <c r="THJ155" s="839"/>
      <c r="THK155" s="839"/>
      <c r="THL155" s="839"/>
      <c r="THM155" s="839"/>
      <c r="THN155" s="839"/>
      <c r="THO155" s="839"/>
      <c r="THP155" s="839"/>
      <c r="THQ155" s="839"/>
      <c r="THR155" s="839"/>
      <c r="THS155" s="839"/>
      <c r="THT155" s="839"/>
      <c r="THU155" s="839"/>
      <c r="THV155" s="839"/>
      <c r="THW155" s="839"/>
      <c r="THX155" s="839"/>
      <c r="THY155" s="839"/>
      <c r="THZ155" s="839"/>
      <c r="TIA155" s="839"/>
      <c r="TIB155" s="839"/>
      <c r="TIC155" s="839"/>
      <c r="TID155" s="839"/>
      <c r="TIE155" s="839"/>
      <c r="TIF155" s="839"/>
      <c r="TIG155" s="839"/>
      <c r="TIH155" s="839"/>
      <c r="TII155" s="839"/>
      <c r="TIJ155" s="839"/>
      <c r="TIK155" s="839"/>
      <c r="TIL155" s="839"/>
      <c r="TIM155" s="839"/>
      <c r="TIN155" s="839"/>
      <c r="TIO155" s="839"/>
      <c r="TIP155" s="839"/>
      <c r="TIQ155" s="839"/>
      <c r="TIR155" s="839"/>
      <c r="TIS155" s="839"/>
      <c r="TIT155" s="839"/>
      <c r="TIU155" s="839"/>
      <c r="TIV155" s="839"/>
      <c r="TIW155" s="839"/>
      <c r="TIX155" s="839"/>
      <c r="TIY155" s="839"/>
      <c r="TIZ155" s="839"/>
      <c r="TJA155" s="839"/>
      <c r="TJB155" s="839"/>
      <c r="TJC155" s="839"/>
      <c r="TJD155" s="839"/>
      <c r="TJE155" s="839"/>
      <c r="TJF155" s="839"/>
      <c r="TJG155" s="839"/>
      <c r="TJH155" s="839"/>
      <c r="TJI155" s="839"/>
      <c r="TJJ155" s="839"/>
      <c r="TJK155" s="839"/>
      <c r="TJL155" s="839"/>
      <c r="TJM155" s="839"/>
      <c r="TJN155" s="839"/>
      <c r="TJO155" s="839"/>
      <c r="TJP155" s="839"/>
      <c r="TJQ155" s="839"/>
      <c r="TJR155" s="839"/>
      <c r="TJS155" s="839"/>
      <c r="TJT155" s="839"/>
      <c r="TJU155" s="839"/>
      <c r="TJV155" s="839"/>
      <c r="TJW155" s="839"/>
      <c r="TJX155" s="839"/>
      <c r="TJY155" s="839"/>
      <c r="TJZ155" s="839"/>
      <c r="TKA155" s="839"/>
      <c r="TKB155" s="839"/>
      <c r="TKC155" s="839"/>
      <c r="TKD155" s="839"/>
      <c r="TKE155" s="839"/>
      <c r="TKF155" s="839"/>
      <c r="TKG155" s="839"/>
      <c r="TKH155" s="839"/>
      <c r="TKI155" s="839"/>
      <c r="TKJ155" s="839"/>
      <c r="TKK155" s="839"/>
      <c r="TKL155" s="839"/>
      <c r="TKM155" s="839"/>
      <c r="TKN155" s="839"/>
      <c r="TKO155" s="839"/>
      <c r="TKP155" s="839"/>
      <c r="TKQ155" s="839"/>
      <c r="TKR155" s="839"/>
      <c r="TKS155" s="839"/>
      <c r="TKT155" s="839"/>
      <c r="TKU155" s="839"/>
      <c r="TKV155" s="839"/>
      <c r="TKW155" s="839"/>
      <c r="TKX155" s="839"/>
      <c r="TKY155" s="839"/>
      <c r="TKZ155" s="839"/>
      <c r="TLA155" s="839"/>
      <c r="TLB155" s="839"/>
      <c r="TLC155" s="839"/>
      <c r="TLD155" s="839"/>
      <c r="TLE155" s="839"/>
      <c r="TLF155" s="839"/>
      <c r="TLG155" s="839"/>
      <c r="TLH155" s="839"/>
      <c r="TLI155" s="839"/>
      <c r="TLJ155" s="839"/>
      <c r="TLK155" s="839"/>
      <c r="TLL155" s="839"/>
      <c r="TLM155" s="839"/>
      <c r="TLN155" s="839"/>
      <c r="TLO155" s="839"/>
      <c r="TLP155" s="839"/>
      <c r="TLQ155" s="839"/>
      <c r="TLR155" s="839"/>
      <c r="TLS155" s="839"/>
      <c r="TLT155" s="839"/>
      <c r="TLU155" s="839"/>
      <c r="TLV155" s="839"/>
      <c r="TLW155" s="839"/>
      <c r="TLX155" s="839"/>
      <c r="TLY155" s="839"/>
      <c r="TLZ155" s="839"/>
      <c r="TMA155" s="839"/>
      <c r="TMB155" s="839"/>
      <c r="TMC155" s="839"/>
      <c r="TMD155" s="839"/>
      <c r="TME155" s="839"/>
      <c r="TMF155" s="839"/>
      <c r="TMG155" s="839"/>
      <c r="TMH155" s="839"/>
      <c r="TMI155" s="839"/>
      <c r="TMJ155" s="839"/>
      <c r="TMK155" s="839"/>
      <c r="TML155" s="839"/>
      <c r="TMM155" s="839"/>
      <c r="TMN155" s="839"/>
      <c r="TMO155" s="839"/>
      <c r="TMP155" s="839"/>
      <c r="TMQ155" s="839"/>
      <c r="TMR155" s="839"/>
      <c r="TMS155" s="839"/>
      <c r="TMT155" s="839"/>
      <c r="TMU155" s="839"/>
      <c r="TMV155" s="839"/>
      <c r="TMW155" s="839"/>
      <c r="TMX155" s="839"/>
      <c r="TMY155" s="839"/>
      <c r="TMZ155" s="839"/>
      <c r="TNA155" s="839"/>
      <c r="TNB155" s="839"/>
      <c r="TNC155" s="839"/>
      <c r="TND155" s="839"/>
      <c r="TNE155" s="839"/>
      <c r="TNF155" s="839"/>
      <c r="TNG155" s="839"/>
      <c r="TNH155" s="839"/>
      <c r="TNI155" s="839"/>
      <c r="TNJ155" s="839"/>
      <c r="TNK155" s="839"/>
      <c r="TNL155" s="839"/>
      <c r="TNM155" s="839"/>
      <c r="TNN155" s="839"/>
      <c r="TNO155" s="839"/>
      <c r="TNP155" s="839"/>
      <c r="TNQ155" s="839"/>
      <c r="TNR155" s="839"/>
      <c r="TNS155" s="839"/>
      <c r="TNT155" s="839"/>
      <c r="TNU155" s="839"/>
      <c r="TNV155" s="839"/>
      <c r="TNW155" s="839"/>
      <c r="TNX155" s="839"/>
      <c r="TNY155" s="839"/>
      <c r="TNZ155" s="839"/>
      <c r="TOA155" s="839"/>
      <c r="TOB155" s="839"/>
      <c r="TOC155" s="839"/>
      <c r="TOD155" s="839"/>
      <c r="TOE155" s="839"/>
      <c r="TOF155" s="839"/>
      <c r="TOG155" s="839"/>
      <c r="TOH155" s="839"/>
      <c r="TOI155" s="839"/>
      <c r="TOJ155" s="839"/>
      <c r="TOK155" s="839"/>
      <c r="TOL155" s="839"/>
      <c r="TOM155" s="839"/>
      <c r="TON155" s="839"/>
      <c r="TOO155" s="839"/>
      <c r="TOP155" s="839"/>
      <c r="TOQ155" s="839"/>
      <c r="TOR155" s="839"/>
      <c r="TOS155" s="839"/>
      <c r="TOT155" s="839"/>
      <c r="TOU155" s="839"/>
      <c r="TOV155" s="839"/>
      <c r="TOW155" s="839"/>
      <c r="TOX155" s="839"/>
      <c r="TOY155" s="839"/>
      <c r="TOZ155" s="839"/>
      <c r="TPA155" s="839"/>
      <c r="TPB155" s="839"/>
      <c r="TPC155" s="839"/>
      <c r="TPD155" s="839"/>
      <c r="TPE155" s="839"/>
      <c r="TPF155" s="839"/>
      <c r="TPG155" s="839"/>
      <c r="TPH155" s="839"/>
      <c r="TPI155" s="839"/>
      <c r="TPJ155" s="839"/>
      <c r="TPK155" s="839"/>
      <c r="TPL155" s="839"/>
      <c r="TPM155" s="839"/>
      <c r="TPN155" s="839"/>
      <c r="TPO155" s="839"/>
      <c r="TPP155" s="839"/>
      <c r="TPQ155" s="839"/>
      <c r="TPR155" s="839"/>
      <c r="TPS155" s="839"/>
      <c r="TPT155" s="839"/>
      <c r="TPU155" s="839"/>
      <c r="TPV155" s="839"/>
      <c r="TPW155" s="839"/>
      <c r="TPX155" s="839"/>
      <c r="TPY155" s="839"/>
      <c r="TPZ155" s="839"/>
      <c r="TQA155" s="839"/>
      <c r="TQB155" s="839"/>
      <c r="TQC155" s="839"/>
      <c r="TQD155" s="839"/>
      <c r="TQE155" s="839"/>
      <c r="TQF155" s="839"/>
      <c r="TQG155" s="839"/>
      <c r="TQH155" s="839"/>
      <c r="TQI155" s="839"/>
      <c r="TQJ155" s="839"/>
      <c r="TQK155" s="839"/>
      <c r="TQL155" s="839"/>
      <c r="TQM155" s="839"/>
      <c r="TQN155" s="839"/>
      <c r="TQO155" s="839"/>
      <c r="TQP155" s="839"/>
      <c r="TQQ155" s="839"/>
      <c r="TQR155" s="839"/>
      <c r="TQS155" s="839"/>
      <c r="TQT155" s="839"/>
      <c r="TQU155" s="839"/>
      <c r="TQV155" s="839"/>
      <c r="TQW155" s="839"/>
      <c r="TQX155" s="839"/>
      <c r="TQY155" s="839"/>
      <c r="TQZ155" s="839"/>
      <c r="TRA155" s="839"/>
      <c r="TRB155" s="839"/>
      <c r="TRC155" s="839"/>
      <c r="TRD155" s="839"/>
      <c r="TRE155" s="839"/>
      <c r="TRF155" s="839"/>
      <c r="TRG155" s="839"/>
      <c r="TRH155" s="839"/>
      <c r="TRI155" s="839"/>
      <c r="TRJ155" s="839"/>
      <c r="TRK155" s="839"/>
      <c r="TRL155" s="839"/>
      <c r="TRM155" s="839"/>
      <c r="TRN155" s="839"/>
      <c r="TRO155" s="839"/>
      <c r="TRP155" s="839"/>
      <c r="TRQ155" s="839"/>
      <c r="TRR155" s="839"/>
      <c r="TRS155" s="839"/>
      <c r="TRT155" s="839"/>
      <c r="TRU155" s="839"/>
      <c r="TRV155" s="839"/>
      <c r="TRW155" s="839"/>
      <c r="TRX155" s="839"/>
      <c r="TRY155" s="839"/>
      <c r="TRZ155" s="839"/>
      <c r="TSA155" s="839"/>
      <c r="TSB155" s="839"/>
      <c r="TSC155" s="839"/>
      <c r="TSD155" s="839"/>
      <c r="TSE155" s="839"/>
      <c r="TSF155" s="839"/>
      <c r="TSG155" s="839"/>
      <c r="TSH155" s="839"/>
      <c r="TSI155" s="839"/>
      <c r="TSJ155" s="839"/>
      <c r="TSK155" s="839"/>
      <c r="TSL155" s="839"/>
      <c r="TSM155" s="839"/>
      <c r="TSN155" s="839"/>
      <c r="TSO155" s="839"/>
      <c r="TSP155" s="839"/>
      <c r="TSQ155" s="839"/>
      <c r="TSR155" s="839"/>
      <c r="TSS155" s="839"/>
      <c r="TST155" s="839"/>
      <c r="TSU155" s="839"/>
      <c r="TSV155" s="839"/>
      <c r="TSW155" s="839"/>
      <c r="TSX155" s="839"/>
      <c r="TSY155" s="839"/>
      <c r="TSZ155" s="839"/>
      <c r="TTA155" s="839"/>
      <c r="TTB155" s="839"/>
      <c r="TTC155" s="839"/>
      <c r="TTD155" s="839"/>
      <c r="TTE155" s="839"/>
      <c r="TTF155" s="839"/>
      <c r="TTG155" s="839"/>
      <c r="TTH155" s="839"/>
      <c r="TTI155" s="839"/>
      <c r="TTJ155" s="839"/>
      <c r="TTK155" s="839"/>
      <c r="TTL155" s="839"/>
      <c r="TTM155" s="839"/>
      <c r="TTN155" s="839"/>
      <c r="TTO155" s="839"/>
      <c r="TTP155" s="839"/>
      <c r="TTQ155" s="839"/>
      <c r="TTR155" s="839"/>
      <c r="TTS155" s="839"/>
      <c r="TTT155" s="839"/>
      <c r="TTU155" s="839"/>
      <c r="TTV155" s="839"/>
      <c r="TTW155" s="839"/>
      <c r="TTX155" s="839"/>
      <c r="TTY155" s="839"/>
      <c r="TTZ155" s="839"/>
      <c r="TUA155" s="839"/>
      <c r="TUB155" s="839"/>
      <c r="TUC155" s="839"/>
      <c r="TUD155" s="839"/>
      <c r="TUE155" s="839"/>
      <c r="TUF155" s="839"/>
      <c r="TUG155" s="839"/>
      <c r="TUH155" s="839"/>
      <c r="TUI155" s="839"/>
      <c r="TUJ155" s="839"/>
      <c r="TUK155" s="839"/>
      <c r="TUL155" s="839"/>
      <c r="TUM155" s="839"/>
      <c r="TUN155" s="839"/>
      <c r="TUO155" s="839"/>
      <c r="TUP155" s="839"/>
      <c r="TUQ155" s="839"/>
      <c r="TUR155" s="839"/>
      <c r="TUS155" s="839"/>
      <c r="TUT155" s="839"/>
      <c r="TUU155" s="839"/>
      <c r="TUV155" s="839"/>
      <c r="TUW155" s="839"/>
      <c r="TUX155" s="839"/>
      <c r="TUY155" s="839"/>
      <c r="TUZ155" s="839"/>
      <c r="TVA155" s="839"/>
      <c r="TVB155" s="839"/>
      <c r="TVC155" s="839"/>
      <c r="TVD155" s="839"/>
      <c r="TVE155" s="839"/>
      <c r="TVF155" s="839"/>
      <c r="TVG155" s="839"/>
      <c r="TVH155" s="839"/>
      <c r="TVI155" s="839"/>
      <c r="TVJ155" s="839"/>
      <c r="TVK155" s="839"/>
      <c r="TVL155" s="839"/>
      <c r="TVM155" s="839"/>
      <c r="TVN155" s="839"/>
      <c r="TVO155" s="839"/>
      <c r="TVP155" s="839"/>
      <c r="TVQ155" s="839"/>
      <c r="TVR155" s="839"/>
      <c r="TVS155" s="839"/>
      <c r="TVT155" s="839"/>
      <c r="TVU155" s="839"/>
      <c r="TVV155" s="839"/>
      <c r="TVW155" s="839"/>
      <c r="TVX155" s="839"/>
      <c r="TVY155" s="839"/>
      <c r="TVZ155" s="839"/>
      <c r="TWA155" s="839"/>
      <c r="TWB155" s="839"/>
      <c r="TWC155" s="839"/>
      <c r="TWD155" s="839"/>
      <c r="TWE155" s="839"/>
      <c r="TWF155" s="839"/>
      <c r="TWG155" s="839"/>
      <c r="TWH155" s="839"/>
      <c r="TWI155" s="839"/>
      <c r="TWJ155" s="839"/>
      <c r="TWK155" s="839"/>
      <c r="TWL155" s="839"/>
      <c r="TWM155" s="839"/>
      <c r="TWN155" s="839"/>
      <c r="TWO155" s="839"/>
      <c r="TWP155" s="839"/>
      <c r="TWQ155" s="839"/>
      <c r="TWR155" s="839"/>
      <c r="TWS155" s="839"/>
      <c r="TWT155" s="839"/>
      <c r="TWU155" s="839"/>
      <c r="TWV155" s="839"/>
      <c r="TWW155" s="839"/>
      <c r="TWX155" s="839"/>
      <c r="TWY155" s="839"/>
      <c r="TWZ155" s="839"/>
      <c r="TXA155" s="839"/>
      <c r="TXB155" s="839"/>
      <c r="TXC155" s="839"/>
      <c r="TXD155" s="839"/>
      <c r="TXE155" s="839"/>
      <c r="TXF155" s="839"/>
      <c r="TXG155" s="839"/>
      <c r="TXH155" s="839"/>
      <c r="TXI155" s="839"/>
      <c r="TXJ155" s="839"/>
      <c r="TXK155" s="839"/>
      <c r="TXL155" s="839"/>
      <c r="TXM155" s="839"/>
      <c r="TXN155" s="839"/>
      <c r="TXO155" s="839"/>
      <c r="TXP155" s="839"/>
      <c r="TXQ155" s="839"/>
      <c r="TXR155" s="839"/>
      <c r="TXS155" s="839"/>
      <c r="TXT155" s="839"/>
      <c r="TXU155" s="839"/>
      <c r="TXV155" s="839"/>
      <c r="TXW155" s="839"/>
      <c r="TXX155" s="839"/>
      <c r="TXY155" s="839"/>
      <c r="TXZ155" s="839"/>
      <c r="TYA155" s="839"/>
      <c r="TYB155" s="839"/>
      <c r="TYC155" s="839"/>
      <c r="TYD155" s="839"/>
      <c r="TYE155" s="839"/>
      <c r="TYF155" s="839"/>
      <c r="TYG155" s="839"/>
      <c r="TYH155" s="839"/>
      <c r="TYI155" s="839"/>
      <c r="TYJ155" s="839"/>
      <c r="TYK155" s="839"/>
      <c r="TYL155" s="839"/>
      <c r="TYM155" s="839"/>
      <c r="TYN155" s="839"/>
      <c r="TYO155" s="839"/>
      <c r="TYP155" s="839"/>
      <c r="TYQ155" s="839"/>
      <c r="TYR155" s="839"/>
      <c r="TYS155" s="839"/>
      <c r="TYT155" s="839"/>
      <c r="TYU155" s="839"/>
      <c r="TYV155" s="839"/>
      <c r="TYW155" s="839"/>
      <c r="TYX155" s="839"/>
      <c r="TYY155" s="839"/>
      <c r="TYZ155" s="839"/>
      <c r="TZA155" s="839"/>
      <c r="TZB155" s="839"/>
      <c r="TZC155" s="839"/>
      <c r="TZD155" s="839"/>
      <c r="TZE155" s="839"/>
      <c r="TZF155" s="839"/>
      <c r="TZG155" s="839"/>
      <c r="TZH155" s="839"/>
      <c r="TZI155" s="839"/>
      <c r="TZJ155" s="839"/>
      <c r="TZK155" s="839"/>
      <c r="TZL155" s="839"/>
      <c r="TZM155" s="839"/>
      <c r="TZN155" s="839"/>
      <c r="TZO155" s="839"/>
      <c r="TZP155" s="839"/>
      <c r="TZQ155" s="839"/>
      <c r="TZR155" s="839"/>
      <c r="TZS155" s="839"/>
      <c r="TZT155" s="839"/>
      <c r="TZU155" s="839"/>
      <c r="TZV155" s="839"/>
      <c r="TZW155" s="839"/>
      <c r="TZX155" s="839"/>
      <c r="TZY155" s="839"/>
      <c r="TZZ155" s="839"/>
      <c r="UAA155" s="839"/>
      <c r="UAB155" s="839"/>
      <c r="UAC155" s="839"/>
      <c r="UAD155" s="839"/>
      <c r="UAE155" s="839"/>
      <c r="UAF155" s="839"/>
      <c r="UAG155" s="839"/>
      <c r="UAH155" s="839"/>
      <c r="UAI155" s="839"/>
      <c r="UAJ155" s="839"/>
      <c r="UAK155" s="839"/>
      <c r="UAL155" s="839"/>
      <c r="UAM155" s="839"/>
      <c r="UAN155" s="839"/>
      <c r="UAO155" s="839"/>
      <c r="UAP155" s="839"/>
      <c r="UAQ155" s="839"/>
      <c r="UAR155" s="839"/>
      <c r="UAS155" s="839"/>
      <c r="UAT155" s="839"/>
      <c r="UAU155" s="839"/>
      <c r="UAV155" s="839"/>
      <c r="UAW155" s="839"/>
      <c r="UAX155" s="839"/>
      <c r="UAY155" s="839"/>
      <c r="UAZ155" s="839"/>
      <c r="UBA155" s="839"/>
      <c r="UBB155" s="839"/>
      <c r="UBC155" s="839"/>
      <c r="UBD155" s="839"/>
      <c r="UBE155" s="839"/>
      <c r="UBF155" s="839"/>
      <c r="UBG155" s="839"/>
      <c r="UBH155" s="839"/>
      <c r="UBI155" s="839"/>
      <c r="UBJ155" s="839"/>
      <c r="UBK155" s="839"/>
      <c r="UBL155" s="839"/>
      <c r="UBM155" s="839"/>
      <c r="UBN155" s="839"/>
      <c r="UBO155" s="839"/>
      <c r="UBP155" s="839"/>
      <c r="UBQ155" s="839"/>
      <c r="UBR155" s="839"/>
      <c r="UBS155" s="839"/>
      <c r="UBT155" s="839"/>
      <c r="UBU155" s="839"/>
      <c r="UBV155" s="839"/>
      <c r="UBW155" s="839"/>
      <c r="UBX155" s="839"/>
      <c r="UBY155" s="839"/>
      <c r="UBZ155" s="839"/>
      <c r="UCA155" s="839"/>
      <c r="UCB155" s="839"/>
      <c r="UCC155" s="839"/>
      <c r="UCD155" s="839"/>
      <c r="UCE155" s="839"/>
      <c r="UCF155" s="839"/>
      <c r="UCG155" s="839"/>
      <c r="UCH155" s="839"/>
      <c r="UCI155" s="839"/>
      <c r="UCJ155" s="839"/>
      <c r="UCK155" s="839"/>
      <c r="UCL155" s="839"/>
      <c r="UCM155" s="839"/>
      <c r="UCN155" s="839"/>
      <c r="UCO155" s="839"/>
      <c r="UCP155" s="839"/>
      <c r="UCQ155" s="839"/>
      <c r="UCR155" s="839"/>
      <c r="UCS155" s="839"/>
      <c r="UCT155" s="839"/>
      <c r="UCU155" s="839"/>
      <c r="UCV155" s="839"/>
      <c r="UCW155" s="839"/>
      <c r="UCX155" s="839"/>
      <c r="UCY155" s="839"/>
      <c r="UCZ155" s="839"/>
      <c r="UDA155" s="839"/>
      <c r="UDB155" s="839"/>
      <c r="UDC155" s="839"/>
      <c r="UDD155" s="839"/>
      <c r="UDE155" s="839"/>
      <c r="UDF155" s="839"/>
      <c r="UDG155" s="839"/>
      <c r="UDH155" s="839"/>
      <c r="UDI155" s="839"/>
      <c r="UDJ155" s="839"/>
      <c r="UDK155" s="839"/>
      <c r="UDL155" s="839"/>
      <c r="UDM155" s="839"/>
      <c r="UDN155" s="839"/>
      <c r="UDO155" s="839"/>
      <c r="UDP155" s="839"/>
      <c r="UDQ155" s="839"/>
      <c r="UDR155" s="839"/>
      <c r="UDS155" s="839"/>
      <c r="UDT155" s="839"/>
      <c r="UDU155" s="839"/>
      <c r="UDV155" s="839"/>
      <c r="UDW155" s="839"/>
      <c r="UDX155" s="839"/>
      <c r="UDY155" s="839"/>
      <c r="UDZ155" s="839"/>
      <c r="UEA155" s="839"/>
      <c r="UEB155" s="839"/>
      <c r="UEC155" s="839"/>
      <c r="UED155" s="839"/>
      <c r="UEE155" s="839"/>
      <c r="UEF155" s="839"/>
      <c r="UEG155" s="839"/>
      <c r="UEH155" s="839"/>
      <c r="UEI155" s="839"/>
      <c r="UEJ155" s="839"/>
      <c r="UEK155" s="839"/>
      <c r="UEL155" s="839"/>
      <c r="UEM155" s="839"/>
      <c r="UEN155" s="839"/>
      <c r="UEO155" s="839"/>
      <c r="UEP155" s="839"/>
      <c r="UEQ155" s="839"/>
      <c r="UER155" s="839"/>
      <c r="UES155" s="839"/>
      <c r="UET155" s="839"/>
      <c r="UEU155" s="839"/>
      <c r="UEV155" s="839"/>
      <c r="UEW155" s="839"/>
      <c r="UEX155" s="839"/>
      <c r="UEY155" s="839"/>
      <c r="UEZ155" s="839"/>
      <c r="UFA155" s="839"/>
      <c r="UFB155" s="839"/>
      <c r="UFC155" s="839"/>
      <c r="UFD155" s="839"/>
      <c r="UFE155" s="839"/>
      <c r="UFF155" s="839"/>
      <c r="UFG155" s="839"/>
      <c r="UFH155" s="839"/>
      <c r="UFI155" s="839"/>
      <c r="UFJ155" s="839"/>
      <c r="UFK155" s="839"/>
      <c r="UFL155" s="839"/>
      <c r="UFM155" s="839"/>
      <c r="UFN155" s="839"/>
      <c r="UFO155" s="839"/>
      <c r="UFP155" s="839"/>
      <c r="UFQ155" s="839"/>
      <c r="UFR155" s="839"/>
      <c r="UFS155" s="839"/>
      <c r="UFT155" s="839"/>
      <c r="UFU155" s="839"/>
      <c r="UFV155" s="839"/>
      <c r="UFW155" s="839"/>
      <c r="UFX155" s="839"/>
      <c r="UFY155" s="839"/>
      <c r="UFZ155" s="839"/>
      <c r="UGA155" s="839"/>
      <c r="UGB155" s="839"/>
      <c r="UGC155" s="839"/>
      <c r="UGD155" s="839"/>
      <c r="UGE155" s="839"/>
      <c r="UGF155" s="839"/>
      <c r="UGG155" s="839"/>
      <c r="UGH155" s="839"/>
      <c r="UGI155" s="839"/>
      <c r="UGJ155" s="839"/>
      <c r="UGK155" s="839"/>
      <c r="UGL155" s="839"/>
      <c r="UGM155" s="839"/>
      <c r="UGN155" s="839"/>
      <c r="UGO155" s="839"/>
      <c r="UGP155" s="839"/>
      <c r="UGQ155" s="839"/>
      <c r="UGR155" s="839"/>
      <c r="UGS155" s="839"/>
      <c r="UGT155" s="839"/>
      <c r="UGU155" s="839"/>
      <c r="UGV155" s="839"/>
      <c r="UGW155" s="839"/>
      <c r="UGX155" s="839"/>
      <c r="UGY155" s="839"/>
      <c r="UGZ155" s="839"/>
      <c r="UHA155" s="839"/>
      <c r="UHB155" s="839"/>
      <c r="UHC155" s="839"/>
      <c r="UHD155" s="839"/>
      <c r="UHE155" s="839"/>
      <c r="UHF155" s="839"/>
      <c r="UHG155" s="839"/>
      <c r="UHH155" s="839"/>
      <c r="UHI155" s="839"/>
      <c r="UHJ155" s="839"/>
      <c r="UHK155" s="839"/>
      <c r="UHL155" s="839"/>
      <c r="UHM155" s="839"/>
      <c r="UHN155" s="839"/>
      <c r="UHO155" s="839"/>
      <c r="UHP155" s="839"/>
      <c r="UHQ155" s="839"/>
      <c r="UHR155" s="839"/>
      <c r="UHS155" s="839"/>
      <c r="UHT155" s="839"/>
      <c r="UHU155" s="839"/>
      <c r="UHV155" s="839"/>
      <c r="UHW155" s="839"/>
      <c r="UHX155" s="839"/>
      <c r="UHY155" s="839"/>
      <c r="UHZ155" s="839"/>
      <c r="UIA155" s="839"/>
      <c r="UIB155" s="839"/>
      <c r="UIC155" s="839"/>
      <c r="UID155" s="839"/>
      <c r="UIE155" s="839"/>
      <c r="UIF155" s="839"/>
      <c r="UIG155" s="839"/>
      <c r="UIH155" s="839"/>
      <c r="UII155" s="839"/>
      <c r="UIJ155" s="839"/>
      <c r="UIK155" s="839"/>
      <c r="UIL155" s="839"/>
      <c r="UIM155" s="839"/>
      <c r="UIN155" s="839"/>
      <c r="UIO155" s="839"/>
      <c r="UIP155" s="839"/>
      <c r="UIQ155" s="839"/>
      <c r="UIR155" s="839"/>
      <c r="UIS155" s="839"/>
      <c r="UIT155" s="839"/>
      <c r="UIU155" s="839"/>
      <c r="UIV155" s="839"/>
      <c r="UIW155" s="839"/>
      <c r="UIX155" s="839"/>
      <c r="UIY155" s="839"/>
      <c r="UIZ155" s="839"/>
      <c r="UJA155" s="839"/>
      <c r="UJB155" s="839"/>
      <c r="UJC155" s="839"/>
      <c r="UJD155" s="839"/>
      <c r="UJE155" s="839"/>
      <c r="UJF155" s="839"/>
      <c r="UJG155" s="839"/>
      <c r="UJH155" s="839"/>
      <c r="UJI155" s="839"/>
      <c r="UJJ155" s="839"/>
      <c r="UJK155" s="839"/>
      <c r="UJL155" s="839"/>
      <c r="UJM155" s="839"/>
      <c r="UJN155" s="839"/>
      <c r="UJO155" s="839"/>
      <c r="UJP155" s="839"/>
      <c r="UJQ155" s="839"/>
      <c r="UJR155" s="839"/>
      <c r="UJS155" s="839"/>
      <c r="UJT155" s="839"/>
      <c r="UJU155" s="839"/>
      <c r="UJV155" s="839"/>
      <c r="UJW155" s="839"/>
      <c r="UJX155" s="839"/>
      <c r="UJY155" s="839"/>
      <c r="UJZ155" s="839"/>
      <c r="UKA155" s="839"/>
      <c r="UKB155" s="839"/>
      <c r="UKC155" s="839"/>
      <c r="UKD155" s="839"/>
      <c r="UKE155" s="839"/>
      <c r="UKF155" s="839"/>
      <c r="UKG155" s="839"/>
      <c r="UKH155" s="839"/>
      <c r="UKI155" s="839"/>
      <c r="UKJ155" s="839"/>
      <c r="UKK155" s="839"/>
      <c r="UKL155" s="839"/>
      <c r="UKM155" s="839"/>
      <c r="UKN155" s="839"/>
      <c r="UKO155" s="839"/>
      <c r="UKP155" s="839"/>
      <c r="UKQ155" s="839"/>
      <c r="UKR155" s="839"/>
      <c r="UKS155" s="839"/>
      <c r="UKT155" s="839"/>
      <c r="UKU155" s="839"/>
      <c r="UKV155" s="839"/>
      <c r="UKW155" s="839"/>
      <c r="UKX155" s="839"/>
      <c r="UKY155" s="839"/>
      <c r="UKZ155" s="839"/>
      <c r="ULA155" s="839"/>
      <c r="ULB155" s="839"/>
      <c r="ULC155" s="839"/>
      <c r="ULD155" s="839"/>
      <c r="ULE155" s="839"/>
      <c r="ULF155" s="839"/>
      <c r="ULG155" s="839"/>
      <c r="ULH155" s="839"/>
      <c r="ULI155" s="839"/>
      <c r="ULJ155" s="839"/>
      <c r="ULK155" s="839"/>
      <c r="ULL155" s="839"/>
      <c r="ULM155" s="839"/>
      <c r="ULN155" s="839"/>
      <c r="ULO155" s="839"/>
      <c r="ULP155" s="839"/>
      <c r="ULQ155" s="839"/>
      <c r="ULR155" s="839"/>
      <c r="ULS155" s="839"/>
      <c r="ULT155" s="839"/>
      <c r="ULU155" s="839"/>
      <c r="ULV155" s="839"/>
      <c r="ULW155" s="839"/>
      <c r="ULX155" s="839"/>
      <c r="ULY155" s="839"/>
      <c r="ULZ155" s="839"/>
      <c r="UMA155" s="839"/>
      <c r="UMB155" s="839"/>
      <c r="UMC155" s="839"/>
      <c r="UMD155" s="839"/>
      <c r="UME155" s="839"/>
      <c r="UMF155" s="839"/>
      <c r="UMG155" s="839"/>
      <c r="UMH155" s="839"/>
      <c r="UMI155" s="839"/>
      <c r="UMJ155" s="839"/>
      <c r="UMK155" s="839"/>
      <c r="UML155" s="839"/>
      <c r="UMM155" s="839"/>
      <c r="UMN155" s="839"/>
      <c r="UMO155" s="839"/>
      <c r="UMP155" s="839"/>
      <c r="UMQ155" s="839"/>
      <c r="UMR155" s="839"/>
      <c r="UMS155" s="839"/>
      <c r="UMT155" s="839"/>
      <c r="UMU155" s="839"/>
      <c r="UMV155" s="839"/>
      <c r="UMW155" s="839"/>
      <c r="UMX155" s="839"/>
      <c r="UMY155" s="839"/>
      <c r="UMZ155" s="839"/>
      <c r="UNA155" s="839"/>
      <c r="UNB155" s="839"/>
      <c r="UNC155" s="839"/>
      <c r="UND155" s="839"/>
      <c r="UNE155" s="839"/>
      <c r="UNF155" s="839"/>
      <c r="UNG155" s="839"/>
      <c r="UNH155" s="839"/>
      <c r="UNI155" s="839"/>
      <c r="UNJ155" s="839"/>
      <c r="UNK155" s="839"/>
      <c r="UNL155" s="839"/>
      <c r="UNM155" s="839"/>
      <c r="UNN155" s="839"/>
      <c r="UNO155" s="839"/>
      <c r="UNP155" s="839"/>
      <c r="UNQ155" s="839"/>
      <c r="UNR155" s="839"/>
      <c r="UNS155" s="839"/>
      <c r="UNT155" s="839"/>
      <c r="UNU155" s="839"/>
      <c r="UNV155" s="839"/>
      <c r="UNW155" s="839"/>
      <c r="UNX155" s="839"/>
      <c r="UNY155" s="839"/>
      <c r="UNZ155" s="839"/>
      <c r="UOA155" s="839"/>
      <c r="UOB155" s="839"/>
      <c r="UOC155" s="839"/>
      <c r="UOD155" s="839"/>
      <c r="UOE155" s="839"/>
      <c r="UOF155" s="839"/>
      <c r="UOG155" s="839"/>
      <c r="UOH155" s="839"/>
      <c r="UOI155" s="839"/>
      <c r="UOJ155" s="839"/>
      <c r="UOK155" s="839"/>
      <c r="UOL155" s="839"/>
      <c r="UOM155" s="839"/>
      <c r="UON155" s="839"/>
      <c r="UOO155" s="839"/>
      <c r="UOP155" s="839"/>
      <c r="UOQ155" s="839"/>
      <c r="UOR155" s="839"/>
      <c r="UOS155" s="839"/>
      <c r="UOT155" s="839"/>
      <c r="UOU155" s="839"/>
      <c r="UOV155" s="839"/>
      <c r="UOW155" s="839"/>
      <c r="UOX155" s="839"/>
      <c r="UOY155" s="839"/>
      <c r="UOZ155" s="839"/>
      <c r="UPA155" s="839"/>
      <c r="UPB155" s="839"/>
      <c r="UPC155" s="839"/>
      <c r="UPD155" s="839"/>
      <c r="UPE155" s="839"/>
      <c r="UPF155" s="839"/>
      <c r="UPG155" s="839"/>
      <c r="UPH155" s="839"/>
      <c r="UPI155" s="839"/>
      <c r="UPJ155" s="839"/>
      <c r="UPK155" s="839"/>
      <c r="UPL155" s="839"/>
      <c r="UPM155" s="839"/>
      <c r="UPN155" s="839"/>
      <c r="UPO155" s="839"/>
      <c r="UPP155" s="839"/>
      <c r="UPQ155" s="839"/>
      <c r="UPR155" s="839"/>
      <c r="UPS155" s="839"/>
      <c r="UPT155" s="839"/>
      <c r="UPU155" s="839"/>
      <c r="UPV155" s="839"/>
      <c r="UPW155" s="839"/>
      <c r="UPX155" s="839"/>
      <c r="UPY155" s="839"/>
      <c r="UPZ155" s="839"/>
      <c r="UQA155" s="839"/>
      <c r="UQB155" s="839"/>
      <c r="UQC155" s="839"/>
      <c r="UQD155" s="839"/>
      <c r="UQE155" s="839"/>
      <c r="UQF155" s="839"/>
      <c r="UQG155" s="839"/>
      <c r="UQH155" s="839"/>
      <c r="UQI155" s="839"/>
      <c r="UQJ155" s="839"/>
      <c r="UQK155" s="839"/>
      <c r="UQL155" s="839"/>
      <c r="UQM155" s="839"/>
      <c r="UQN155" s="839"/>
      <c r="UQO155" s="839"/>
      <c r="UQP155" s="839"/>
      <c r="UQQ155" s="839"/>
      <c r="UQR155" s="839"/>
      <c r="UQS155" s="839"/>
      <c r="UQT155" s="839"/>
      <c r="UQU155" s="839"/>
      <c r="UQV155" s="839"/>
      <c r="UQW155" s="839"/>
      <c r="UQX155" s="839"/>
      <c r="UQY155" s="839"/>
      <c r="UQZ155" s="839"/>
      <c r="URA155" s="839"/>
      <c r="URB155" s="839"/>
      <c r="URC155" s="839"/>
      <c r="URD155" s="839"/>
      <c r="URE155" s="839"/>
      <c r="URF155" s="839"/>
      <c r="URG155" s="839"/>
      <c r="URH155" s="839"/>
      <c r="URI155" s="839"/>
      <c r="URJ155" s="839"/>
      <c r="URK155" s="839"/>
      <c r="URL155" s="839"/>
      <c r="URM155" s="839"/>
      <c r="URN155" s="839"/>
      <c r="URO155" s="839"/>
      <c r="URP155" s="839"/>
      <c r="URQ155" s="839"/>
      <c r="URR155" s="839"/>
      <c r="URS155" s="839"/>
      <c r="URT155" s="839"/>
      <c r="URU155" s="839"/>
      <c r="URV155" s="839"/>
      <c r="URW155" s="839"/>
      <c r="URX155" s="839"/>
      <c r="URY155" s="839"/>
      <c r="URZ155" s="839"/>
      <c r="USA155" s="839"/>
      <c r="USB155" s="839"/>
      <c r="USC155" s="839"/>
      <c r="USD155" s="839"/>
      <c r="USE155" s="839"/>
      <c r="USF155" s="839"/>
      <c r="USG155" s="839"/>
      <c r="USH155" s="839"/>
      <c r="USI155" s="839"/>
      <c r="USJ155" s="839"/>
      <c r="USK155" s="839"/>
      <c r="USL155" s="839"/>
      <c r="USM155" s="839"/>
      <c r="USN155" s="839"/>
      <c r="USO155" s="839"/>
      <c r="USP155" s="839"/>
      <c r="USQ155" s="839"/>
      <c r="USR155" s="839"/>
      <c r="USS155" s="839"/>
      <c r="UST155" s="839"/>
      <c r="USU155" s="839"/>
      <c r="USV155" s="839"/>
      <c r="USW155" s="839"/>
      <c r="USX155" s="839"/>
      <c r="USY155" s="839"/>
      <c r="USZ155" s="839"/>
      <c r="UTA155" s="839"/>
      <c r="UTB155" s="839"/>
      <c r="UTC155" s="839"/>
      <c r="UTD155" s="839"/>
      <c r="UTE155" s="839"/>
      <c r="UTF155" s="839"/>
      <c r="UTG155" s="839"/>
      <c r="UTH155" s="839"/>
      <c r="UTI155" s="839"/>
      <c r="UTJ155" s="839"/>
      <c r="UTK155" s="839"/>
      <c r="UTL155" s="839"/>
      <c r="UTM155" s="839"/>
      <c r="UTN155" s="839"/>
      <c r="UTO155" s="839"/>
      <c r="UTP155" s="839"/>
      <c r="UTQ155" s="839"/>
      <c r="UTR155" s="839"/>
      <c r="UTS155" s="839"/>
      <c r="UTT155" s="839"/>
      <c r="UTU155" s="839"/>
      <c r="UTV155" s="839"/>
      <c r="UTW155" s="839"/>
      <c r="UTX155" s="839"/>
      <c r="UTY155" s="839"/>
      <c r="UTZ155" s="839"/>
      <c r="UUA155" s="839"/>
      <c r="UUB155" s="839"/>
      <c r="UUC155" s="839"/>
      <c r="UUD155" s="839"/>
      <c r="UUE155" s="839"/>
      <c r="UUF155" s="839"/>
      <c r="UUG155" s="839"/>
      <c r="UUH155" s="839"/>
      <c r="UUI155" s="839"/>
      <c r="UUJ155" s="839"/>
      <c r="UUK155" s="839"/>
      <c r="UUL155" s="839"/>
      <c r="UUM155" s="839"/>
      <c r="UUN155" s="839"/>
      <c r="UUO155" s="839"/>
      <c r="UUP155" s="839"/>
      <c r="UUQ155" s="839"/>
      <c r="UUR155" s="839"/>
      <c r="UUS155" s="839"/>
      <c r="UUT155" s="839"/>
      <c r="UUU155" s="839"/>
      <c r="UUV155" s="839"/>
      <c r="UUW155" s="839"/>
      <c r="UUX155" s="839"/>
      <c r="UUY155" s="839"/>
      <c r="UUZ155" s="839"/>
      <c r="UVA155" s="839"/>
      <c r="UVB155" s="839"/>
      <c r="UVC155" s="839"/>
      <c r="UVD155" s="839"/>
      <c r="UVE155" s="839"/>
      <c r="UVF155" s="839"/>
      <c r="UVG155" s="839"/>
      <c r="UVH155" s="839"/>
      <c r="UVI155" s="839"/>
      <c r="UVJ155" s="839"/>
      <c r="UVK155" s="839"/>
      <c r="UVL155" s="839"/>
      <c r="UVM155" s="839"/>
      <c r="UVN155" s="839"/>
      <c r="UVO155" s="839"/>
      <c r="UVP155" s="839"/>
      <c r="UVQ155" s="839"/>
      <c r="UVR155" s="839"/>
      <c r="UVS155" s="839"/>
      <c r="UVT155" s="839"/>
      <c r="UVU155" s="839"/>
      <c r="UVV155" s="839"/>
      <c r="UVW155" s="839"/>
      <c r="UVX155" s="839"/>
      <c r="UVY155" s="839"/>
      <c r="UVZ155" s="839"/>
      <c r="UWA155" s="839"/>
      <c r="UWB155" s="839"/>
      <c r="UWC155" s="839"/>
      <c r="UWD155" s="839"/>
      <c r="UWE155" s="839"/>
      <c r="UWF155" s="839"/>
      <c r="UWG155" s="839"/>
      <c r="UWH155" s="839"/>
      <c r="UWI155" s="839"/>
      <c r="UWJ155" s="839"/>
      <c r="UWK155" s="839"/>
      <c r="UWL155" s="839"/>
      <c r="UWM155" s="839"/>
      <c r="UWN155" s="839"/>
      <c r="UWO155" s="839"/>
      <c r="UWP155" s="839"/>
      <c r="UWQ155" s="839"/>
      <c r="UWR155" s="839"/>
      <c r="UWS155" s="839"/>
      <c r="UWT155" s="839"/>
      <c r="UWU155" s="839"/>
      <c r="UWV155" s="839"/>
      <c r="UWW155" s="839"/>
      <c r="UWX155" s="839"/>
      <c r="UWY155" s="839"/>
      <c r="UWZ155" s="839"/>
      <c r="UXA155" s="839"/>
      <c r="UXB155" s="839"/>
      <c r="UXC155" s="839"/>
      <c r="UXD155" s="839"/>
      <c r="UXE155" s="839"/>
      <c r="UXF155" s="839"/>
      <c r="UXG155" s="839"/>
      <c r="UXH155" s="839"/>
      <c r="UXI155" s="839"/>
      <c r="UXJ155" s="839"/>
      <c r="UXK155" s="839"/>
      <c r="UXL155" s="839"/>
      <c r="UXM155" s="839"/>
      <c r="UXN155" s="839"/>
      <c r="UXO155" s="839"/>
      <c r="UXP155" s="839"/>
      <c r="UXQ155" s="839"/>
      <c r="UXR155" s="839"/>
      <c r="UXS155" s="839"/>
      <c r="UXT155" s="839"/>
      <c r="UXU155" s="839"/>
      <c r="UXV155" s="839"/>
      <c r="UXW155" s="839"/>
      <c r="UXX155" s="839"/>
      <c r="UXY155" s="839"/>
      <c r="UXZ155" s="839"/>
      <c r="UYA155" s="839"/>
      <c r="UYB155" s="839"/>
      <c r="UYC155" s="839"/>
      <c r="UYD155" s="839"/>
      <c r="UYE155" s="839"/>
      <c r="UYF155" s="839"/>
      <c r="UYG155" s="839"/>
      <c r="UYH155" s="839"/>
      <c r="UYI155" s="839"/>
      <c r="UYJ155" s="839"/>
      <c r="UYK155" s="839"/>
      <c r="UYL155" s="839"/>
      <c r="UYM155" s="839"/>
      <c r="UYN155" s="839"/>
      <c r="UYO155" s="839"/>
      <c r="UYP155" s="839"/>
      <c r="UYQ155" s="839"/>
      <c r="UYR155" s="839"/>
      <c r="UYS155" s="839"/>
      <c r="UYT155" s="839"/>
      <c r="UYU155" s="839"/>
      <c r="UYV155" s="839"/>
      <c r="UYW155" s="839"/>
      <c r="UYX155" s="839"/>
      <c r="UYY155" s="839"/>
      <c r="UYZ155" s="839"/>
      <c r="UZA155" s="839"/>
      <c r="UZB155" s="839"/>
      <c r="UZC155" s="839"/>
      <c r="UZD155" s="839"/>
      <c r="UZE155" s="839"/>
      <c r="UZF155" s="839"/>
      <c r="UZG155" s="839"/>
      <c r="UZH155" s="839"/>
      <c r="UZI155" s="839"/>
      <c r="UZJ155" s="839"/>
      <c r="UZK155" s="839"/>
      <c r="UZL155" s="839"/>
      <c r="UZM155" s="839"/>
      <c r="UZN155" s="839"/>
      <c r="UZO155" s="839"/>
      <c r="UZP155" s="839"/>
      <c r="UZQ155" s="839"/>
      <c r="UZR155" s="839"/>
      <c r="UZS155" s="839"/>
      <c r="UZT155" s="839"/>
      <c r="UZU155" s="839"/>
      <c r="UZV155" s="839"/>
      <c r="UZW155" s="839"/>
      <c r="UZX155" s="839"/>
      <c r="UZY155" s="839"/>
      <c r="UZZ155" s="839"/>
      <c r="VAA155" s="839"/>
      <c r="VAB155" s="839"/>
      <c r="VAC155" s="839"/>
      <c r="VAD155" s="839"/>
      <c r="VAE155" s="839"/>
      <c r="VAF155" s="839"/>
      <c r="VAG155" s="839"/>
      <c r="VAH155" s="839"/>
      <c r="VAI155" s="839"/>
      <c r="VAJ155" s="839"/>
      <c r="VAK155" s="839"/>
      <c r="VAL155" s="839"/>
      <c r="VAM155" s="839"/>
      <c r="VAN155" s="839"/>
      <c r="VAO155" s="839"/>
      <c r="VAP155" s="839"/>
      <c r="VAQ155" s="839"/>
      <c r="VAR155" s="839"/>
      <c r="VAS155" s="839"/>
      <c r="VAT155" s="839"/>
      <c r="VAU155" s="839"/>
      <c r="VAV155" s="839"/>
      <c r="VAW155" s="839"/>
      <c r="VAX155" s="839"/>
      <c r="VAY155" s="839"/>
      <c r="VAZ155" s="839"/>
      <c r="VBA155" s="839"/>
      <c r="VBB155" s="839"/>
      <c r="VBC155" s="839"/>
      <c r="VBD155" s="839"/>
      <c r="VBE155" s="839"/>
      <c r="VBF155" s="839"/>
      <c r="VBG155" s="839"/>
      <c r="VBH155" s="839"/>
      <c r="VBI155" s="839"/>
      <c r="VBJ155" s="839"/>
      <c r="VBK155" s="839"/>
      <c r="VBL155" s="839"/>
      <c r="VBM155" s="839"/>
      <c r="VBN155" s="839"/>
      <c r="VBO155" s="839"/>
      <c r="VBP155" s="839"/>
      <c r="VBQ155" s="839"/>
      <c r="VBR155" s="839"/>
      <c r="VBS155" s="839"/>
      <c r="VBT155" s="839"/>
      <c r="VBU155" s="839"/>
      <c r="VBV155" s="839"/>
      <c r="VBW155" s="839"/>
      <c r="VBX155" s="839"/>
      <c r="VBY155" s="839"/>
      <c r="VBZ155" s="839"/>
      <c r="VCA155" s="839"/>
      <c r="VCB155" s="839"/>
      <c r="VCC155" s="839"/>
      <c r="VCD155" s="839"/>
      <c r="VCE155" s="839"/>
      <c r="VCF155" s="839"/>
      <c r="VCG155" s="839"/>
      <c r="VCH155" s="839"/>
      <c r="VCI155" s="839"/>
      <c r="VCJ155" s="839"/>
      <c r="VCK155" s="839"/>
      <c r="VCL155" s="839"/>
      <c r="VCM155" s="839"/>
      <c r="VCN155" s="839"/>
      <c r="VCO155" s="839"/>
      <c r="VCP155" s="839"/>
      <c r="VCQ155" s="839"/>
      <c r="VCR155" s="839"/>
      <c r="VCS155" s="839"/>
      <c r="VCT155" s="839"/>
      <c r="VCU155" s="839"/>
      <c r="VCV155" s="839"/>
      <c r="VCW155" s="839"/>
      <c r="VCX155" s="839"/>
      <c r="VCY155" s="839"/>
      <c r="VCZ155" s="839"/>
      <c r="VDA155" s="839"/>
      <c r="VDB155" s="839"/>
      <c r="VDC155" s="839"/>
      <c r="VDD155" s="839"/>
      <c r="VDE155" s="839"/>
      <c r="VDF155" s="839"/>
      <c r="VDG155" s="839"/>
      <c r="VDH155" s="839"/>
      <c r="VDI155" s="839"/>
      <c r="VDJ155" s="839"/>
      <c r="VDK155" s="839"/>
      <c r="VDL155" s="839"/>
      <c r="VDM155" s="839"/>
      <c r="VDN155" s="839"/>
      <c r="VDO155" s="839"/>
      <c r="VDP155" s="839"/>
      <c r="VDQ155" s="839"/>
      <c r="VDR155" s="839"/>
      <c r="VDS155" s="839"/>
      <c r="VDT155" s="839"/>
      <c r="VDU155" s="839"/>
      <c r="VDV155" s="839"/>
      <c r="VDW155" s="839"/>
      <c r="VDX155" s="839"/>
      <c r="VDY155" s="839"/>
      <c r="VDZ155" s="839"/>
      <c r="VEA155" s="839"/>
      <c r="VEB155" s="839"/>
      <c r="VEC155" s="839"/>
      <c r="VED155" s="839"/>
      <c r="VEE155" s="839"/>
      <c r="VEF155" s="839"/>
      <c r="VEG155" s="839"/>
      <c r="VEH155" s="839"/>
      <c r="VEI155" s="839"/>
      <c r="VEJ155" s="839"/>
      <c r="VEK155" s="839"/>
      <c r="VEL155" s="839"/>
      <c r="VEM155" s="839"/>
      <c r="VEN155" s="839"/>
      <c r="VEO155" s="839"/>
      <c r="VEP155" s="839"/>
      <c r="VEQ155" s="839"/>
      <c r="VER155" s="839"/>
      <c r="VES155" s="839"/>
      <c r="VET155" s="839"/>
      <c r="VEU155" s="839"/>
      <c r="VEV155" s="839"/>
      <c r="VEW155" s="839"/>
      <c r="VEX155" s="839"/>
      <c r="VEY155" s="839"/>
      <c r="VEZ155" s="839"/>
      <c r="VFA155" s="839"/>
      <c r="VFB155" s="839"/>
      <c r="VFC155" s="839"/>
      <c r="VFD155" s="839"/>
      <c r="VFE155" s="839"/>
      <c r="VFF155" s="839"/>
      <c r="VFG155" s="839"/>
      <c r="VFH155" s="839"/>
      <c r="VFI155" s="839"/>
      <c r="VFJ155" s="839"/>
      <c r="VFK155" s="839"/>
      <c r="VFL155" s="839"/>
      <c r="VFM155" s="839"/>
      <c r="VFN155" s="839"/>
      <c r="VFO155" s="839"/>
      <c r="VFP155" s="839"/>
      <c r="VFQ155" s="839"/>
      <c r="VFR155" s="839"/>
      <c r="VFS155" s="839"/>
      <c r="VFT155" s="839"/>
      <c r="VFU155" s="839"/>
      <c r="VFV155" s="839"/>
      <c r="VFW155" s="839"/>
      <c r="VFX155" s="839"/>
      <c r="VFY155" s="839"/>
      <c r="VFZ155" s="839"/>
      <c r="VGA155" s="839"/>
      <c r="VGB155" s="839"/>
      <c r="VGC155" s="839"/>
      <c r="VGD155" s="839"/>
      <c r="VGE155" s="839"/>
      <c r="VGF155" s="839"/>
      <c r="VGG155" s="839"/>
      <c r="VGH155" s="839"/>
      <c r="VGI155" s="839"/>
      <c r="VGJ155" s="839"/>
      <c r="VGK155" s="839"/>
      <c r="VGL155" s="839"/>
      <c r="VGM155" s="839"/>
      <c r="VGN155" s="839"/>
      <c r="VGO155" s="839"/>
      <c r="VGP155" s="839"/>
      <c r="VGQ155" s="839"/>
      <c r="VGR155" s="839"/>
      <c r="VGS155" s="839"/>
      <c r="VGT155" s="839"/>
      <c r="VGU155" s="839"/>
      <c r="VGV155" s="839"/>
      <c r="VGW155" s="839"/>
      <c r="VGX155" s="839"/>
      <c r="VGY155" s="839"/>
      <c r="VGZ155" s="839"/>
      <c r="VHA155" s="839"/>
      <c r="VHB155" s="839"/>
      <c r="VHC155" s="839"/>
      <c r="VHD155" s="839"/>
      <c r="VHE155" s="839"/>
      <c r="VHF155" s="839"/>
      <c r="VHG155" s="839"/>
      <c r="VHH155" s="839"/>
      <c r="VHI155" s="839"/>
      <c r="VHJ155" s="839"/>
      <c r="VHK155" s="839"/>
      <c r="VHL155" s="839"/>
      <c r="VHM155" s="839"/>
      <c r="VHN155" s="839"/>
      <c r="VHO155" s="839"/>
      <c r="VHP155" s="839"/>
      <c r="VHQ155" s="839"/>
      <c r="VHR155" s="839"/>
      <c r="VHS155" s="839"/>
      <c r="VHT155" s="839"/>
      <c r="VHU155" s="839"/>
      <c r="VHV155" s="839"/>
      <c r="VHW155" s="839"/>
      <c r="VHX155" s="839"/>
      <c r="VHY155" s="839"/>
      <c r="VHZ155" s="839"/>
      <c r="VIA155" s="839"/>
      <c r="VIB155" s="839"/>
      <c r="VIC155" s="839"/>
      <c r="VID155" s="839"/>
      <c r="VIE155" s="839"/>
      <c r="VIF155" s="839"/>
      <c r="VIG155" s="839"/>
      <c r="VIH155" s="839"/>
      <c r="VII155" s="839"/>
      <c r="VIJ155" s="839"/>
      <c r="VIK155" s="839"/>
      <c r="VIL155" s="839"/>
      <c r="VIM155" s="839"/>
      <c r="VIN155" s="839"/>
      <c r="VIO155" s="839"/>
      <c r="VIP155" s="839"/>
      <c r="VIQ155" s="839"/>
      <c r="VIR155" s="839"/>
      <c r="VIS155" s="839"/>
      <c r="VIT155" s="839"/>
      <c r="VIU155" s="839"/>
      <c r="VIV155" s="839"/>
      <c r="VIW155" s="839"/>
      <c r="VIX155" s="839"/>
      <c r="VIY155" s="839"/>
      <c r="VIZ155" s="839"/>
      <c r="VJA155" s="839"/>
      <c r="VJB155" s="839"/>
      <c r="VJC155" s="839"/>
      <c r="VJD155" s="839"/>
      <c r="VJE155" s="839"/>
      <c r="VJF155" s="839"/>
      <c r="VJG155" s="839"/>
      <c r="VJH155" s="839"/>
      <c r="VJI155" s="839"/>
      <c r="VJJ155" s="839"/>
      <c r="VJK155" s="839"/>
      <c r="VJL155" s="839"/>
      <c r="VJM155" s="839"/>
      <c r="VJN155" s="839"/>
      <c r="VJO155" s="839"/>
      <c r="VJP155" s="839"/>
      <c r="VJQ155" s="839"/>
      <c r="VJR155" s="839"/>
      <c r="VJS155" s="839"/>
      <c r="VJT155" s="839"/>
      <c r="VJU155" s="839"/>
      <c r="VJV155" s="839"/>
      <c r="VJW155" s="839"/>
      <c r="VJX155" s="839"/>
      <c r="VJY155" s="839"/>
      <c r="VJZ155" s="839"/>
      <c r="VKA155" s="839"/>
      <c r="VKB155" s="839"/>
      <c r="VKC155" s="839"/>
      <c r="VKD155" s="839"/>
      <c r="VKE155" s="839"/>
      <c r="VKF155" s="839"/>
      <c r="VKG155" s="839"/>
      <c r="VKH155" s="839"/>
      <c r="VKI155" s="839"/>
      <c r="VKJ155" s="839"/>
      <c r="VKK155" s="839"/>
      <c r="VKL155" s="839"/>
      <c r="VKM155" s="839"/>
      <c r="VKN155" s="839"/>
      <c r="VKO155" s="839"/>
      <c r="VKP155" s="839"/>
      <c r="VKQ155" s="839"/>
      <c r="VKR155" s="839"/>
      <c r="VKS155" s="839"/>
      <c r="VKT155" s="839"/>
      <c r="VKU155" s="839"/>
      <c r="VKV155" s="839"/>
      <c r="VKW155" s="839"/>
      <c r="VKX155" s="839"/>
      <c r="VKY155" s="839"/>
      <c r="VKZ155" s="839"/>
      <c r="VLA155" s="839"/>
      <c r="VLB155" s="839"/>
      <c r="VLC155" s="839"/>
      <c r="VLD155" s="839"/>
      <c r="VLE155" s="839"/>
      <c r="VLF155" s="839"/>
      <c r="VLG155" s="839"/>
      <c r="VLH155" s="839"/>
      <c r="VLI155" s="839"/>
      <c r="VLJ155" s="839"/>
      <c r="VLK155" s="839"/>
      <c r="VLL155" s="839"/>
      <c r="VLM155" s="839"/>
      <c r="VLN155" s="839"/>
      <c r="VLO155" s="839"/>
      <c r="VLP155" s="839"/>
      <c r="VLQ155" s="839"/>
      <c r="VLR155" s="839"/>
      <c r="VLS155" s="839"/>
      <c r="VLT155" s="839"/>
      <c r="VLU155" s="839"/>
      <c r="VLV155" s="839"/>
      <c r="VLW155" s="839"/>
      <c r="VLX155" s="839"/>
      <c r="VLY155" s="839"/>
      <c r="VLZ155" s="839"/>
      <c r="VMA155" s="839"/>
      <c r="VMB155" s="839"/>
      <c r="VMC155" s="839"/>
      <c r="VMD155" s="839"/>
      <c r="VME155" s="839"/>
      <c r="VMF155" s="839"/>
      <c r="VMG155" s="839"/>
      <c r="VMH155" s="839"/>
      <c r="VMI155" s="839"/>
      <c r="VMJ155" s="839"/>
      <c r="VMK155" s="839"/>
      <c r="VML155" s="839"/>
      <c r="VMM155" s="839"/>
      <c r="VMN155" s="839"/>
      <c r="VMO155" s="839"/>
      <c r="VMP155" s="839"/>
      <c r="VMQ155" s="839"/>
      <c r="VMR155" s="839"/>
      <c r="VMS155" s="839"/>
      <c r="VMT155" s="839"/>
      <c r="VMU155" s="839"/>
      <c r="VMV155" s="839"/>
      <c r="VMW155" s="839"/>
      <c r="VMX155" s="839"/>
      <c r="VMY155" s="839"/>
      <c r="VMZ155" s="839"/>
      <c r="VNA155" s="839"/>
      <c r="VNB155" s="839"/>
      <c r="VNC155" s="839"/>
      <c r="VND155" s="839"/>
      <c r="VNE155" s="839"/>
      <c r="VNF155" s="839"/>
      <c r="VNG155" s="839"/>
      <c r="VNH155" s="839"/>
      <c r="VNI155" s="839"/>
      <c r="VNJ155" s="839"/>
      <c r="VNK155" s="839"/>
      <c r="VNL155" s="839"/>
      <c r="VNM155" s="839"/>
      <c r="VNN155" s="839"/>
      <c r="VNO155" s="839"/>
      <c r="VNP155" s="839"/>
      <c r="VNQ155" s="839"/>
      <c r="VNR155" s="839"/>
      <c r="VNS155" s="839"/>
      <c r="VNT155" s="839"/>
      <c r="VNU155" s="839"/>
      <c r="VNV155" s="839"/>
      <c r="VNW155" s="839"/>
      <c r="VNX155" s="839"/>
      <c r="VNY155" s="839"/>
      <c r="VNZ155" s="839"/>
      <c r="VOA155" s="839"/>
      <c r="VOB155" s="839"/>
      <c r="VOC155" s="839"/>
      <c r="VOD155" s="839"/>
      <c r="VOE155" s="839"/>
      <c r="VOF155" s="839"/>
      <c r="VOG155" s="839"/>
      <c r="VOH155" s="839"/>
      <c r="VOI155" s="839"/>
      <c r="VOJ155" s="839"/>
      <c r="VOK155" s="839"/>
      <c r="VOL155" s="839"/>
      <c r="VOM155" s="839"/>
      <c r="VON155" s="839"/>
      <c r="VOO155" s="839"/>
      <c r="VOP155" s="839"/>
      <c r="VOQ155" s="839"/>
      <c r="VOR155" s="839"/>
      <c r="VOS155" s="839"/>
      <c r="VOT155" s="839"/>
      <c r="VOU155" s="839"/>
      <c r="VOV155" s="839"/>
      <c r="VOW155" s="839"/>
      <c r="VOX155" s="839"/>
      <c r="VOY155" s="839"/>
      <c r="VOZ155" s="839"/>
      <c r="VPA155" s="839"/>
      <c r="VPB155" s="839"/>
      <c r="VPC155" s="839"/>
      <c r="VPD155" s="839"/>
      <c r="VPE155" s="839"/>
      <c r="VPF155" s="839"/>
      <c r="VPG155" s="839"/>
      <c r="VPH155" s="839"/>
      <c r="VPI155" s="839"/>
      <c r="VPJ155" s="839"/>
      <c r="VPK155" s="839"/>
      <c r="VPL155" s="839"/>
      <c r="VPM155" s="839"/>
      <c r="VPN155" s="839"/>
      <c r="VPO155" s="839"/>
      <c r="VPP155" s="839"/>
      <c r="VPQ155" s="839"/>
      <c r="VPR155" s="839"/>
      <c r="VPS155" s="839"/>
      <c r="VPT155" s="839"/>
      <c r="VPU155" s="839"/>
      <c r="VPV155" s="839"/>
      <c r="VPW155" s="839"/>
      <c r="VPX155" s="839"/>
      <c r="VPY155" s="839"/>
      <c r="VPZ155" s="839"/>
      <c r="VQA155" s="839"/>
      <c r="VQB155" s="839"/>
      <c r="VQC155" s="839"/>
      <c r="VQD155" s="839"/>
      <c r="VQE155" s="839"/>
      <c r="VQF155" s="839"/>
      <c r="VQG155" s="839"/>
      <c r="VQH155" s="839"/>
      <c r="VQI155" s="839"/>
      <c r="VQJ155" s="839"/>
      <c r="VQK155" s="839"/>
      <c r="VQL155" s="839"/>
      <c r="VQM155" s="839"/>
      <c r="VQN155" s="839"/>
      <c r="VQO155" s="839"/>
      <c r="VQP155" s="839"/>
      <c r="VQQ155" s="839"/>
      <c r="VQR155" s="839"/>
      <c r="VQS155" s="839"/>
      <c r="VQT155" s="839"/>
      <c r="VQU155" s="839"/>
      <c r="VQV155" s="839"/>
      <c r="VQW155" s="839"/>
      <c r="VQX155" s="839"/>
      <c r="VQY155" s="839"/>
      <c r="VQZ155" s="839"/>
      <c r="VRA155" s="839"/>
      <c r="VRB155" s="839"/>
      <c r="VRC155" s="839"/>
      <c r="VRD155" s="839"/>
      <c r="VRE155" s="839"/>
      <c r="VRF155" s="839"/>
      <c r="VRG155" s="839"/>
      <c r="VRH155" s="839"/>
      <c r="VRI155" s="839"/>
      <c r="VRJ155" s="839"/>
      <c r="VRK155" s="839"/>
      <c r="VRL155" s="839"/>
      <c r="VRM155" s="839"/>
      <c r="VRN155" s="839"/>
      <c r="VRO155" s="839"/>
      <c r="VRP155" s="839"/>
      <c r="VRQ155" s="839"/>
      <c r="VRR155" s="839"/>
      <c r="VRS155" s="839"/>
      <c r="VRT155" s="839"/>
      <c r="VRU155" s="839"/>
      <c r="VRV155" s="839"/>
      <c r="VRW155" s="839"/>
      <c r="VRX155" s="839"/>
      <c r="VRY155" s="839"/>
      <c r="VRZ155" s="839"/>
      <c r="VSA155" s="839"/>
      <c r="VSB155" s="839"/>
      <c r="VSC155" s="839"/>
      <c r="VSD155" s="839"/>
      <c r="VSE155" s="839"/>
      <c r="VSF155" s="839"/>
      <c r="VSG155" s="839"/>
      <c r="VSH155" s="839"/>
      <c r="VSI155" s="839"/>
      <c r="VSJ155" s="839"/>
      <c r="VSK155" s="839"/>
      <c r="VSL155" s="839"/>
      <c r="VSM155" s="839"/>
      <c r="VSN155" s="839"/>
      <c r="VSO155" s="839"/>
      <c r="VSP155" s="839"/>
      <c r="VSQ155" s="839"/>
      <c r="VSR155" s="839"/>
      <c r="VSS155" s="839"/>
      <c r="VST155" s="839"/>
      <c r="VSU155" s="839"/>
      <c r="VSV155" s="839"/>
      <c r="VSW155" s="839"/>
      <c r="VSX155" s="839"/>
      <c r="VSY155" s="839"/>
      <c r="VSZ155" s="839"/>
      <c r="VTA155" s="839"/>
      <c r="VTB155" s="839"/>
      <c r="VTC155" s="839"/>
      <c r="VTD155" s="839"/>
      <c r="VTE155" s="839"/>
      <c r="VTF155" s="839"/>
      <c r="VTG155" s="839"/>
      <c r="VTH155" s="839"/>
      <c r="VTI155" s="839"/>
      <c r="VTJ155" s="839"/>
      <c r="VTK155" s="839"/>
      <c r="VTL155" s="839"/>
      <c r="VTM155" s="839"/>
      <c r="VTN155" s="839"/>
      <c r="VTO155" s="839"/>
      <c r="VTP155" s="839"/>
      <c r="VTQ155" s="839"/>
      <c r="VTR155" s="839"/>
      <c r="VTS155" s="839"/>
      <c r="VTT155" s="839"/>
      <c r="VTU155" s="839"/>
      <c r="VTV155" s="839"/>
      <c r="VTW155" s="839"/>
      <c r="VTX155" s="839"/>
      <c r="VTY155" s="839"/>
      <c r="VTZ155" s="839"/>
      <c r="VUA155" s="839"/>
      <c r="VUB155" s="839"/>
      <c r="VUC155" s="839"/>
      <c r="VUD155" s="839"/>
      <c r="VUE155" s="839"/>
      <c r="VUF155" s="839"/>
      <c r="VUG155" s="839"/>
      <c r="VUH155" s="839"/>
      <c r="VUI155" s="839"/>
      <c r="VUJ155" s="839"/>
      <c r="VUK155" s="839"/>
      <c r="VUL155" s="839"/>
      <c r="VUM155" s="839"/>
      <c r="VUN155" s="839"/>
      <c r="VUO155" s="839"/>
      <c r="VUP155" s="839"/>
      <c r="VUQ155" s="839"/>
      <c r="VUR155" s="839"/>
      <c r="VUS155" s="839"/>
      <c r="VUT155" s="839"/>
      <c r="VUU155" s="839"/>
      <c r="VUV155" s="839"/>
      <c r="VUW155" s="839"/>
      <c r="VUX155" s="839"/>
      <c r="VUY155" s="839"/>
      <c r="VUZ155" s="839"/>
      <c r="VVA155" s="839"/>
      <c r="VVB155" s="839"/>
      <c r="VVC155" s="839"/>
      <c r="VVD155" s="839"/>
      <c r="VVE155" s="839"/>
      <c r="VVF155" s="839"/>
      <c r="VVG155" s="839"/>
      <c r="VVH155" s="839"/>
      <c r="VVI155" s="839"/>
      <c r="VVJ155" s="839"/>
      <c r="VVK155" s="839"/>
      <c r="VVL155" s="839"/>
      <c r="VVM155" s="839"/>
      <c r="VVN155" s="839"/>
      <c r="VVO155" s="839"/>
      <c r="VVP155" s="839"/>
      <c r="VVQ155" s="839"/>
      <c r="VVR155" s="839"/>
      <c r="VVS155" s="839"/>
      <c r="VVT155" s="839"/>
      <c r="VVU155" s="839"/>
      <c r="VVV155" s="839"/>
      <c r="VVW155" s="839"/>
      <c r="VVX155" s="839"/>
      <c r="VVY155" s="839"/>
      <c r="VVZ155" s="839"/>
      <c r="VWA155" s="839"/>
      <c r="VWB155" s="839"/>
      <c r="VWC155" s="839"/>
      <c r="VWD155" s="839"/>
      <c r="VWE155" s="839"/>
      <c r="VWF155" s="839"/>
      <c r="VWG155" s="839"/>
      <c r="VWH155" s="839"/>
      <c r="VWI155" s="839"/>
      <c r="VWJ155" s="839"/>
      <c r="VWK155" s="839"/>
      <c r="VWL155" s="839"/>
      <c r="VWM155" s="839"/>
      <c r="VWN155" s="839"/>
      <c r="VWO155" s="839"/>
      <c r="VWP155" s="839"/>
      <c r="VWQ155" s="839"/>
      <c r="VWR155" s="839"/>
      <c r="VWS155" s="839"/>
      <c r="VWT155" s="839"/>
      <c r="VWU155" s="839"/>
      <c r="VWV155" s="839"/>
      <c r="VWW155" s="839"/>
      <c r="VWX155" s="839"/>
      <c r="VWY155" s="839"/>
      <c r="VWZ155" s="839"/>
      <c r="VXA155" s="839"/>
      <c r="VXB155" s="839"/>
      <c r="VXC155" s="839"/>
      <c r="VXD155" s="839"/>
      <c r="VXE155" s="839"/>
      <c r="VXF155" s="839"/>
      <c r="VXG155" s="839"/>
      <c r="VXH155" s="839"/>
      <c r="VXI155" s="839"/>
      <c r="VXJ155" s="839"/>
      <c r="VXK155" s="839"/>
      <c r="VXL155" s="839"/>
      <c r="VXM155" s="839"/>
      <c r="VXN155" s="839"/>
      <c r="VXO155" s="839"/>
      <c r="VXP155" s="839"/>
      <c r="VXQ155" s="839"/>
      <c r="VXR155" s="839"/>
      <c r="VXS155" s="839"/>
      <c r="VXT155" s="839"/>
      <c r="VXU155" s="839"/>
      <c r="VXV155" s="839"/>
      <c r="VXW155" s="839"/>
      <c r="VXX155" s="839"/>
      <c r="VXY155" s="839"/>
      <c r="VXZ155" s="839"/>
      <c r="VYA155" s="839"/>
      <c r="VYB155" s="839"/>
      <c r="VYC155" s="839"/>
      <c r="VYD155" s="839"/>
      <c r="VYE155" s="839"/>
      <c r="VYF155" s="839"/>
      <c r="VYG155" s="839"/>
      <c r="VYH155" s="839"/>
      <c r="VYI155" s="839"/>
      <c r="VYJ155" s="839"/>
      <c r="VYK155" s="839"/>
      <c r="VYL155" s="839"/>
      <c r="VYM155" s="839"/>
      <c r="VYN155" s="839"/>
      <c r="VYO155" s="839"/>
      <c r="VYP155" s="839"/>
      <c r="VYQ155" s="839"/>
      <c r="VYR155" s="839"/>
      <c r="VYS155" s="839"/>
      <c r="VYT155" s="839"/>
      <c r="VYU155" s="839"/>
      <c r="VYV155" s="839"/>
      <c r="VYW155" s="839"/>
      <c r="VYX155" s="839"/>
      <c r="VYY155" s="839"/>
      <c r="VYZ155" s="839"/>
      <c r="VZA155" s="839"/>
      <c r="VZB155" s="839"/>
      <c r="VZC155" s="839"/>
      <c r="VZD155" s="839"/>
      <c r="VZE155" s="839"/>
      <c r="VZF155" s="839"/>
      <c r="VZG155" s="839"/>
      <c r="VZH155" s="839"/>
      <c r="VZI155" s="839"/>
      <c r="VZJ155" s="839"/>
      <c r="VZK155" s="839"/>
      <c r="VZL155" s="839"/>
      <c r="VZM155" s="839"/>
      <c r="VZN155" s="839"/>
      <c r="VZO155" s="839"/>
      <c r="VZP155" s="839"/>
      <c r="VZQ155" s="839"/>
      <c r="VZR155" s="839"/>
      <c r="VZS155" s="839"/>
      <c r="VZT155" s="839"/>
      <c r="VZU155" s="839"/>
      <c r="VZV155" s="839"/>
      <c r="VZW155" s="839"/>
      <c r="VZX155" s="839"/>
      <c r="VZY155" s="839"/>
      <c r="VZZ155" s="839"/>
      <c r="WAA155" s="839"/>
      <c r="WAB155" s="839"/>
      <c r="WAC155" s="839"/>
      <c r="WAD155" s="839"/>
      <c r="WAE155" s="839"/>
      <c r="WAF155" s="839"/>
      <c r="WAG155" s="839"/>
      <c r="WAH155" s="839"/>
      <c r="WAI155" s="839"/>
      <c r="WAJ155" s="839"/>
      <c r="WAK155" s="839"/>
      <c r="WAL155" s="839"/>
      <c r="WAM155" s="839"/>
      <c r="WAN155" s="839"/>
      <c r="WAO155" s="839"/>
      <c r="WAP155" s="839"/>
      <c r="WAQ155" s="839"/>
      <c r="WAR155" s="839"/>
      <c r="WAS155" s="839"/>
      <c r="WAT155" s="839"/>
      <c r="WAU155" s="839"/>
      <c r="WAV155" s="839"/>
      <c r="WAW155" s="839"/>
      <c r="WAX155" s="839"/>
      <c r="WAY155" s="839"/>
      <c r="WAZ155" s="839"/>
      <c r="WBA155" s="839"/>
      <c r="WBB155" s="839"/>
      <c r="WBC155" s="839"/>
      <c r="WBD155" s="839"/>
      <c r="WBE155" s="839"/>
      <c r="WBF155" s="839"/>
      <c r="WBG155" s="839"/>
      <c r="WBH155" s="839"/>
      <c r="WBI155" s="839"/>
      <c r="WBJ155" s="839"/>
      <c r="WBK155" s="839"/>
      <c r="WBL155" s="839"/>
      <c r="WBM155" s="839"/>
      <c r="WBN155" s="839"/>
      <c r="WBO155" s="839"/>
      <c r="WBP155" s="839"/>
      <c r="WBQ155" s="839"/>
      <c r="WBR155" s="839"/>
      <c r="WBS155" s="839"/>
      <c r="WBT155" s="839"/>
      <c r="WBU155" s="839"/>
      <c r="WBV155" s="839"/>
      <c r="WBW155" s="839"/>
      <c r="WBX155" s="839"/>
      <c r="WBY155" s="839"/>
      <c r="WBZ155" s="839"/>
      <c r="WCA155" s="839"/>
      <c r="WCB155" s="839"/>
      <c r="WCC155" s="839"/>
      <c r="WCD155" s="839"/>
      <c r="WCE155" s="839"/>
      <c r="WCF155" s="839"/>
      <c r="WCG155" s="839"/>
      <c r="WCH155" s="839"/>
      <c r="WCI155" s="839"/>
      <c r="WCJ155" s="839"/>
      <c r="WCK155" s="839"/>
      <c r="WCL155" s="839"/>
      <c r="WCM155" s="839"/>
      <c r="WCN155" s="839"/>
      <c r="WCO155" s="839"/>
      <c r="WCP155" s="839"/>
      <c r="WCQ155" s="839"/>
      <c r="WCR155" s="839"/>
      <c r="WCS155" s="839"/>
      <c r="WCT155" s="839"/>
      <c r="WCU155" s="839"/>
      <c r="WCV155" s="839"/>
      <c r="WCW155" s="839"/>
      <c r="WCX155" s="839"/>
      <c r="WCY155" s="839"/>
      <c r="WCZ155" s="839"/>
      <c r="WDA155" s="839"/>
      <c r="WDB155" s="839"/>
      <c r="WDC155" s="839"/>
      <c r="WDD155" s="839"/>
      <c r="WDE155" s="839"/>
      <c r="WDF155" s="839"/>
      <c r="WDG155" s="839"/>
      <c r="WDH155" s="839"/>
      <c r="WDI155" s="839"/>
      <c r="WDJ155" s="839"/>
      <c r="WDK155" s="839"/>
      <c r="WDL155" s="839"/>
      <c r="WDM155" s="839"/>
      <c r="WDN155" s="839"/>
      <c r="WDO155" s="839"/>
      <c r="WDP155" s="839"/>
      <c r="WDQ155" s="839"/>
      <c r="WDR155" s="839"/>
      <c r="WDS155" s="839"/>
      <c r="WDT155" s="839"/>
      <c r="WDU155" s="839"/>
      <c r="WDV155" s="839"/>
      <c r="WDW155" s="839"/>
      <c r="WDX155" s="839"/>
      <c r="WDY155" s="839"/>
      <c r="WDZ155" s="839"/>
      <c r="WEA155" s="839"/>
      <c r="WEB155" s="839"/>
      <c r="WEC155" s="839"/>
      <c r="WED155" s="839"/>
      <c r="WEE155" s="839"/>
      <c r="WEF155" s="839"/>
      <c r="WEG155" s="839"/>
      <c r="WEH155" s="839"/>
      <c r="WEI155" s="839"/>
      <c r="WEJ155" s="839"/>
      <c r="WEK155" s="839"/>
      <c r="WEL155" s="839"/>
      <c r="WEM155" s="839"/>
      <c r="WEN155" s="839"/>
      <c r="WEO155" s="839"/>
      <c r="WEP155" s="839"/>
      <c r="WEQ155" s="839"/>
      <c r="WER155" s="839"/>
      <c r="WES155" s="839"/>
      <c r="WET155" s="839"/>
      <c r="WEU155" s="839"/>
      <c r="WEV155" s="839"/>
      <c r="WEW155" s="839"/>
      <c r="WEX155" s="839"/>
      <c r="WEY155" s="839"/>
      <c r="WEZ155" s="839"/>
      <c r="WFA155" s="839"/>
      <c r="WFB155" s="839"/>
      <c r="WFC155" s="839"/>
      <c r="WFD155" s="839"/>
      <c r="WFE155" s="839"/>
      <c r="WFF155" s="839"/>
      <c r="WFG155" s="839"/>
      <c r="WFH155" s="839"/>
      <c r="WFI155" s="839"/>
      <c r="WFJ155" s="839"/>
      <c r="WFK155" s="839"/>
      <c r="WFL155" s="839"/>
      <c r="WFM155" s="839"/>
      <c r="WFN155" s="839"/>
      <c r="WFO155" s="839"/>
      <c r="WFP155" s="839"/>
      <c r="WFQ155" s="839"/>
      <c r="WFR155" s="839"/>
      <c r="WFS155" s="839"/>
      <c r="WFT155" s="839"/>
      <c r="WFU155" s="839"/>
      <c r="WFV155" s="839"/>
      <c r="WFW155" s="839"/>
      <c r="WFX155" s="839"/>
      <c r="WFY155" s="839"/>
      <c r="WFZ155" s="839"/>
      <c r="WGA155" s="839"/>
      <c r="WGB155" s="839"/>
      <c r="WGC155" s="839"/>
      <c r="WGD155" s="839"/>
      <c r="WGE155" s="839"/>
      <c r="WGF155" s="839"/>
      <c r="WGG155" s="839"/>
      <c r="WGH155" s="839"/>
      <c r="WGI155" s="839"/>
      <c r="WGJ155" s="839"/>
      <c r="WGK155" s="839"/>
      <c r="WGL155" s="839"/>
      <c r="WGM155" s="839"/>
      <c r="WGN155" s="839"/>
      <c r="WGO155" s="839"/>
      <c r="WGP155" s="839"/>
      <c r="WGQ155" s="839"/>
      <c r="WGR155" s="839"/>
      <c r="WGS155" s="839"/>
      <c r="WGT155" s="839"/>
      <c r="WGU155" s="839"/>
      <c r="WGV155" s="839"/>
      <c r="WGW155" s="839"/>
      <c r="WGX155" s="839"/>
      <c r="WGY155" s="839"/>
      <c r="WGZ155" s="839"/>
      <c r="WHA155" s="839"/>
      <c r="WHB155" s="839"/>
      <c r="WHC155" s="839"/>
      <c r="WHD155" s="839"/>
      <c r="WHE155" s="839"/>
      <c r="WHF155" s="839"/>
      <c r="WHG155" s="839"/>
      <c r="WHH155" s="839"/>
      <c r="WHI155" s="839"/>
      <c r="WHJ155" s="839"/>
      <c r="WHK155" s="839"/>
      <c r="WHL155" s="839"/>
      <c r="WHM155" s="839"/>
      <c r="WHN155" s="839"/>
      <c r="WHO155" s="839"/>
      <c r="WHP155" s="839"/>
      <c r="WHQ155" s="839"/>
      <c r="WHR155" s="839"/>
      <c r="WHS155" s="839"/>
      <c r="WHT155" s="839"/>
      <c r="WHU155" s="839"/>
      <c r="WHV155" s="839"/>
      <c r="WHW155" s="839"/>
      <c r="WHX155" s="839"/>
      <c r="WHY155" s="839"/>
      <c r="WHZ155" s="839"/>
      <c r="WIA155" s="839"/>
      <c r="WIB155" s="839"/>
      <c r="WIC155" s="839"/>
      <c r="WID155" s="839"/>
      <c r="WIE155" s="839"/>
      <c r="WIF155" s="839"/>
      <c r="WIG155" s="839"/>
      <c r="WIH155" s="839"/>
      <c r="WII155" s="839"/>
      <c r="WIJ155" s="839"/>
      <c r="WIK155" s="839"/>
      <c r="WIL155" s="839"/>
      <c r="WIM155" s="839"/>
      <c r="WIN155" s="839"/>
      <c r="WIO155" s="839"/>
      <c r="WIP155" s="839"/>
      <c r="WIQ155" s="839"/>
      <c r="WIR155" s="839"/>
      <c r="WIS155" s="839"/>
      <c r="WIT155" s="839"/>
      <c r="WIU155" s="839"/>
      <c r="WIV155" s="839"/>
      <c r="WIW155" s="839"/>
      <c r="WIX155" s="839"/>
      <c r="WIY155" s="839"/>
      <c r="WIZ155" s="839"/>
      <c r="WJA155" s="839"/>
      <c r="WJB155" s="839"/>
      <c r="WJC155" s="839"/>
      <c r="WJD155" s="839"/>
      <c r="WJE155" s="839"/>
      <c r="WJF155" s="839"/>
      <c r="WJG155" s="839"/>
      <c r="WJH155" s="839"/>
      <c r="WJI155" s="839"/>
      <c r="WJJ155" s="839"/>
      <c r="WJK155" s="839"/>
      <c r="WJL155" s="839"/>
      <c r="WJM155" s="839"/>
      <c r="WJN155" s="839"/>
      <c r="WJO155" s="839"/>
      <c r="WJP155" s="839"/>
      <c r="WJQ155" s="839"/>
      <c r="WJR155" s="839"/>
      <c r="WJS155" s="839"/>
      <c r="WJT155" s="839"/>
      <c r="WJU155" s="839"/>
      <c r="WJV155" s="839"/>
      <c r="WJW155" s="839"/>
      <c r="WJX155" s="839"/>
      <c r="WJY155" s="839"/>
      <c r="WJZ155" s="839"/>
      <c r="WKA155" s="839"/>
      <c r="WKB155" s="839"/>
      <c r="WKC155" s="839"/>
      <c r="WKD155" s="839"/>
      <c r="WKE155" s="839"/>
      <c r="WKF155" s="839"/>
      <c r="WKG155" s="839"/>
      <c r="WKH155" s="839"/>
      <c r="WKI155" s="839"/>
      <c r="WKJ155" s="839"/>
      <c r="WKK155" s="839"/>
      <c r="WKL155" s="839"/>
      <c r="WKM155" s="839"/>
      <c r="WKN155" s="839"/>
      <c r="WKO155" s="839"/>
      <c r="WKP155" s="839"/>
      <c r="WKQ155" s="839"/>
      <c r="WKR155" s="839"/>
      <c r="WKS155" s="839"/>
      <c r="WKT155" s="839"/>
      <c r="WKU155" s="839"/>
      <c r="WKV155" s="839"/>
      <c r="WKW155" s="839"/>
      <c r="WKX155" s="839"/>
      <c r="WKY155" s="839"/>
      <c r="WKZ155" s="839"/>
      <c r="WLA155" s="839"/>
      <c r="WLB155" s="839"/>
      <c r="WLC155" s="839"/>
      <c r="WLD155" s="839"/>
      <c r="WLE155" s="839"/>
      <c r="WLF155" s="839"/>
      <c r="WLG155" s="839"/>
      <c r="WLH155" s="839"/>
      <c r="WLI155" s="839"/>
      <c r="WLJ155" s="839"/>
      <c r="WLK155" s="839"/>
      <c r="WLL155" s="839"/>
      <c r="WLM155" s="839"/>
      <c r="WLN155" s="839"/>
      <c r="WLO155" s="839"/>
      <c r="WLP155" s="839"/>
      <c r="WLQ155" s="839"/>
      <c r="WLR155" s="839"/>
      <c r="WLS155" s="839"/>
      <c r="WLT155" s="839"/>
      <c r="WLU155" s="839"/>
      <c r="WLV155" s="839"/>
      <c r="WLW155" s="839"/>
      <c r="WLX155" s="839"/>
      <c r="WLY155" s="839"/>
      <c r="WLZ155" s="839"/>
      <c r="WMA155" s="839"/>
      <c r="WMB155" s="839"/>
      <c r="WMC155" s="839"/>
      <c r="WMD155" s="839"/>
      <c r="WME155" s="839"/>
      <c r="WMF155" s="839"/>
      <c r="WMG155" s="839"/>
      <c r="WMH155" s="839"/>
      <c r="WMI155" s="839"/>
      <c r="WMJ155" s="839"/>
      <c r="WMK155" s="839"/>
      <c r="WML155" s="839"/>
      <c r="WMM155" s="839"/>
      <c r="WMN155" s="839"/>
      <c r="WMO155" s="839"/>
      <c r="WMP155" s="839"/>
      <c r="WMQ155" s="839"/>
      <c r="WMR155" s="839"/>
      <c r="WMS155" s="839"/>
      <c r="WMT155" s="839"/>
      <c r="WMU155" s="839"/>
      <c r="WMV155" s="839"/>
      <c r="WMW155" s="839"/>
      <c r="WMX155" s="839"/>
      <c r="WMY155" s="839"/>
      <c r="WMZ155" s="839"/>
      <c r="WNA155" s="839"/>
      <c r="WNB155" s="839"/>
      <c r="WNC155" s="839"/>
      <c r="WND155" s="839"/>
      <c r="WNE155" s="839"/>
      <c r="WNF155" s="839"/>
      <c r="WNG155" s="839"/>
      <c r="WNH155" s="839"/>
      <c r="WNI155" s="839"/>
      <c r="WNJ155" s="839"/>
      <c r="WNK155" s="839"/>
      <c r="WNL155" s="839"/>
      <c r="WNM155" s="839"/>
      <c r="WNN155" s="839"/>
      <c r="WNO155" s="839"/>
      <c r="WNP155" s="839"/>
      <c r="WNQ155" s="839"/>
      <c r="WNR155" s="839"/>
      <c r="WNS155" s="839"/>
      <c r="WNT155" s="839"/>
      <c r="WNU155" s="839"/>
      <c r="WNV155" s="839"/>
      <c r="WNW155" s="839"/>
      <c r="WNX155" s="839"/>
      <c r="WNY155" s="839"/>
      <c r="WNZ155" s="839"/>
      <c r="WOA155" s="839"/>
      <c r="WOB155" s="839"/>
      <c r="WOC155" s="839"/>
      <c r="WOD155" s="839"/>
      <c r="WOE155" s="839"/>
      <c r="WOF155" s="839"/>
      <c r="WOG155" s="839"/>
      <c r="WOH155" s="839"/>
      <c r="WOI155" s="839"/>
      <c r="WOJ155" s="839"/>
      <c r="WOK155" s="839"/>
      <c r="WOL155" s="839"/>
      <c r="WOM155" s="839"/>
      <c r="WON155" s="839"/>
      <c r="WOO155" s="839"/>
      <c r="WOP155" s="839"/>
      <c r="WOQ155" s="839"/>
      <c r="WOR155" s="839"/>
      <c r="WOS155" s="839"/>
      <c r="WOT155" s="839"/>
      <c r="WOU155" s="839"/>
      <c r="WOV155" s="839"/>
      <c r="WOW155" s="839"/>
      <c r="WOX155" s="839"/>
      <c r="WOY155" s="839"/>
      <c r="WOZ155" s="839"/>
      <c r="WPA155" s="839"/>
      <c r="WPB155" s="839"/>
      <c r="WPC155" s="839"/>
      <c r="WPD155" s="839"/>
      <c r="WPE155" s="839"/>
      <c r="WPF155" s="839"/>
      <c r="WPG155" s="839"/>
      <c r="WPH155" s="839"/>
      <c r="WPI155" s="839"/>
      <c r="WPJ155" s="839"/>
      <c r="WPK155" s="839"/>
      <c r="WPL155" s="839"/>
      <c r="WPM155" s="839"/>
      <c r="WPN155" s="839"/>
      <c r="WPO155" s="839"/>
      <c r="WPP155" s="839"/>
      <c r="WPQ155" s="839"/>
      <c r="WPR155" s="839"/>
      <c r="WPS155" s="839"/>
      <c r="WPT155" s="839"/>
      <c r="WPU155" s="839"/>
      <c r="WPV155" s="839"/>
      <c r="WPW155" s="839"/>
      <c r="WPX155" s="839"/>
      <c r="WPY155" s="839"/>
      <c r="WPZ155" s="839"/>
      <c r="WQA155" s="839"/>
      <c r="WQB155" s="839"/>
      <c r="WQC155" s="839"/>
      <c r="WQD155" s="839"/>
      <c r="WQE155" s="839"/>
      <c r="WQF155" s="839"/>
      <c r="WQG155" s="839"/>
      <c r="WQH155" s="839"/>
      <c r="WQI155" s="839"/>
      <c r="WQJ155" s="839"/>
      <c r="WQK155" s="839"/>
      <c r="WQL155" s="839"/>
      <c r="WQM155" s="839"/>
      <c r="WQN155" s="839"/>
      <c r="WQO155" s="839"/>
      <c r="WQP155" s="839"/>
      <c r="WQQ155" s="839"/>
      <c r="WQR155" s="839"/>
      <c r="WQS155" s="839"/>
      <c r="WQT155" s="839"/>
      <c r="WQU155" s="839"/>
      <c r="WQV155" s="839"/>
      <c r="WQW155" s="839"/>
      <c r="WQX155" s="839"/>
      <c r="WQY155" s="839"/>
      <c r="WQZ155" s="839"/>
      <c r="WRA155" s="839"/>
      <c r="WRB155" s="839"/>
      <c r="WRC155" s="839"/>
      <c r="WRD155" s="839"/>
      <c r="WRE155" s="839"/>
      <c r="WRF155" s="839"/>
      <c r="WRG155" s="839"/>
      <c r="WRH155" s="839"/>
      <c r="WRI155" s="839"/>
      <c r="WRJ155" s="839"/>
      <c r="WRK155" s="839"/>
      <c r="WRL155" s="839"/>
      <c r="WRM155" s="839"/>
      <c r="WRN155" s="839"/>
      <c r="WRO155" s="839"/>
      <c r="WRP155" s="839"/>
      <c r="WRQ155" s="839"/>
      <c r="WRR155" s="839"/>
      <c r="WRS155" s="839"/>
      <c r="WRT155" s="839"/>
      <c r="WRU155" s="839"/>
      <c r="WRV155" s="839"/>
      <c r="WRW155" s="839"/>
      <c r="WRX155" s="839"/>
      <c r="WRY155" s="839"/>
      <c r="WRZ155" s="839"/>
      <c r="WSA155" s="839"/>
      <c r="WSB155" s="839"/>
      <c r="WSC155" s="839"/>
      <c r="WSD155" s="839"/>
      <c r="WSE155" s="839"/>
      <c r="WSF155" s="839"/>
      <c r="WSG155" s="839"/>
      <c r="WSH155" s="839"/>
      <c r="WSI155" s="839"/>
      <c r="WSJ155" s="839"/>
      <c r="WSK155" s="839"/>
      <c r="WSL155" s="839"/>
      <c r="WSM155" s="839"/>
      <c r="WSN155" s="839"/>
      <c r="WSO155" s="839"/>
      <c r="WSP155" s="839"/>
      <c r="WSQ155" s="839"/>
      <c r="WSR155" s="839"/>
      <c r="WSS155" s="839"/>
      <c r="WST155" s="839"/>
      <c r="WSU155" s="839"/>
      <c r="WSV155" s="839"/>
      <c r="WSW155" s="839"/>
      <c r="WSX155" s="839"/>
      <c r="WSY155" s="839"/>
      <c r="WSZ155" s="839"/>
      <c r="WTA155" s="839"/>
      <c r="WTB155" s="839"/>
      <c r="WTC155" s="839"/>
      <c r="WTD155" s="839"/>
      <c r="WTE155" s="839"/>
      <c r="WTF155" s="839"/>
      <c r="WTG155" s="839"/>
      <c r="WTH155" s="839"/>
      <c r="WTI155" s="839"/>
      <c r="WTJ155" s="839"/>
      <c r="WTK155" s="839"/>
      <c r="WTL155" s="839"/>
      <c r="WTM155" s="839"/>
      <c r="WTN155" s="839"/>
      <c r="WTO155" s="839"/>
      <c r="WTP155" s="839"/>
      <c r="WTQ155" s="839"/>
      <c r="WTR155" s="839"/>
      <c r="WTS155" s="839"/>
      <c r="WTT155" s="839"/>
      <c r="WTU155" s="839"/>
      <c r="WTV155" s="839"/>
      <c r="WTW155" s="839"/>
      <c r="WTX155" s="839"/>
      <c r="WTY155" s="839"/>
      <c r="WTZ155" s="839"/>
      <c r="WUA155" s="839"/>
      <c r="WUB155" s="839"/>
      <c r="WUC155" s="839"/>
      <c r="WUD155" s="839"/>
      <c r="WUE155" s="839"/>
      <c r="WUF155" s="839"/>
      <c r="WUG155" s="839"/>
      <c r="WUH155" s="839"/>
      <c r="WUI155" s="839"/>
      <c r="WUJ155" s="839"/>
      <c r="WUK155" s="839"/>
      <c r="WUL155" s="839"/>
      <c r="WUM155" s="839"/>
      <c r="WUN155" s="839"/>
      <c r="WUO155" s="839"/>
      <c r="WUP155" s="839"/>
      <c r="WUQ155" s="839"/>
      <c r="WUR155" s="839"/>
      <c r="WUS155" s="839"/>
      <c r="WUT155" s="839"/>
      <c r="WUU155" s="839"/>
      <c r="WUV155" s="839"/>
      <c r="WUW155" s="839"/>
      <c r="WUX155" s="839"/>
      <c r="WUY155" s="839"/>
      <c r="WUZ155" s="839"/>
      <c r="WVA155" s="839"/>
      <c r="WVB155" s="839"/>
      <c r="WVC155" s="839"/>
      <c r="WVD155" s="839"/>
      <c r="WVE155" s="839"/>
      <c r="WVF155" s="839"/>
      <c r="WVG155" s="839"/>
      <c r="WVH155" s="839"/>
      <c r="WVI155" s="839"/>
      <c r="WVJ155" s="839"/>
      <c r="WVK155" s="839"/>
      <c r="WVL155" s="839"/>
      <c r="WVM155" s="839"/>
      <c r="WVN155" s="839"/>
      <c r="WVO155" s="839"/>
      <c r="WVP155" s="839"/>
      <c r="WVQ155" s="839"/>
      <c r="WVR155" s="839"/>
      <c r="WVS155" s="839"/>
      <c r="WVT155" s="839"/>
      <c r="WVU155" s="839"/>
      <c r="WVV155" s="839"/>
      <c r="WVW155" s="839"/>
      <c r="WVX155" s="839"/>
      <c r="WVY155" s="839"/>
      <c r="WVZ155" s="839"/>
      <c r="WWA155" s="839"/>
      <c r="WWB155" s="839"/>
      <c r="WWC155" s="839"/>
      <c r="WWD155" s="839"/>
      <c r="WWE155" s="839"/>
      <c r="WWF155" s="839"/>
      <c r="WWG155" s="839"/>
      <c r="WWH155" s="839"/>
      <c r="WWI155" s="839"/>
      <c r="WWJ155" s="839"/>
      <c r="WWK155" s="839"/>
      <c r="WWL155" s="839"/>
      <c r="WWM155" s="839"/>
      <c r="WWN155" s="839"/>
      <c r="WWO155" s="839"/>
      <c r="WWP155" s="839"/>
      <c r="WWQ155" s="839"/>
      <c r="WWR155" s="839"/>
      <c r="WWS155" s="839"/>
      <c r="WWT155" s="839"/>
      <c r="WWU155" s="839"/>
      <c r="WWV155" s="839"/>
      <c r="WWW155" s="839"/>
      <c r="WWX155" s="839"/>
      <c r="WWY155" s="839"/>
      <c r="WWZ155" s="839"/>
      <c r="WXA155" s="839"/>
      <c r="WXB155" s="839"/>
      <c r="WXC155" s="839"/>
      <c r="WXD155" s="839"/>
      <c r="WXE155" s="839"/>
      <c r="WXF155" s="839"/>
      <c r="WXG155" s="839"/>
      <c r="WXH155" s="839"/>
      <c r="WXI155" s="839"/>
      <c r="WXJ155" s="839"/>
      <c r="WXK155" s="839"/>
      <c r="WXL155" s="839"/>
      <c r="WXM155" s="839"/>
      <c r="WXN155" s="839"/>
      <c r="WXO155" s="839"/>
      <c r="WXP155" s="839"/>
      <c r="WXQ155" s="839"/>
      <c r="WXR155" s="839"/>
      <c r="WXS155" s="839"/>
      <c r="WXT155" s="839"/>
      <c r="WXU155" s="839"/>
      <c r="WXV155" s="839"/>
      <c r="WXW155" s="839"/>
      <c r="WXX155" s="839"/>
      <c r="WXY155" s="839"/>
      <c r="WXZ155" s="839"/>
      <c r="WYA155" s="839"/>
      <c r="WYB155" s="839"/>
      <c r="WYC155" s="839"/>
      <c r="WYD155" s="839"/>
      <c r="WYE155" s="839"/>
      <c r="WYF155" s="839"/>
      <c r="WYG155" s="839"/>
      <c r="WYH155" s="839"/>
      <c r="WYI155" s="839"/>
      <c r="WYJ155" s="839"/>
      <c r="WYK155" s="839"/>
      <c r="WYL155" s="839"/>
      <c r="WYM155" s="839"/>
      <c r="WYN155" s="839"/>
      <c r="WYO155" s="839"/>
      <c r="WYP155" s="839"/>
      <c r="WYQ155" s="839"/>
      <c r="WYR155" s="839"/>
      <c r="WYS155" s="839"/>
      <c r="WYT155" s="839"/>
      <c r="WYU155" s="839"/>
      <c r="WYV155" s="839"/>
      <c r="WYW155" s="839"/>
      <c r="WYX155" s="839"/>
      <c r="WYY155" s="839"/>
      <c r="WYZ155" s="839"/>
      <c r="WZA155" s="839"/>
      <c r="WZB155" s="839"/>
      <c r="WZC155" s="839"/>
      <c r="WZD155" s="839"/>
      <c r="WZE155" s="839"/>
      <c r="WZF155" s="839"/>
      <c r="WZG155" s="839"/>
      <c r="WZH155" s="839"/>
      <c r="WZI155" s="839"/>
      <c r="WZJ155" s="839"/>
      <c r="WZK155" s="839"/>
      <c r="WZL155" s="839"/>
      <c r="WZM155" s="839"/>
      <c r="WZN155" s="839"/>
      <c r="WZO155" s="839"/>
      <c r="WZP155" s="839"/>
      <c r="WZQ155" s="839"/>
      <c r="WZR155" s="839"/>
      <c r="WZS155" s="839"/>
      <c r="WZT155" s="839"/>
      <c r="WZU155" s="839"/>
      <c r="WZV155" s="839"/>
      <c r="WZW155" s="839"/>
      <c r="WZX155" s="839"/>
      <c r="WZY155" s="839"/>
      <c r="WZZ155" s="839"/>
      <c r="XAA155" s="839"/>
      <c r="XAB155" s="839"/>
      <c r="XAC155" s="839"/>
      <c r="XAD155" s="839"/>
      <c r="XAE155" s="839"/>
      <c r="XAF155" s="839"/>
      <c r="XAG155" s="839"/>
      <c r="XAH155" s="839"/>
      <c r="XAI155" s="839"/>
      <c r="XAJ155" s="839"/>
      <c r="XAK155" s="839"/>
      <c r="XAL155" s="839"/>
      <c r="XAM155" s="839"/>
      <c r="XAN155" s="839"/>
      <c r="XAO155" s="839"/>
      <c r="XAP155" s="839"/>
      <c r="XAQ155" s="839"/>
      <c r="XAR155" s="839"/>
      <c r="XAS155" s="839"/>
      <c r="XAT155" s="839"/>
      <c r="XAU155" s="839"/>
      <c r="XAV155" s="839"/>
      <c r="XAW155" s="839"/>
      <c r="XAX155" s="839"/>
      <c r="XAY155" s="839"/>
      <c r="XAZ155" s="839"/>
      <c r="XBA155" s="839"/>
      <c r="XBB155" s="839"/>
      <c r="XBC155" s="839"/>
      <c r="XBD155" s="839"/>
      <c r="XBE155" s="839"/>
      <c r="XBF155" s="839"/>
      <c r="XBG155" s="839"/>
      <c r="XBH155" s="839"/>
      <c r="XBI155" s="839"/>
      <c r="XBJ155" s="839"/>
      <c r="XBK155" s="839"/>
      <c r="XBL155" s="839"/>
      <c r="XBM155" s="839"/>
      <c r="XBN155" s="839"/>
      <c r="XBO155" s="839"/>
      <c r="XBP155" s="839"/>
      <c r="XBQ155" s="839"/>
      <c r="XBR155" s="839"/>
      <c r="XBS155" s="839"/>
      <c r="XBT155" s="839"/>
      <c r="XBU155" s="839"/>
      <c r="XBV155" s="839"/>
      <c r="XBW155" s="839"/>
      <c r="XBX155" s="839"/>
      <c r="XBY155" s="839"/>
      <c r="XBZ155" s="839"/>
      <c r="XCA155" s="839"/>
      <c r="XCB155" s="839"/>
      <c r="XCC155" s="839"/>
      <c r="XCD155" s="839"/>
      <c r="XCE155" s="839"/>
      <c r="XCF155" s="839"/>
      <c r="XCG155" s="839"/>
      <c r="XCH155" s="839"/>
      <c r="XCI155" s="839"/>
      <c r="XCJ155" s="839"/>
      <c r="XCK155" s="839"/>
      <c r="XCL155" s="839"/>
      <c r="XCM155" s="839"/>
      <c r="XCN155" s="839"/>
      <c r="XCO155" s="839"/>
      <c r="XCP155" s="839"/>
      <c r="XCQ155" s="839"/>
      <c r="XCR155" s="839"/>
      <c r="XCS155" s="839"/>
      <c r="XCT155" s="839"/>
      <c r="XCU155" s="839"/>
      <c r="XCV155" s="839"/>
      <c r="XCW155" s="839"/>
      <c r="XCX155" s="839"/>
      <c r="XCY155" s="839"/>
      <c r="XCZ155" s="839"/>
      <c r="XDA155" s="839"/>
      <c r="XDB155" s="839"/>
      <c r="XDC155" s="839"/>
      <c r="XDD155" s="839"/>
      <c r="XDE155" s="839"/>
      <c r="XDF155" s="839"/>
      <c r="XDG155" s="839"/>
      <c r="XDH155" s="839"/>
      <c r="XDI155" s="839"/>
      <c r="XDJ155" s="839"/>
      <c r="XDK155" s="839"/>
      <c r="XDL155" s="839"/>
      <c r="XDM155" s="839"/>
      <c r="XDN155" s="839"/>
      <c r="XDO155" s="839"/>
      <c r="XDP155" s="839"/>
      <c r="XDQ155" s="839"/>
      <c r="XDR155" s="839"/>
      <c r="XDS155" s="839"/>
      <c r="XDT155" s="839"/>
      <c r="XDU155" s="839"/>
      <c r="XDV155" s="839"/>
      <c r="XDW155" s="839"/>
      <c r="XDX155" s="839"/>
      <c r="XDY155" s="839"/>
      <c r="XDZ155" s="839"/>
      <c r="XEA155" s="839"/>
      <c r="XEB155" s="839"/>
      <c r="XEC155" s="839"/>
      <c r="XED155" s="839"/>
      <c r="XEE155" s="839"/>
      <c r="XEF155" s="839"/>
      <c r="XEG155" s="839"/>
      <c r="XEH155" s="839"/>
      <c r="XEI155" s="839"/>
      <c r="XEJ155" s="839"/>
      <c r="XEK155" s="839"/>
      <c r="XEL155" s="839"/>
      <c r="XEM155" s="839"/>
      <c r="XEN155" s="839"/>
      <c r="XEO155" s="839"/>
      <c r="XEP155" s="839"/>
      <c r="XEQ155" s="839"/>
      <c r="XER155" s="839"/>
      <c r="XES155" s="839"/>
      <c r="XET155" s="839"/>
      <c r="XEU155" s="839"/>
      <c r="XEV155" s="839"/>
      <c r="XEW155" s="839"/>
      <c r="XEX155" s="839"/>
      <c r="XEY155" s="839"/>
      <c r="XEZ155" s="839"/>
      <c r="XFA155" s="839"/>
    </row>
    <row r="156" spans="1:16381">
      <c r="B156" s="33" t="s">
        <v>318</v>
      </c>
      <c r="F156" s="34">
        <f>+IF(YEAR(F$140)=YEAR(Assumptions!$G$30),F136+F114+F93+F72+F51+F28,0)</f>
        <v>0</v>
      </c>
      <c r="G156" s="34">
        <f>+IF(YEAR(G$140)=YEAR(Assumptions!$G$30),G136+G114+G93+G72+G51+G28,0)</f>
        <v>0</v>
      </c>
      <c r="H156" s="34">
        <f>+IF(YEAR(H$140)=YEAR(Assumptions!$G$30),H136+H114+H93+H72+H51+H28,0)</f>
        <v>0</v>
      </c>
      <c r="I156" s="34">
        <f>+IF(YEAR(I$140)=YEAR(Assumptions!$G$30),I136+I114+I93+I72+I51+I28,0)</f>
        <v>0</v>
      </c>
      <c r="J156" s="34">
        <f>+IF(YEAR(J$140)=YEAR(Assumptions!$G$30),J136+J114+J93+J72+J51+J28,0)</f>
        <v>0</v>
      </c>
      <c r="K156" s="34">
        <f>+IF(YEAR(K$140)=YEAR(Assumptions!$G$30),K136+K114+K93+K72+K51+K28,0)</f>
        <v>0</v>
      </c>
      <c r="L156" s="34">
        <f>+IF(YEAR(L$140)=YEAR(Assumptions!$G$30),L136+L114+L93+L72+L51+L28,0)</f>
        <v>0</v>
      </c>
      <c r="M156" s="34">
        <f>+IF(YEAR(M$140)=YEAR(Assumptions!$G$30),M136+M114+M93+M72+M51+M28,0)</f>
        <v>0</v>
      </c>
      <c r="N156" s="34">
        <f ca="1">+IF(YEAR(N$140)=YEAR(Assumptions!$G$30),N136+N114+N93+N72+N51+N28,0)</f>
        <v>115910379.26415226</v>
      </c>
      <c r="O156" s="34">
        <f>+IF(YEAR(O$140)=YEAR(Assumptions!$G$30),O136+O114+O93+O72+O51+O28,0)</f>
        <v>0</v>
      </c>
      <c r="P156" s="34">
        <f>+IF(YEAR(P$140)=YEAR(Assumptions!$G$30),P136+P114+P93+P72+P51+P28,0)</f>
        <v>0</v>
      </c>
      <c r="Q156" s="34">
        <f>+IF(YEAR(Q$140)=YEAR(Assumptions!$G$30),Q136+Q114+Q93+Q72+Q51+Q28,0)</f>
        <v>0</v>
      </c>
      <c r="R156" s="34">
        <f>+IF(YEAR(R$140)=YEAR(Assumptions!$G$30),R136+R114+R93+R72+R51+R28,0)</f>
        <v>0</v>
      </c>
      <c r="S156" s="34">
        <f>+IF(YEAR(S$140)=YEAR(Assumptions!$G$30),S136+S114+S93+S72+S51+S28,0)</f>
        <v>0</v>
      </c>
      <c r="T156" s="34">
        <f>+IF(YEAR(T$140)=YEAR(Assumptions!$G$30),T136+T114+T93+T72+T51+T28,0)</f>
        <v>0</v>
      </c>
      <c r="U156" s="34">
        <f>+IF(YEAR(U$140)=YEAR(Assumptions!$G$30),U136+U114+U93+U72+U51+U28,0)</f>
        <v>0</v>
      </c>
      <c r="V156" s="34">
        <f>+IF(YEAR(V$140)=YEAR(Assumptions!$G$30),V136+V114+V93+V72+V51+V28,0)</f>
        <v>0</v>
      </c>
      <c r="W156" s="34">
        <f>+IF(YEAR(W$140)=YEAR(Assumptions!$G$30),W136+W114+W93+W72+W51+W28,0)</f>
        <v>0</v>
      </c>
      <c r="X156" s="34">
        <f>+IF(YEAR(X$140)=YEAR(Assumptions!$G$30),X136+X114+X93+X72+X51+X28,0)</f>
        <v>0</v>
      </c>
      <c r="Y156" s="34">
        <f>+IF(YEAR(Y$140)=YEAR(Assumptions!$G$30),Y136+Y114+Y93+Y72+Y51+Y28,0)</f>
        <v>0</v>
      </c>
      <c r="Z156" s="34">
        <f>+IF(YEAR(Z$140)=YEAR(Assumptions!$G$30),Z136+Z114+Z93+Z72+Z51+Z28,0)</f>
        <v>0</v>
      </c>
    </row>
    <row r="157" spans="1:16381" ht="17.25">
      <c r="B157" s="207" t="s">
        <v>351</v>
      </c>
      <c r="C157" s="207"/>
      <c r="D157" s="207"/>
      <c r="E157" s="207"/>
      <c r="F157" s="151">
        <f>+IF(YEAR(F$140)=YEAR(Assumptions!$G$26),('S&amp;U'!$I$23-'S&amp;U'!$S$25),0)</f>
        <v>0</v>
      </c>
      <c r="G157" s="151">
        <f>+IF(YEAR(G$140)=YEAR(Assumptions!$G$26),('S&amp;U'!$I$23-'S&amp;U'!$S$25),0)</f>
        <v>0</v>
      </c>
      <c r="H157" s="151">
        <f>+IF(YEAR(H$140)=YEAR(Assumptions!$G$26),('S&amp;U'!$I$23-'S&amp;U'!$S$25),0)</f>
        <v>0</v>
      </c>
      <c r="I157" s="151">
        <f ca="1">+IF(YEAR(I$140)=YEAR(Assumptions!$G$26),('S&amp;U'!$I$23-'S&amp;U'!$S$25),0)</f>
        <v>-0.1442568302154541</v>
      </c>
      <c r="J157" s="151">
        <f>+IF(YEAR(J$140)=YEAR(Assumptions!$G$26),('S&amp;U'!$I$23-'S&amp;U'!$S$25),0)</f>
        <v>0</v>
      </c>
      <c r="K157" s="151">
        <f>+IF(YEAR(K$140)=YEAR(Assumptions!$G$26),('S&amp;U'!$I$23-'S&amp;U'!$S$25),0)</f>
        <v>0</v>
      </c>
      <c r="L157" s="151">
        <f>+IF(YEAR(L$140)=YEAR(Assumptions!$G$26),('S&amp;U'!$I$23-'S&amp;U'!$S$25),0)</f>
        <v>0</v>
      </c>
      <c r="M157" s="151">
        <f>+IF(YEAR(M$140)=YEAR(Assumptions!$G$26),('S&amp;U'!$I$23-'S&amp;U'!$S$25),0)</f>
        <v>0</v>
      </c>
      <c r="N157" s="151">
        <f>+IF(YEAR(N$140)=YEAR(Assumptions!$G$26),('S&amp;U'!$I$23-'S&amp;U'!$S$25),0)</f>
        <v>0</v>
      </c>
      <c r="O157" s="151">
        <f>+IF(YEAR(O$140)=YEAR(Assumptions!$G$26),('S&amp;U'!$I$23-'S&amp;U'!$S$25),0)</f>
        <v>0</v>
      </c>
      <c r="P157" s="151">
        <f>+IF(YEAR(P$140)=YEAR(Assumptions!$G$26),('S&amp;U'!$I$23-'S&amp;U'!$S$25),0)</f>
        <v>0</v>
      </c>
      <c r="Q157" s="151">
        <f>+IF(YEAR(Q$140)=YEAR(Assumptions!$G$26),('S&amp;U'!$I$23-'S&amp;U'!$S$25),0)</f>
        <v>0</v>
      </c>
      <c r="R157" s="151">
        <f>+IF(YEAR(R$140)=YEAR(Assumptions!$G$26),('S&amp;U'!$I$23-'S&amp;U'!$S$25),0)</f>
        <v>0</v>
      </c>
      <c r="S157" s="151">
        <f>+IF(YEAR(S$140)=YEAR(Assumptions!$G$26),('S&amp;U'!$I$23-'S&amp;U'!$S$25),0)</f>
        <v>0</v>
      </c>
      <c r="T157" s="151">
        <f>+IF(YEAR(T$140)=YEAR(Assumptions!$G$26),('S&amp;U'!$I$23-'S&amp;U'!$S$25),0)</f>
        <v>0</v>
      </c>
      <c r="U157" s="151">
        <f>+IF(YEAR(U$140)=YEAR(Assumptions!$G$26),('S&amp;U'!$I$23-'S&amp;U'!$S$25),0)</f>
        <v>0</v>
      </c>
      <c r="V157" s="151">
        <f>+IF(YEAR(V$140)=YEAR(Assumptions!$G$26),('S&amp;U'!$I$23-'S&amp;U'!$S$25),0)</f>
        <v>0</v>
      </c>
      <c r="W157" s="151">
        <f>+IF(YEAR(W$140)=YEAR(Assumptions!$G$26),('S&amp;U'!$I$23-'S&amp;U'!$S$25),0)</f>
        <v>0</v>
      </c>
      <c r="X157" s="151">
        <f>+IF(YEAR(X$140)=YEAR(Assumptions!$G$26),('S&amp;U'!$I$23-'S&amp;U'!$S$25),0)</f>
        <v>0</v>
      </c>
      <c r="Y157" s="151">
        <f>+IF(YEAR(Y$140)=YEAR(Assumptions!$G$26),('S&amp;U'!$I$23-'S&amp;U'!$S$25),0)</f>
        <v>0</v>
      </c>
      <c r="Z157" s="151">
        <f>+IF(YEAR(Z$140)=YEAR(Assumptions!$G$26),('S&amp;U'!$I$23-'S&amp;U'!$S$25),0)</f>
        <v>0</v>
      </c>
    </row>
    <row r="158" spans="1:16381">
      <c r="B158" s="33" t="s">
        <v>319</v>
      </c>
      <c r="F158" s="151">
        <f>-F156*Assumptions!$O$136</f>
        <v>0</v>
      </c>
      <c r="G158" s="151">
        <f>-G156*Assumptions!$O$136</f>
        <v>0</v>
      </c>
      <c r="H158" s="151">
        <f>-H156*Assumptions!$O$136</f>
        <v>0</v>
      </c>
      <c r="I158" s="151">
        <f>-I156*Assumptions!$O$136</f>
        <v>0</v>
      </c>
      <c r="J158" s="151">
        <f>-J156*Assumptions!$O$136</f>
        <v>0</v>
      </c>
      <c r="K158" s="151">
        <f>-K156*Assumptions!$O$136</f>
        <v>0</v>
      </c>
      <c r="L158" s="151">
        <f>-L156*Assumptions!$O$136</f>
        <v>0</v>
      </c>
      <c r="M158" s="151">
        <f>-M156*Assumptions!$O$136</f>
        <v>0</v>
      </c>
      <c r="N158" s="151">
        <f ca="1">-N156*Assumptions!$O$136</f>
        <v>-2318207.5852830452</v>
      </c>
      <c r="O158" s="151">
        <f>-O156*Assumptions!$O$136</f>
        <v>0</v>
      </c>
      <c r="P158" s="151">
        <f>-P156*Assumptions!$O$136</f>
        <v>0</v>
      </c>
      <c r="Q158" s="151">
        <f>-Q156*Assumptions!$O$136</f>
        <v>0</v>
      </c>
      <c r="R158" s="151">
        <f>-R156*Assumptions!$O$136</f>
        <v>0</v>
      </c>
      <c r="S158" s="151">
        <f>-S156*Assumptions!$O$136</f>
        <v>0</v>
      </c>
      <c r="T158" s="151">
        <f>-T156*Assumptions!$O$136</f>
        <v>0</v>
      </c>
      <c r="U158" s="151">
        <f>-U156*Assumptions!$O$136</f>
        <v>0</v>
      </c>
      <c r="V158" s="151">
        <f>-V156*Assumptions!$O$136</f>
        <v>0</v>
      </c>
      <c r="W158" s="151">
        <f>-W156*Assumptions!$O$136</f>
        <v>0</v>
      </c>
      <c r="X158" s="151">
        <f>-X156*Assumptions!$O$136</f>
        <v>0</v>
      </c>
      <c r="Y158" s="151">
        <f>-Y156*Assumptions!$O$136</f>
        <v>0</v>
      </c>
      <c r="Z158" s="151">
        <f>-Z156*Assumptions!$O$136</f>
        <v>0</v>
      </c>
    </row>
    <row r="159" spans="1:16381">
      <c r="B159" s="33" t="s">
        <v>320</v>
      </c>
      <c r="F159" s="151">
        <f>+IF(YEAR(F$140)=YEAR(Assumptions!$G$30),-F144,0)</f>
        <v>0</v>
      </c>
      <c r="G159" s="151">
        <f>+IF(YEAR(G$140)=YEAR(Assumptions!$G$30),-G144,0)</f>
        <v>0</v>
      </c>
      <c r="H159" s="151">
        <f>+IF(YEAR(H$140)=YEAR(Assumptions!$G$30),-H144,0)</f>
        <v>0</v>
      </c>
      <c r="I159" s="151">
        <f>+IF(YEAR(I$140)=YEAR(Assumptions!$G$30),-I144,0)</f>
        <v>0</v>
      </c>
      <c r="J159" s="151">
        <f>+IF(YEAR(J$140)=YEAR(Assumptions!$G$30),-J144,0)</f>
        <v>0</v>
      </c>
      <c r="K159" s="151">
        <f>+IF(YEAR(K$140)=YEAR(Assumptions!$G$30),-K144,0)</f>
        <v>0</v>
      </c>
      <c r="L159" s="151">
        <f>+IF(YEAR(L$140)=YEAR(Assumptions!$G$30),-L144,0)</f>
        <v>0</v>
      </c>
      <c r="M159" s="151">
        <f>+IF(YEAR(M$140)=YEAR(Assumptions!$G$30),-M144,0)</f>
        <v>0</v>
      </c>
      <c r="N159" s="151">
        <f ca="1">+IF(YEAR(N$140)=YEAR(Assumptions!$G$30),-N144,0)</f>
        <v>-60390619.827716917</v>
      </c>
      <c r="O159" s="151">
        <f>+IF(YEAR(O$140)=YEAR(Assumptions!$G$30),-O144,0)</f>
        <v>0</v>
      </c>
      <c r="P159" s="151">
        <f>+IF(YEAR(P$140)=YEAR(Assumptions!$G$30),-P144,0)</f>
        <v>0</v>
      </c>
      <c r="Q159" s="151">
        <f>+IF(YEAR(Q$140)=YEAR(Assumptions!$G$30),-Q144,0)</f>
        <v>0</v>
      </c>
      <c r="R159" s="151">
        <f>+IF(YEAR(R$140)=YEAR(Assumptions!$G$30),-R144,0)</f>
        <v>0</v>
      </c>
      <c r="S159" s="151">
        <f>+IF(YEAR(S$140)=YEAR(Assumptions!$G$30),-S144,0)</f>
        <v>0</v>
      </c>
      <c r="T159" s="151">
        <f>+IF(YEAR(T$140)=YEAR(Assumptions!$G$30),-T144,0)</f>
        <v>0</v>
      </c>
      <c r="U159" s="151">
        <f>+IF(YEAR(U$140)=YEAR(Assumptions!$G$30),-U144,0)</f>
        <v>0</v>
      </c>
      <c r="V159" s="151">
        <f>+IF(YEAR(V$140)=YEAR(Assumptions!$G$30),-V144,0)</f>
        <v>0</v>
      </c>
      <c r="W159" s="151">
        <f>+IF(YEAR(W$140)=YEAR(Assumptions!$G$30),-W144,0)</f>
        <v>0</v>
      </c>
      <c r="X159" s="151">
        <f>+IF(YEAR(X$140)=YEAR(Assumptions!$G$30),-X144,0)</f>
        <v>0</v>
      </c>
      <c r="Y159" s="151">
        <f>+IF(YEAR(Y$140)=YEAR(Assumptions!$G$30),-Y144,0)</f>
        <v>0</v>
      </c>
      <c r="Z159" s="151">
        <f>+IF(YEAR(Z$140)=YEAR(Assumptions!$G$30),-Z144,0)</f>
        <v>0</v>
      </c>
    </row>
    <row r="160" spans="1:16381">
      <c r="B160" s="137" t="s">
        <v>321</v>
      </c>
      <c r="C160" s="137"/>
      <c r="D160" s="137"/>
      <c r="E160" s="137"/>
      <c r="F160" s="129">
        <f>+SUM(F155:F159)</f>
        <v>0</v>
      </c>
      <c r="G160" s="129">
        <f t="shared" ref="G160:Z160" si="98">+SUM(G155:G159)</f>
        <v>0</v>
      </c>
      <c r="H160" s="129">
        <f t="shared" si="98"/>
        <v>0</v>
      </c>
      <c r="I160" s="129">
        <f t="shared" ca="1" si="98"/>
        <v>-0.1442568302154541</v>
      </c>
      <c r="J160" s="129">
        <f t="shared" si="98"/>
        <v>0</v>
      </c>
      <c r="K160" s="129">
        <f t="shared" si="98"/>
        <v>0</v>
      </c>
      <c r="L160" s="129">
        <f t="shared" si="98"/>
        <v>0</v>
      </c>
      <c r="M160" s="129">
        <f t="shared" si="98"/>
        <v>0</v>
      </c>
      <c r="N160" s="129">
        <f t="shared" ca="1" si="98"/>
        <v>53201551.851152301</v>
      </c>
      <c r="O160" s="129">
        <f t="shared" si="98"/>
        <v>0</v>
      </c>
      <c r="P160" s="129">
        <f t="shared" si="98"/>
        <v>0</v>
      </c>
      <c r="Q160" s="129">
        <f t="shared" si="98"/>
        <v>0</v>
      </c>
      <c r="R160" s="129">
        <f t="shared" si="98"/>
        <v>0</v>
      </c>
      <c r="S160" s="129">
        <f t="shared" si="98"/>
        <v>0</v>
      </c>
      <c r="T160" s="129">
        <f t="shared" si="98"/>
        <v>0</v>
      </c>
      <c r="U160" s="129">
        <f t="shared" si="98"/>
        <v>0</v>
      </c>
      <c r="V160" s="129">
        <f t="shared" si="98"/>
        <v>0</v>
      </c>
      <c r="W160" s="129">
        <f t="shared" si="98"/>
        <v>0</v>
      </c>
      <c r="X160" s="129">
        <f t="shared" si="98"/>
        <v>0</v>
      </c>
      <c r="Y160" s="129">
        <f t="shared" si="98"/>
        <v>0</v>
      </c>
      <c r="Z160" s="129">
        <f t="shared" si="98"/>
        <v>0</v>
      </c>
    </row>
    <row r="161" spans="2:26">
      <c r="B161" s="208" t="s">
        <v>700</v>
      </c>
    </row>
    <row r="163" spans="2:26" ht="15.5">
      <c r="B163" s="138" t="s">
        <v>322</v>
      </c>
      <c r="C163" s="138"/>
      <c r="D163" s="138"/>
      <c r="E163" s="138"/>
      <c r="F163" s="139">
        <f ca="1">+IF(YEAR(F$140)&lt;=YEAR(Assumptions!$G$30),'Phase II Pro Forma'!F160+'Phase II Pro Forma'!F152,0)</f>
        <v>0</v>
      </c>
      <c r="G163" s="139">
        <f ca="1">+IF(YEAR(G$140)&lt;=YEAR(Assumptions!$G$30),'Phase II Pro Forma'!G160+'Phase II Pro Forma'!G152,0)</f>
        <v>0</v>
      </c>
      <c r="H163" s="139">
        <f ca="1">+IF(YEAR(H$140)&lt;=YEAR(Assumptions!$G$30),'Phase II Pro Forma'!H160+'Phase II Pro Forma'!H152,0)</f>
        <v>0</v>
      </c>
      <c r="I163" s="139">
        <f ca="1">+IF(YEAR(I$140)&lt;=YEAR(Assumptions!$G$30),'Phase II Pro Forma'!I160+'Phase II Pro Forma'!I152,0)</f>
        <v>-506622.04182887438</v>
      </c>
      <c r="J163" s="139">
        <f ca="1">+IF(YEAR(J$140)&lt;=YEAR(Assumptions!$G$30),'Phase II Pro Forma'!J160+'Phase II Pro Forma'!J152,0)</f>
        <v>5123310.7572673783</v>
      </c>
      <c r="K163" s="139">
        <f ca="1">+IF(YEAR(K$140)&lt;=YEAR(Assumptions!$G$30),'Phase II Pro Forma'!K160+'Phase II Pro Forma'!K152,0)</f>
        <v>5123310.764824098</v>
      </c>
      <c r="L163" s="139">
        <f ca="1">+IF(YEAR(L$140)&lt;=YEAR(Assumptions!$G$30),'Phase II Pro Forma'!L160+'Phase II Pro Forma'!L152,0)</f>
        <v>5620069.5225859452</v>
      </c>
      <c r="M163" s="139">
        <f ca="1">+IF(YEAR(M$140)&lt;=YEAR(Assumptions!$G$30),'Phase II Pro Forma'!M160+'Phase II Pro Forma'!M152,0)</f>
        <v>5620069.5305420607</v>
      </c>
      <c r="N163" s="139">
        <f ca="1">+IF(YEAR(N$140)&lt;=YEAR(Assumptions!$G$30),'Phase II Pro Forma'!N160+'Phase II Pro Forma'!N152,0)</f>
        <v>58821621.389858298</v>
      </c>
      <c r="O163" s="139">
        <f>+IF(YEAR(O$140)&lt;=YEAR(Assumptions!$G$30),'Phase II Pro Forma'!O160+'Phase II Pro Forma'!O152,0)</f>
        <v>0</v>
      </c>
      <c r="P163" s="139">
        <f>+IF(YEAR(P$140)&lt;=YEAR(Assumptions!$G$30),'Phase II Pro Forma'!P160+'Phase II Pro Forma'!P152,0)</f>
        <v>0</v>
      </c>
      <c r="Q163" s="139">
        <f>+IF(YEAR(Q$140)&lt;=YEAR(Assumptions!$G$30),'Phase II Pro Forma'!Q160+'Phase II Pro Forma'!Q152,0)</f>
        <v>0</v>
      </c>
      <c r="R163" s="139">
        <f>+IF(YEAR(R$140)&lt;=YEAR(Assumptions!$G$30),'Phase II Pro Forma'!R160+'Phase II Pro Forma'!R152,0)</f>
        <v>0</v>
      </c>
      <c r="S163" s="139">
        <f>+IF(YEAR(S$140)&lt;=YEAR(Assumptions!$G$30),'Phase II Pro Forma'!S160+'Phase II Pro Forma'!S152,0)</f>
        <v>0</v>
      </c>
      <c r="T163" s="139">
        <f>+IF(YEAR(T$140)&lt;=YEAR(Assumptions!$G$30),'Phase II Pro Forma'!T160+'Phase II Pro Forma'!T152,0)</f>
        <v>0</v>
      </c>
      <c r="U163" s="139">
        <f>+IF(YEAR(U$140)&lt;=YEAR(Assumptions!$G$30),'Phase II Pro Forma'!U160+'Phase II Pro Forma'!U152,0)</f>
        <v>0</v>
      </c>
      <c r="V163" s="139">
        <f>+IF(YEAR(V$140)&lt;=YEAR(Assumptions!$G$30),'Phase II Pro Forma'!V160+'Phase II Pro Forma'!V152,0)</f>
        <v>0</v>
      </c>
      <c r="W163" s="139">
        <f>+IF(YEAR(W$140)&lt;=YEAR(Assumptions!$G$30),'Phase II Pro Forma'!W160+'Phase II Pro Forma'!W152,0)</f>
        <v>0</v>
      </c>
      <c r="X163" s="139">
        <f>+IF(YEAR(X$140)&lt;=YEAR(Assumptions!$G$30),'Phase II Pro Forma'!X160+'Phase II Pro Forma'!X152,0)</f>
        <v>0</v>
      </c>
      <c r="Y163" s="139">
        <f>+IF(YEAR(Y$140)&lt;=YEAR(Assumptions!$G$30),'Phase II Pro Forma'!Y160+'Phase II Pro Forma'!Y152,0)</f>
        <v>0</v>
      </c>
      <c r="Z163" s="139">
        <f>+IF(YEAR(Z$140)&lt;=YEAR(Assumptions!$G$30),'Phase II Pro Forma'!Z160+'Phase II Pro Forma'!Z152,0)</f>
        <v>0</v>
      </c>
    </row>
    <row r="165" spans="2:26" ht="15.5">
      <c r="B165" s="37" t="s">
        <v>698</v>
      </c>
      <c r="C165" s="38"/>
      <c r="D165" s="38"/>
      <c r="E165" s="38"/>
      <c r="F165" s="136"/>
      <c r="G165" s="136"/>
      <c r="H165" s="136"/>
      <c r="I165" s="136"/>
      <c r="J165" s="136"/>
      <c r="K165" s="136"/>
      <c r="L165" s="136"/>
      <c r="M165" s="136"/>
      <c r="N165" s="136"/>
      <c r="O165" s="136"/>
      <c r="P165" s="136"/>
      <c r="Q165" s="136"/>
      <c r="R165" s="136"/>
      <c r="S165" s="136"/>
      <c r="T165" s="136"/>
      <c r="U165" s="136"/>
      <c r="V165" s="136"/>
      <c r="W165" s="136"/>
      <c r="X165" s="136"/>
      <c r="Y165" s="136"/>
      <c r="Z165" s="136"/>
    </row>
    <row r="167" spans="2:26" ht="15.5">
      <c r="B167" s="148" t="s">
        <v>26</v>
      </c>
      <c r="C167" s="149"/>
      <c r="D167" s="149"/>
      <c r="E167" s="149"/>
      <c r="F167" s="150">
        <f>+Assumptions!$G$22</f>
        <v>45291</v>
      </c>
      <c r="G167" s="150">
        <f>+EOMONTH(F167,12)</f>
        <v>45657</v>
      </c>
      <c r="H167" s="150">
        <f t="shared" ref="H167:Z167" si="99">+EOMONTH(G167,12)</f>
        <v>46022</v>
      </c>
      <c r="I167" s="150">
        <f t="shared" si="99"/>
        <v>46387</v>
      </c>
      <c r="J167" s="150">
        <f t="shared" si="99"/>
        <v>46752</v>
      </c>
      <c r="K167" s="150">
        <f t="shared" si="99"/>
        <v>47118</v>
      </c>
      <c r="L167" s="150">
        <f t="shared" si="99"/>
        <v>47483</v>
      </c>
      <c r="M167" s="150">
        <f t="shared" si="99"/>
        <v>47848</v>
      </c>
      <c r="N167" s="150">
        <f t="shared" si="99"/>
        <v>48213</v>
      </c>
      <c r="O167" s="150">
        <f t="shared" si="99"/>
        <v>48579</v>
      </c>
      <c r="P167" s="150">
        <f t="shared" si="99"/>
        <v>48944</v>
      </c>
      <c r="Q167" s="150">
        <f t="shared" si="99"/>
        <v>49309</v>
      </c>
      <c r="R167" s="150">
        <f t="shared" si="99"/>
        <v>49674</v>
      </c>
      <c r="S167" s="150">
        <f t="shared" si="99"/>
        <v>50040</v>
      </c>
      <c r="T167" s="150">
        <f t="shared" si="99"/>
        <v>50405</v>
      </c>
      <c r="U167" s="150">
        <f t="shared" si="99"/>
        <v>50770</v>
      </c>
      <c r="V167" s="150">
        <f t="shared" si="99"/>
        <v>51135</v>
      </c>
      <c r="W167" s="150">
        <f t="shared" si="99"/>
        <v>51501</v>
      </c>
      <c r="X167" s="150">
        <f t="shared" si="99"/>
        <v>51866</v>
      </c>
      <c r="Y167" s="150">
        <f t="shared" si="99"/>
        <v>52231</v>
      </c>
      <c r="Z167" s="150">
        <f t="shared" si="99"/>
        <v>52596</v>
      </c>
    </row>
    <row r="168" spans="2:26">
      <c r="B168" s="33" t="s">
        <v>691</v>
      </c>
      <c r="C168" s="33"/>
      <c r="D168" s="40"/>
      <c r="E168" s="40"/>
      <c r="F168" s="42">
        <f>+IF(AND(F167&gt;=Assumptions!$G$26,F167&lt;Assumptions!$G$28),Assumptions!$G$93/ROUNDUP((Assumptions!$G$27/12),0),0)</f>
        <v>0</v>
      </c>
      <c r="G168" s="42">
        <f>+IF(AND(G167&gt;=Assumptions!$G$26,G167&lt;Assumptions!$G$28),Assumptions!$G$93/ROUNDUP((Assumptions!$G$27/12),0),0)</f>
        <v>0</v>
      </c>
      <c r="H168" s="42">
        <f>+IF(AND(H167&gt;=Assumptions!$G$26,H167&lt;Assumptions!$G$28),Assumptions!$G$93/ROUNDUP((Assumptions!$G$27/12),0),0)</f>
        <v>0</v>
      </c>
      <c r="I168" s="42">
        <f>+IF(AND(I167&gt;=Assumptions!$G$26,I167&lt;Assumptions!$G$28),Assumptions!$G$93/ROUNDUP((Assumptions!$G$27/12),0),0)</f>
        <v>4.9999999999999998E-7</v>
      </c>
      <c r="J168" s="42">
        <f>+IF(AND(J167&gt;=Assumptions!$G$26,J167&lt;Assumptions!$G$28),Assumptions!$G$93/ROUNDUP((Assumptions!$G$27/12),0),0)</f>
        <v>4.9999999999999998E-7</v>
      </c>
      <c r="K168" s="42">
        <f>+IF(AND(K167&gt;=Assumptions!$G$26,K167&lt;Assumptions!$G$28),Assumptions!$G$93/ROUNDUP((Assumptions!$G$27/12),0),0)</f>
        <v>0</v>
      </c>
      <c r="L168" s="42">
        <f>+IF(AND(L167&gt;=Assumptions!$G$26,L167&lt;Assumptions!$G$28),Assumptions!$G$93/ROUNDUP((Assumptions!$G$27/12),0),0)</f>
        <v>0</v>
      </c>
      <c r="M168" s="42">
        <f>+IF(AND(M167&gt;=Assumptions!$G$26,M167&lt;Assumptions!$G$28),Assumptions!$G$93/ROUNDUP((Assumptions!$G$27/12),0),0)</f>
        <v>0</v>
      </c>
      <c r="N168" s="42">
        <f>+IF(AND(N167&gt;=Assumptions!$G$26,N167&lt;Assumptions!$G$28),Assumptions!$G$93/ROUNDUP((Assumptions!$G$27/12),0),0)</f>
        <v>0</v>
      </c>
      <c r="O168" s="42">
        <f>+IF(AND(O167&gt;=Assumptions!$G$26,O167&lt;Assumptions!$G$28),Assumptions!$G$93/ROUNDUP((Assumptions!$G$27/12),0),0)</f>
        <v>0</v>
      </c>
      <c r="P168" s="42">
        <f>+IF(AND(P167&gt;=Assumptions!$G$26,P167&lt;Assumptions!$G$28),Assumptions!$G$93/ROUNDUP((Assumptions!$G$27/12),0),0)</f>
        <v>0</v>
      </c>
      <c r="Q168" s="42">
        <f>+IF(AND(Q167&gt;=Assumptions!$G$26,Q167&lt;Assumptions!$G$28),Assumptions!$G$93/ROUNDUP((Assumptions!$G$27/12),0),0)</f>
        <v>0</v>
      </c>
      <c r="R168" s="42">
        <f>+IF(AND(R167&gt;=Assumptions!$G$26,R167&lt;Assumptions!$G$28),Assumptions!$G$93/ROUNDUP((Assumptions!$G$27/12),0),0)</f>
        <v>0</v>
      </c>
      <c r="S168" s="42">
        <f>+IF(AND(S167&gt;=Assumptions!$G$26,S167&lt;Assumptions!$G$28),Assumptions!$G$93/ROUNDUP((Assumptions!$G$27/12),0),0)</f>
        <v>0</v>
      </c>
      <c r="T168" s="42">
        <f>+IF(AND(T167&gt;=Assumptions!$G$26,T167&lt;Assumptions!$G$28),Assumptions!$G$93/ROUNDUP((Assumptions!$G$27/12),0),0)</f>
        <v>0</v>
      </c>
      <c r="U168" s="42">
        <f>+IF(AND(U167&gt;=Assumptions!$G$26,U167&lt;Assumptions!$G$28),Assumptions!$G$93/ROUNDUP((Assumptions!$G$27/12),0),0)</f>
        <v>0</v>
      </c>
      <c r="V168" s="42">
        <f>+IF(AND(V167&gt;=Assumptions!$G$26,V167&lt;Assumptions!$G$28),Assumptions!$G$93/ROUNDUP((Assumptions!$G$27/12),0),0)</f>
        <v>0</v>
      </c>
      <c r="W168" s="42">
        <f>+IF(AND(W167&gt;=Assumptions!$G$26,W167&lt;Assumptions!$G$28),Assumptions!$G$93/ROUNDUP((Assumptions!$G$27/12),0),0)</f>
        <v>0</v>
      </c>
      <c r="X168" s="42">
        <f>+IF(AND(X167&gt;=Assumptions!$G$26,X167&lt;Assumptions!$G$28),Assumptions!$G$93/ROUNDUP((Assumptions!$G$27/12),0),0)</f>
        <v>0</v>
      </c>
      <c r="Y168" s="42">
        <f>+IF(AND(Y167&gt;=Assumptions!$G$26,Y167&lt;Assumptions!$G$28),Assumptions!$G$93/ROUNDUP((Assumptions!$G$27/12),0),0)</f>
        <v>0</v>
      </c>
      <c r="Z168" s="42">
        <f>+IF(AND(Z167&gt;=Assumptions!$G$26,Z167&lt;Assumptions!$G$28),Assumptions!$G$93/ROUNDUP((Assumptions!$G$27/12),0),0)</f>
        <v>0</v>
      </c>
    </row>
    <row r="169" spans="2:26">
      <c r="B169" s="33" t="s">
        <v>290</v>
      </c>
      <c r="C169" s="33"/>
      <c r="D169" s="40"/>
      <c r="E169" s="40"/>
      <c r="F169" s="42">
        <f>+D169+F168</f>
        <v>0</v>
      </c>
      <c r="G169" s="42">
        <f t="shared" ref="G169:Z169" si="100">+F169+G168</f>
        <v>0</v>
      </c>
      <c r="H169" s="42">
        <f t="shared" si="100"/>
        <v>0</v>
      </c>
      <c r="I169" s="42">
        <f t="shared" si="100"/>
        <v>4.9999999999999998E-7</v>
      </c>
      <c r="J169" s="42">
        <f t="shared" si="100"/>
        <v>9.9999999999999995E-7</v>
      </c>
      <c r="K169" s="42">
        <f t="shared" si="100"/>
        <v>9.9999999999999995E-7</v>
      </c>
      <c r="L169" s="42">
        <f t="shared" si="100"/>
        <v>9.9999999999999995E-7</v>
      </c>
      <c r="M169" s="42">
        <f t="shared" si="100"/>
        <v>9.9999999999999995E-7</v>
      </c>
      <c r="N169" s="42">
        <f t="shared" si="100"/>
        <v>9.9999999999999995E-7</v>
      </c>
      <c r="O169" s="42">
        <f t="shared" si="100"/>
        <v>9.9999999999999995E-7</v>
      </c>
      <c r="P169" s="42">
        <f t="shared" si="100"/>
        <v>9.9999999999999995E-7</v>
      </c>
      <c r="Q169" s="42">
        <f t="shared" si="100"/>
        <v>9.9999999999999995E-7</v>
      </c>
      <c r="R169" s="42">
        <f t="shared" si="100"/>
        <v>9.9999999999999995E-7</v>
      </c>
      <c r="S169" s="42">
        <f t="shared" si="100"/>
        <v>9.9999999999999995E-7</v>
      </c>
      <c r="T169" s="42">
        <f t="shared" si="100"/>
        <v>9.9999999999999995E-7</v>
      </c>
      <c r="U169" s="42">
        <f t="shared" si="100"/>
        <v>9.9999999999999995E-7</v>
      </c>
      <c r="V169" s="42">
        <f t="shared" si="100"/>
        <v>9.9999999999999995E-7</v>
      </c>
      <c r="W169" s="42">
        <f t="shared" si="100"/>
        <v>9.9999999999999995E-7</v>
      </c>
      <c r="X169" s="42">
        <f t="shared" si="100"/>
        <v>9.9999999999999995E-7</v>
      </c>
      <c r="Y169" s="42">
        <f t="shared" si="100"/>
        <v>9.9999999999999995E-7</v>
      </c>
      <c r="Z169" s="42">
        <f t="shared" si="100"/>
        <v>9.9999999999999995E-7</v>
      </c>
    </row>
    <row r="170" spans="2:26">
      <c r="B170" s="33" t="s">
        <v>284</v>
      </c>
      <c r="C170" s="33"/>
      <c r="D170" s="42"/>
      <c r="E170" s="42"/>
      <c r="F170" s="108">
        <f t="shared" ref="F170:J170" si="101">+F169/SUM($F168:$Z168)</f>
        <v>0</v>
      </c>
      <c r="G170" s="108">
        <f t="shared" si="101"/>
        <v>0</v>
      </c>
      <c r="H170" s="108">
        <f t="shared" si="101"/>
        <v>0</v>
      </c>
      <c r="I170" s="108">
        <f t="shared" si="101"/>
        <v>0.5</v>
      </c>
      <c r="J170" s="108">
        <f t="shared" si="101"/>
        <v>1</v>
      </c>
      <c r="K170" s="108">
        <f>+K169/SUM($F168:$Z168)</f>
        <v>1</v>
      </c>
      <c r="L170" s="108">
        <f t="shared" ref="L170:Z170" si="102">+L169/SUM($F168:$Z168)</f>
        <v>1</v>
      </c>
      <c r="M170" s="108">
        <f t="shared" si="102"/>
        <v>1</v>
      </c>
      <c r="N170" s="108">
        <f t="shared" si="102"/>
        <v>1</v>
      </c>
      <c r="O170" s="108">
        <f t="shared" si="102"/>
        <v>1</v>
      </c>
      <c r="P170" s="108">
        <f t="shared" si="102"/>
        <v>1</v>
      </c>
      <c r="Q170" s="108">
        <f t="shared" si="102"/>
        <v>1</v>
      </c>
      <c r="R170" s="108">
        <f t="shared" si="102"/>
        <v>1</v>
      </c>
      <c r="S170" s="108">
        <f t="shared" si="102"/>
        <v>1</v>
      </c>
      <c r="T170" s="108">
        <f t="shared" si="102"/>
        <v>1</v>
      </c>
      <c r="U170" s="108">
        <f t="shared" si="102"/>
        <v>1</v>
      </c>
      <c r="V170" s="108">
        <f t="shared" si="102"/>
        <v>1</v>
      </c>
      <c r="W170" s="108">
        <f t="shared" si="102"/>
        <v>1</v>
      </c>
      <c r="X170" s="108">
        <f t="shared" si="102"/>
        <v>1</v>
      </c>
      <c r="Y170" s="108">
        <f t="shared" si="102"/>
        <v>1</v>
      </c>
      <c r="Z170" s="108">
        <f t="shared" si="102"/>
        <v>1</v>
      </c>
    </row>
    <row r="171" spans="2:26">
      <c r="B171" s="33"/>
      <c r="C171" s="33"/>
      <c r="D171" s="42"/>
      <c r="E171" s="42"/>
      <c r="F171" s="108"/>
      <c r="G171" s="108"/>
      <c r="H171" s="108"/>
      <c r="I171" s="108"/>
      <c r="J171" s="108"/>
      <c r="K171" s="108"/>
      <c r="L171" s="108"/>
      <c r="M171" s="108"/>
      <c r="N171" s="108"/>
      <c r="O171" s="108"/>
      <c r="P171" s="108"/>
      <c r="Q171" s="108"/>
      <c r="R171" s="108"/>
      <c r="S171" s="108"/>
      <c r="T171" s="108"/>
      <c r="U171" s="108"/>
      <c r="V171" s="108"/>
      <c r="W171" s="108"/>
      <c r="X171" s="108"/>
      <c r="Y171" s="108"/>
      <c r="Z171" s="108"/>
    </row>
    <row r="172" spans="2:26">
      <c r="B172" s="33" t="s">
        <v>287</v>
      </c>
      <c r="F172" s="34">
        <f>+IF(F2=1,Assumptions!$G$118,IF(F2=2,Assumptions!$G$120,IF(F2&gt;2,Assumptions!$G$97,0)))</f>
        <v>0</v>
      </c>
      <c r="G172" s="34">
        <f>+IF(G2=1,Assumptions!$G$118,IF(G2=2,Assumptions!$G$120,IF(G2&gt;2,Assumptions!$G$97,0)))</f>
        <v>0</v>
      </c>
      <c r="H172" s="34">
        <f>+IF(H2=1,Assumptions!$G$118,IF(H2=2,Assumptions!$G$120,IF(H2&gt;2,Assumptions!$G$97,0)))</f>
        <v>0</v>
      </c>
      <c r="I172" s="34">
        <f>+IF(I2=1,Assumptions!$G$118,IF(I2=2,Assumptions!$G$120,IF(I2&gt;2,Assumptions!$G$97,0)))</f>
        <v>125</v>
      </c>
      <c r="J172" s="34">
        <f>+IF(J2=1,Assumptions!$G$118,IF(J2=2,Assumptions!$G$120,IF(J2&gt;2,Assumptions!$G$97,0)))</f>
        <v>130</v>
      </c>
      <c r="K172" s="34">
        <f>+IF(K2=1,Assumptions!$G$118,IF(K2=2,Assumptions!$G$120,IF(K2&gt;2,Assumptions!$G$97,0)))</f>
        <v>135</v>
      </c>
      <c r="L172" s="34">
        <f>+IF(L2=1,Assumptions!$G$118,IF(L2=2,Assumptions!$G$120,IF(L2&gt;2,Assumptions!$G$97,0)))</f>
        <v>135</v>
      </c>
      <c r="M172" s="34">
        <f>+IF(M2=1,Assumptions!$G$118,IF(M2=2,Assumptions!$G$120,IF(M2&gt;2,Assumptions!$G$97,0)))</f>
        <v>135</v>
      </c>
      <c r="N172" s="34">
        <f>+IF(N2=1,Assumptions!$G$118,IF(N2=2,Assumptions!$G$120,IF(N2&gt;2,Assumptions!$G$97,0)))</f>
        <v>135</v>
      </c>
      <c r="O172" s="34">
        <f>+IF(O2=1,Assumptions!$G$118,IF(O2=2,Assumptions!$G$120,IF(O2&gt;2,Assumptions!$G$97,0)))</f>
        <v>135</v>
      </c>
      <c r="P172" s="34">
        <f>+IF(P2=1,Assumptions!$G$118,IF(P2=2,Assumptions!$G$120,IF(P2&gt;2,Assumptions!$G$97,0)))</f>
        <v>135</v>
      </c>
      <c r="Q172" s="34">
        <f>+IF(Q2=1,Assumptions!$G$118,IF(Q2=2,Assumptions!$G$120,IF(Q2&gt;2,Assumptions!$G$97,0)))</f>
        <v>135</v>
      </c>
      <c r="R172" s="34">
        <f>+IF(R2=1,Assumptions!$G$118,IF(R2=2,Assumptions!$G$120,IF(R2&gt;2,Assumptions!$G$97,0)))</f>
        <v>135</v>
      </c>
      <c r="S172" s="34">
        <f>+IF(S2=1,Assumptions!$G$118,IF(S2=2,Assumptions!$G$120,IF(S2&gt;2,Assumptions!$G$97,0)))</f>
        <v>135</v>
      </c>
      <c r="T172" s="34">
        <f>+IF(T2=1,Assumptions!$G$118,IF(T2=2,Assumptions!$G$120,IF(T2&gt;2,Assumptions!$G$97,0)))</f>
        <v>135</v>
      </c>
      <c r="U172" s="34">
        <f>+IF(U2=1,Assumptions!$G$118,IF(U2=2,Assumptions!$G$120,IF(U2&gt;2,Assumptions!$G$97,0)))</f>
        <v>135</v>
      </c>
      <c r="V172" s="34">
        <f>+IF(V2=1,Assumptions!$G$118,IF(V2=2,Assumptions!$G$120,IF(V2&gt;2,Assumptions!$G$97,0)))</f>
        <v>135</v>
      </c>
      <c r="W172" s="34">
        <f>+IF(W2=1,Assumptions!$G$118,IF(W2=2,Assumptions!$G$120,IF(W2&gt;2,Assumptions!$G$97,0)))</f>
        <v>135</v>
      </c>
      <c r="X172" s="34">
        <f>+IF(X2=1,Assumptions!$G$118,IF(X2=2,Assumptions!$G$120,IF(X2&gt;2,Assumptions!$G$97,0)))</f>
        <v>135</v>
      </c>
      <c r="Y172" s="34">
        <f>+IF(Y2=1,Assumptions!$G$118,IF(Y2=2,Assumptions!$G$120,IF(Y2&gt;2,Assumptions!$G$97,0)))</f>
        <v>135</v>
      </c>
      <c r="Z172" s="34">
        <f>+IF(Z2=1,Assumptions!$G$118,IF(Z2=2,Assumptions!$G$120,IF(Z2&gt;2,Assumptions!$G$97,0)))</f>
        <v>135</v>
      </c>
    </row>
    <row r="173" spans="2:26">
      <c r="B173" s="33" t="s">
        <v>294</v>
      </c>
      <c r="C173" s="33"/>
      <c r="D173" s="42"/>
      <c r="E173" s="42"/>
      <c r="F173" s="108">
        <v>1</v>
      </c>
      <c r="G173" s="108">
        <f>+F173*(1+Assumptions!$O$67)</f>
        <v>1</v>
      </c>
      <c r="H173" s="108">
        <f>+G173*(1+Assumptions!$O$67)</f>
        <v>1</v>
      </c>
      <c r="I173" s="108">
        <f>+H173*(1+Assumptions!$O$67)</f>
        <v>1</v>
      </c>
      <c r="J173" s="108">
        <f>+I173*(1+Assumptions!$O$67)</f>
        <v>1</v>
      </c>
      <c r="K173" s="108">
        <f>+J173*(1+Assumptions!$O$67)</f>
        <v>1</v>
      </c>
      <c r="L173" s="108">
        <f>+K173*(1+Assumptions!$O$67)</f>
        <v>1</v>
      </c>
      <c r="M173" s="108">
        <f>+L173*(1+Assumptions!$O$67)</f>
        <v>1</v>
      </c>
      <c r="N173" s="108">
        <f>+M173*(1+Assumptions!$O$67)</f>
        <v>1</v>
      </c>
      <c r="O173" s="108">
        <f>+N173*(1+Assumptions!$O$67)</f>
        <v>1</v>
      </c>
      <c r="P173" s="108">
        <f>+O173*(1+Assumptions!$O$67)</f>
        <v>1</v>
      </c>
      <c r="Q173" s="108">
        <f>+P173*(1+Assumptions!$O$67)</f>
        <v>1</v>
      </c>
      <c r="R173" s="108">
        <f>+Q173*(1+Assumptions!$O$67)</f>
        <v>1</v>
      </c>
      <c r="S173" s="108">
        <f>+R173*(1+Assumptions!$O$67)</f>
        <v>1</v>
      </c>
      <c r="T173" s="108">
        <f>+S173*(1+Assumptions!$O$67)</f>
        <v>1</v>
      </c>
      <c r="U173" s="108">
        <f>+T173*(1+Assumptions!$O$67)</f>
        <v>1</v>
      </c>
      <c r="V173" s="108">
        <f>+U173*(1+Assumptions!$O$67)</f>
        <v>1</v>
      </c>
      <c r="W173" s="108">
        <f>+V173*(1+Assumptions!$O$67)</f>
        <v>1</v>
      </c>
      <c r="X173" s="108">
        <f>+W173*(1+Assumptions!$O$67)</f>
        <v>1</v>
      </c>
      <c r="Y173" s="108">
        <f>+X173*(1+Assumptions!$O$67)</f>
        <v>1</v>
      </c>
      <c r="Z173" s="108">
        <f>+Y173*(1+Assumptions!$O$67)</f>
        <v>1</v>
      </c>
    </row>
    <row r="174" spans="2:26">
      <c r="B174" s="33" t="s">
        <v>288</v>
      </c>
      <c r="C174" s="33"/>
      <c r="D174" s="42"/>
      <c r="E174" s="42"/>
      <c r="F174" s="34">
        <f>+F172*F173</f>
        <v>0</v>
      </c>
      <c r="G174" s="34">
        <f t="shared" ref="G174:Z174" si="103">+G172*G173</f>
        <v>0</v>
      </c>
      <c r="H174" s="34">
        <f t="shared" si="103"/>
        <v>0</v>
      </c>
      <c r="I174" s="34">
        <f t="shared" si="103"/>
        <v>125</v>
      </c>
      <c r="J174" s="34">
        <f t="shared" si="103"/>
        <v>130</v>
      </c>
      <c r="K174" s="34">
        <f t="shared" si="103"/>
        <v>135</v>
      </c>
      <c r="L174" s="34">
        <f t="shared" si="103"/>
        <v>135</v>
      </c>
      <c r="M174" s="34">
        <f t="shared" si="103"/>
        <v>135</v>
      </c>
      <c r="N174" s="34">
        <f t="shared" si="103"/>
        <v>135</v>
      </c>
      <c r="O174" s="34">
        <f t="shared" si="103"/>
        <v>135</v>
      </c>
      <c r="P174" s="34">
        <f t="shared" si="103"/>
        <v>135</v>
      </c>
      <c r="Q174" s="34">
        <f t="shared" si="103"/>
        <v>135</v>
      </c>
      <c r="R174" s="34">
        <f t="shared" si="103"/>
        <v>135</v>
      </c>
      <c r="S174" s="34">
        <f t="shared" si="103"/>
        <v>135</v>
      </c>
      <c r="T174" s="34">
        <f t="shared" si="103"/>
        <v>135</v>
      </c>
      <c r="U174" s="34">
        <f t="shared" si="103"/>
        <v>135</v>
      </c>
      <c r="V174" s="34">
        <f t="shared" si="103"/>
        <v>135</v>
      </c>
      <c r="W174" s="34">
        <f t="shared" si="103"/>
        <v>135</v>
      </c>
      <c r="X174" s="34">
        <f t="shared" si="103"/>
        <v>135</v>
      </c>
      <c r="Y174" s="34">
        <f t="shared" si="103"/>
        <v>135</v>
      </c>
      <c r="Z174" s="34">
        <f t="shared" si="103"/>
        <v>135</v>
      </c>
    </row>
    <row r="175" spans="2:26">
      <c r="B175" s="33"/>
    </row>
    <row r="176" spans="2:26">
      <c r="B176" s="33" t="s">
        <v>147</v>
      </c>
      <c r="F176" s="108">
        <f>+IF(F2=1,Assumptions!$G$117,IF(F2=2,Assumptions!$G$119,IF(F2&gt;2,Assumptions!$G$96,0)))</f>
        <v>0</v>
      </c>
      <c r="G176" s="108">
        <f>+IF(G2=1,Assumptions!$G$117,IF(G2=2,Assumptions!$G$119,IF(G2&gt;2,Assumptions!$G$96,0)))</f>
        <v>0</v>
      </c>
      <c r="H176" s="108">
        <f>+IF(H2=1,Assumptions!$G$117,IF(H2=2,Assumptions!$G$119,IF(H2&gt;2,Assumptions!$G$96,0)))</f>
        <v>0</v>
      </c>
      <c r="I176" s="108">
        <f>+IF(I2=1,Assumptions!$G$117,IF(I2=2,Assumptions!$G$119,IF(I2&gt;2,Assumptions!$G$96,0)))</f>
        <v>0.65</v>
      </c>
      <c r="J176" s="108">
        <f>+IF(J2=1,Assumptions!$G$117,IF(J2=2,Assumptions!$G$119,IF(J2&gt;2,Assumptions!$G$96,0)))</f>
        <v>0.7</v>
      </c>
      <c r="K176" s="108">
        <f>+IF(K2=1,Assumptions!$G$117,IF(K2=2,Assumptions!$G$119,IF(K2&gt;2,Assumptions!$G$96,0)))</f>
        <v>0.7</v>
      </c>
      <c r="L176" s="108">
        <f>+IF(L2=1,Assumptions!$G$117,IF(L2=2,Assumptions!$G$119,IF(L2&gt;2,Assumptions!$G$96,0)))</f>
        <v>0.7</v>
      </c>
      <c r="M176" s="108">
        <f>+IF(M2=1,Assumptions!$G$117,IF(M2=2,Assumptions!$G$119,IF(M2&gt;2,Assumptions!$G$96,0)))</f>
        <v>0.7</v>
      </c>
      <c r="N176" s="108">
        <f>+IF(N2=1,Assumptions!$G$117,IF(N2=2,Assumptions!$G$119,IF(N2&gt;2,Assumptions!$G$96,0)))</f>
        <v>0.7</v>
      </c>
      <c r="O176" s="108">
        <f>+IF(O2=1,Assumptions!$G$117,IF(O2=2,Assumptions!$G$119,IF(O2&gt;2,Assumptions!$G$96,0)))</f>
        <v>0.7</v>
      </c>
      <c r="P176" s="108">
        <f>+IF(P2=1,Assumptions!$G$117,IF(P2=2,Assumptions!$G$119,IF(P2&gt;2,Assumptions!$G$96,0)))</f>
        <v>0.7</v>
      </c>
      <c r="Q176" s="108">
        <f>+IF(Q2=1,Assumptions!$G$117,IF(Q2=2,Assumptions!$G$119,IF(Q2&gt;2,Assumptions!$G$96,0)))</f>
        <v>0.7</v>
      </c>
      <c r="R176" s="108">
        <f>+IF(R2=1,Assumptions!$G$117,IF(R2=2,Assumptions!$G$119,IF(R2&gt;2,Assumptions!$G$96,0)))</f>
        <v>0.7</v>
      </c>
      <c r="S176" s="108">
        <f>+IF(S2=1,Assumptions!$G$117,IF(S2=2,Assumptions!$G$119,IF(S2&gt;2,Assumptions!$G$96,0)))</f>
        <v>0.7</v>
      </c>
      <c r="T176" s="108">
        <f>+IF(T2=1,Assumptions!$G$117,IF(T2=2,Assumptions!$G$119,IF(T2&gt;2,Assumptions!$G$96,0)))</f>
        <v>0.7</v>
      </c>
      <c r="U176" s="108">
        <f>+IF(U2=1,Assumptions!$G$117,IF(U2=2,Assumptions!$G$119,IF(U2&gt;2,Assumptions!$G$96,0)))</f>
        <v>0.7</v>
      </c>
      <c r="V176" s="108">
        <f>+IF(V2=1,Assumptions!$G$117,IF(V2=2,Assumptions!$G$119,IF(V2&gt;2,Assumptions!$G$96,0)))</f>
        <v>0.7</v>
      </c>
      <c r="W176" s="108">
        <f>+IF(W2=1,Assumptions!$G$117,IF(W2=2,Assumptions!$G$119,IF(W2&gt;2,Assumptions!$G$96,0)))</f>
        <v>0.7</v>
      </c>
      <c r="X176" s="108">
        <f>+IF(X2=1,Assumptions!$G$117,IF(X2=2,Assumptions!$G$119,IF(X2&gt;2,Assumptions!$G$96,0)))</f>
        <v>0.7</v>
      </c>
      <c r="Y176" s="108">
        <f>+IF(Y2=1,Assumptions!$G$117,IF(Y2=2,Assumptions!$G$119,IF(Y2&gt;2,Assumptions!$G$96,0)))</f>
        <v>0.7</v>
      </c>
      <c r="Z176" s="108">
        <f>+IF(Z2=1,Assumptions!$G$117,IF(Z2=2,Assumptions!$G$119,IF(Z2&gt;2,Assumptions!$G$96,0)))</f>
        <v>0.7</v>
      </c>
    </row>
    <row r="177" spans="2:26">
      <c r="B177" s="33" t="s">
        <v>146</v>
      </c>
      <c r="F177" s="34">
        <f>+F174*F176</f>
        <v>0</v>
      </c>
      <c r="G177" s="34">
        <f t="shared" ref="G177:Z177" si="104">+G174*G176</f>
        <v>0</v>
      </c>
      <c r="H177" s="34">
        <f t="shared" si="104"/>
        <v>0</v>
      </c>
      <c r="I177" s="34">
        <f t="shared" si="104"/>
        <v>81.25</v>
      </c>
      <c r="J177" s="34">
        <f t="shared" si="104"/>
        <v>91</v>
      </c>
      <c r="K177" s="34">
        <f t="shared" si="104"/>
        <v>94.5</v>
      </c>
      <c r="L177" s="34">
        <f t="shared" si="104"/>
        <v>94.5</v>
      </c>
      <c r="M177" s="34">
        <f t="shared" si="104"/>
        <v>94.5</v>
      </c>
      <c r="N177" s="34">
        <f t="shared" si="104"/>
        <v>94.5</v>
      </c>
      <c r="O177" s="34">
        <f t="shared" si="104"/>
        <v>94.5</v>
      </c>
      <c r="P177" s="34">
        <f t="shared" si="104"/>
        <v>94.5</v>
      </c>
      <c r="Q177" s="34">
        <f t="shared" si="104"/>
        <v>94.5</v>
      </c>
      <c r="R177" s="34">
        <f t="shared" si="104"/>
        <v>94.5</v>
      </c>
      <c r="S177" s="34">
        <f t="shared" si="104"/>
        <v>94.5</v>
      </c>
      <c r="T177" s="34">
        <f t="shared" si="104"/>
        <v>94.5</v>
      </c>
      <c r="U177" s="34">
        <f t="shared" si="104"/>
        <v>94.5</v>
      </c>
      <c r="V177" s="34">
        <f t="shared" si="104"/>
        <v>94.5</v>
      </c>
      <c r="W177" s="34">
        <f t="shared" si="104"/>
        <v>94.5</v>
      </c>
      <c r="X177" s="34">
        <f t="shared" si="104"/>
        <v>94.5</v>
      </c>
      <c r="Y177" s="34">
        <f t="shared" si="104"/>
        <v>94.5</v>
      </c>
      <c r="Z177" s="34">
        <f t="shared" si="104"/>
        <v>94.5</v>
      </c>
    </row>
    <row r="178" spans="2:26">
      <c r="B178" s="137" t="s">
        <v>286</v>
      </c>
      <c r="C178" s="137"/>
      <c r="D178" s="137"/>
      <c r="E178" s="137"/>
      <c r="F178" s="129">
        <f>+F177*365.25*F169</f>
        <v>0</v>
      </c>
      <c r="G178" s="129">
        <f t="shared" ref="G178:Z178" si="105">+G177*365.25*G169</f>
        <v>0</v>
      </c>
      <c r="H178" s="129">
        <f t="shared" si="105"/>
        <v>0</v>
      </c>
      <c r="I178" s="129">
        <f t="shared" si="105"/>
        <v>1.483828125E-2</v>
      </c>
      <c r="J178" s="129">
        <f t="shared" si="105"/>
        <v>3.3237749999999996E-2</v>
      </c>
      <c r="K178" s="129">
        <f t="shared" si="105"/>
        <v>3.4516125000000002E-2</v>
      </c>
      <c r="L178" s="129">
        <f t="shared" si="105"/>
        <v>3.4516125000000002E-2</v>
      </c>
      <c r="M178" s="129">
        <f t="shared" si="105"/>
        <v>3.4516125000000002E-2</v>
      </c>
      <c r="N178" s="129">
        <f t="shared" si="105"/>
        <v>3.4516125000000002E-2</v>
      </c>
      <c r="O178" s="129">
        <f t="shared" si="105"/>
        <v>3.4516125000000002E-2</v>
      </c>
      <c r="P178" s="129">
        <f t="shared" si="105"/>
        <v>3.4516125000000002E-2</v>
      </c>
      <c r="Q178" s="129">
        <f t="shared" si="105"/>
        <v>3.4516125000000002E-2</v>
      </c>
      <c r="R178" s="129">
        <f t="shared" si="105"/>
        <v>3.4516125000000002E-2</v>
      </c>
      <c r="S178" s="129">
        <f t="shared" si="105"/>
        <v>3.4516125000000002E-2</v>
      </c>
      <c r="T178" s="129">
        <f t="shared" si="105"/>
        <v>3.4516125000000002E-2</v>
      </c>
      <c r="U178" s="129">
        <f t="shared" si="105"/>
        <v>3.4516125000000002E-2</v>
      </c>
      <c r="V178" s="129">
        <f t="shared" si="105"/>
        <v>3.4516125000000002E-2</v>
      </c>
      <c r="W178" s="129">
        <f t="shared" si="105"/>
        <v>3.4516125000000002E-2</v>
      </c>
      <c r="X178" s="129">
        <f t="shared" si="105"/>
        <v>3.4516125000000002E-2</v>
      </c>
      <c r="Y178" s="129">
        <f t="shared" si="105"/>
        <v>3.4516125000000002E-2</v>
      </c>
      <c r="Z178" s="129">
        <f t="shared" si="105"/>
        <v>3.4516125000000002E-2</v>
      </c>
    </row>
    <row r="180" spans="2:26">
      <c r="B180" s="33" t="s">
        <v>292</v>
      </c>
      <c r="F180" s="34">
        <f>+Assumptions!$G$108*'Phase II Pro Forma'!F173*'Phase II Pro Forma'!F170</f>
        <v>0</v>
      </c>
      <c r="G180" s="34">
        <f>+Assumptions!$G$108*'Phase II Pro Forma'!G173*'Phase II Pro Forma'!G170</f>
        <v>0</v>
      </c>
      <c r="H180" s="34">
        <f>+Assumptions!$G$108*'Phase II Pro Forma'!H173*'Phase II Pro Forma'!H170</f>
        <v>0</v>
      </c>
      <c r="I180" s="34">
        <f>+Assumptions!$G$108*'Phase II Pro Forma'!I173*'Phase II Pro Forma'!I170</f>
        <v>5.112625E-3</v>
      </c>
      <c r="J180" s="34">
        <f>+Assumptions!$G$108*'Phase II Pro Forma'!J173*'Phase II Pro Forma'!J170</f>
        <v>1.022525E-2</v>
      </c>
      <c r="K180" s="34">
        <f>+Assumptions!$G$108*'Phase II Pro Forma'!K173*'Phase II Pro Forma'!K170</f>
        <v>1.022525E-2</v>
      </c>
      <c r="L180" s="34">
        <f>+Assumptions!$G$108*'Phase II Pro Forma'!L173*'Phase II Pro Forma'!L170</f>
        <v>1.022525E-2</v>
      </c>
      <c r="M180" s="34">
        <f>+Assumptions!$G$108*'Phase II Pro Forma'!M173*'Phase II Pro Forma'!M170</f>
        <v>1.022525E-2</v>
      </c>
      <c r="N180" s="34">
        <f>+Assumptions!$G$108*'Phase II Pro Forma'!N173*'Phase II Pro Forma'!N170</f>
        <v>1.022525E-2</v>
      </c>
      <c r="O180" s="34">
        <f>+Assumptions!$G$108*'Phase II Pro Forma'!O173*'Phase II Pro Forma'!O170</f>
        <v>1.022525E-2</v>
      </c>
      <c r="P180" s="34">
        <f>+Assumptions!$G$108*'Phase II Pro Forma'!P173*'Phase II Pro Forma'!P170</f>
        <v>1.022525E-2</v>
      </c>
      <c r="Q180" s="34">
        <f>+Assumptions!$G$108*'Phase II Pro Forma'!Q173*'Phase II Pro Forma'!Q170</f>
        <v>1.022525E-2</v>
      </c>
      <c r="R180" s="34">
        <f>+Assumptions!$G$108*'Phase II Pro Forma'!R173*'Phase II Pro Forma'!R170</f>
        <v>1.022525E-2</v>
      </c>
      <c r="S180" s="34">
        <f>+Assumptions!$G$108*'Phase II Pro Forma'!S173*'Phase II Pro Forma'!S170</f>
        <v>1.022525E-2</v>
      </c>
      <c r="T180" s="34">
        <f>+Assumptions!$G$108*'Phase II Pro Forma'!T173*'Phase II Pro Forma'!T170</f>
        <v>1.022525E-2</v>
      </c>
      <c r="U180" s="34">
        <f>+Assumptions!$G$108*'Phase II Pro Forma'!U173*'Phase II Pro Forma'!U170</f>
        <v>1.022525E-2</v>
      </c>
      <c r="V180" s="34">
        <f>+Assumptions!$G$108*'Phase II Pro Forma'!V173*'Phase II Pro Forma'!V170</f>
        <v>1.022525E-2</v>
      </c>
      <c r="W180" s="34">
        <f>+Assumptions!$G$108*'Phase II Pro Forma'!W173*'Phase II Pro Forma'!W170</f>
        <v>1.022525E-2</v>
      </c>
      <c r="X180" s="34">
        <f>+Assumptions!$G$108*'Phase II Pro Forma'!X173*'Phase II Pro Forma'!X170</f>
        <v>1.022525E-2</v>
      </c>
      <c r="Y180" s="34">
        <f>+Assumptions!$G$108*'Phase II Pro Forma'!Y173*'Phase II Pro Forma'!Y170</f>
        <v>1.022525E-2</v>
      </c>
      <c r="Z180" s="34">
        <f>+Assumptions!$G$108*'Phase II Pro Forma'!Z173*'Phase II Pro Forma'!Z170</f>
        <v>1.022525E-2</v>
      </c>
    </row>
    <row r="181" spans="2:26">
      <c r="B181" s="137" t="s">
        <v>295</v>
      </c>
      <c r="C181" s="137"/>
      <c r="D181" s="137"/>
      <c r="E181" s="137"/>
      <c r="F181" s="129">
        <f>+F178+F180</f>
        <v>0</v>
      </c>
      <c r="G181" s="129">
        <f t="shared" ref="G181:Z181" si="106">+G178+G180</f>
        <v>0</v>
      </c>
      <c r="H181" s="129">
        <f t="shared" si="106"/>
        <v>0</v>
      </c>
      <c r="I181" s="129">
        <f t="shared" si="106"/>
        <v>1.9950906250000001E-2</v>
      </c>
      <c r="J181" s="129">
        <f t="shared" si="106"/>
        <v>4.3462999999999995E-2</v>
      </c>
      <c r="K181" s="129">
        <f t="shared" si="106"/>
        <v>4.4741375E-2</v>
      </c>
      <c r="L181" s="129">
        <f t="shared" si="106"/>
        <v>4.4741375E-2</v>
      </c>
      <c r="M181" s="129">
        <f t="shared" si="106"/>
        <v>4.4741375E-2</v>
      </c>
      <c r="N181" s="129">
        <f t="shared" si="106"/>
        <v>4.4741375E-2</v>
      </c>
      <c r="O181" s="129">
        <f t="shared" si="106"/>
        <v>4.4741375E-2</v>
      </c>
      <c r="P181" s="129">
        <f t="shared" si="106"/>
        <v>4.4741375E-2</v>
      </c>
      <c r="Q181" s="129">
        <f t="shared" si="106"/>
        <v>4.4741375E-2</v>
      </c>
      <c r="R181" s="129">
        <f t="shared" si="106"/>
        <v>4.4741375E-2</v>
      </c>
      <c r="S181" s="129">
        <f t="shared" si="106"/>
        <v>4.4741375E-2</v>
      </c>
      <c r="T181" s="129">
        <f t="shared" si="106"/>
        <v>4.4741375E-2</v>
      </c>
      <c r="U181" s="129">
        <f t="shared" si="106"/>
        <v>4.4741375E-2</v>
      </c>
      <c r="V181" s="129">
        <f t="shared" si="106"/>
        <v>4.4741375E-2</v>
      </c>
      <c r="W181" s="129">
        <f t="shared" si="106"/>
        <v>4.4741375E-2</v>
      </c>
      <c r="X181" s="129">
        <f t="shared" si="106"/>
        <v>4.4741375E-2</v>
      </c>
      <c r="Y181" s="129">
        <f t="shared" si="106"/>
        <v>4.4741375E-2</v>
      </c>
      <c r="Z181" s="129">
        <f t="shared" si="106"/>
        <v>4.4741375E-2</v>
      </c>
    </row>
    <row r="182" spans="2:26">
      <c r="B182" s="33"/>
      <c r="F182" s="34"/>
      <c r="G182" s="34"/>
      <c r="H182" s="34"/>
      <c r="I182" s="34"/>
      <c r="J182" s="34"/>
      <c r="K182" s="34"/>
      <c r="L182" s="34"/>
      <c r="M182" s="34"/>
      <c r="N182" s="34"/>
      <c r="O182" s="34"/>
      <c r="P182" s="34"/>
      <c r="Q182" s="34"/>
      <c r="R182" s="34"/>
      <c r="S182" s="34"/>
      <c r="T182" s="34"/>
      <c r="U182" s="34"/>
      <c r="V182" s="34"/>
      <c r="W182" s="34"/>
      <c r="X182" s="34"/>
      <c r="Y182" s="34"/>
      <c r="Z182" s="34"/>
    </row>
    <row r="183" spans="2:26">
      <c r="B183" s="33" t="s">
        <v>293</v>
      </c>
      <c r="F183" s="42">
        <f>+Assumptions!$G$115*'Phase II Pro Forma'!F173*'Phase II Pro Forma'!F170</f>
        <v>0</v>
      </c>
      <c r="G183" s="42">
        <f>+Assumptions!$G$115*'Phase II Pro Forma'!G173*'Phase II Pro Forma'!G170</f>
        <v>0</v>
      </c>
      <c r="H183" s="42">
        <f>+Assumptions!$G$115*'Phase II Pro Forma'!H173*'Phase II Pro Forma'!H170</f>
        <v>0</v>
      </c>
      <c r="I183" s="42">
        <f>+Assumptions!$G$115*'Phase II Pro Forma'!I173*'Phase II Pro Forma'!I170</f>
        <v>0</v>
      </c>
      <c r="J183" s="42">
        <f>+Assumptions!$G$115*'Phase II Pro Forma'!J173*'Phase II Pro Forma'!J170</f>
        <v>0</v>
      </c>
      <c r="K183" s="42">
        <f>+Assumptions!$G$115*'Phase II Pro Forma'!K173*'Phase II Pro Forma'!K170</f>
        <v>0</v>
      </c>
      <c r="L183" s="42">
        <f>+Assumptions!$G$115*'Phase II Pro Forma'!L173*'Phase II Pro Forma'!L170</f>
        <v>0</v>
      </c>
      <c r="M183" s="42">
        <f>+Assumptions!$G$115*'Phase II Pro Forma'!M173*'Phase II Pro Forma'!M170</f>
        <v>0</v>
      </c>
      <c r="N183" s="42">
        <f>+Assumptions!$G$115*'Phase II Pro Forma'!N173*'Phase II Pro Forma'!N170</f>
        <v>0</v>
      </c>
      <c r="O183" s="42">
        <f>+Assumptions!$G$115*'Phase II Pro Forma'!O173*'Phase II Pro Forma'!O170</f>
        <v>0</v>
      </c>
      <c r="P183" s="42">
        <f>+Assumptions!$G$115*'Phase II Pro Forma'!P173*'Phase II Pro Forma'!P170</f>
        <v>0</v>
      </c>
      <c r="Q183" s="42">
        <f>+Assumptions!$G$115*'Phase II Pro Forma'!Q173*'Phase II Pro Forma'!Q170</f>
        <v>0</v>
      </c>
      <c r="R183" s="42">
        <f>+Assumptions!$G$115*'Phase II Pro Forma'!R173*'Phase II Pro Forma'!R170</f>
        <v>0</v>
      </c>
      <c r="S183" s="42">
        <f>+Assumptions!$G$115*'Phase II Pro Forma'!S173*'Phase II Pro Forma'!S170</f>
        <v>0</v>
      </c>
      <c r="T183" s="42">
        <f>+Assumptions!$G$115*'Phase II Pro Forma'!T173*'Phase II Pro Forma'!T170</f>
        <v>0</v>
      </c>
      <c r="U183" s="42">
        <f>+Assumptions!$G$115*'Phase II Pro Forma'!U173*'Phase II Pro Forma'!U170</f>
        <v>0</v>
      </c>
      <c r="V183" s="42">
        <f>+Assumptions!$G$115*'Phase II Pro Forma'!V173*'Phase II Pro Forma'!V170</f>
        <v>0</v>
      </c>
      <c r="W183" s="42">
        <f>+Assumptions!$G$115*'Phase II Pro Forma'!W173*'Phase II Pro Forma'!W170</f>
        <v>0</v>
      </c>
      <c r="X183" s="42">
        <f>+Assumptions!$G$115*'Phase II Pro Forma'!X173*'Phase II Pro Forma'!X170</f>
        <v>0</v>
      </c>
      <c r="Y183" s="42">
        <f>+Assumptions!$G$115*'Phase II Pro Forma'!Y173*'Phase II Pro Forma'!Y170</f>
        <v>0</v>
      </c>
      <c r="Z183" s="42">
        <f>+Assumptions!$G$115*'Phase II Pro Forma'!Z173*'Phase II Pro Forma'!Z170</f>
        <v>0</v>
      </c>
    </row>
    <row r="184" spans="2:26" s="157" customFormat="1">
      <c r="B184" s="137" t="s">
        <v>701</v>
      </c>
      <c r="C184" s="137"/>
      <c r="D184" s="137"/>
      <c r="E184" s="137"/>
      <c r="F184" s="129">
        <f>+F181+F183</f>
        <v>0</v>
      </c>
      <c r="G184" s="129">
        <f t="shared" ref="G184:Z184" si="107">+G181+G183</f>
        <v>0</v>
      </c>
      <c r="H184" s="129">
        <f t="shared" si="107"/>
        <v>0</v>
      </c>
      <c r="I184" s="129">
        <f t="shared" si="107"/>
        <v>1.9950906250000001E-2</v>
      </c>
      <c r="J184" s="129">
        <f t="shared" si="107"/>
        <v>4.3462999999999995E-2</v>
      </c>
      <c r="K184" s="129">
        <f t="shared" si="107"/>
        <v>4.4741375E-2</v>
      </c>
      <c r="L184" s="129">
        <f t="shared" si="107"/>
        <v>4.4741375E-2</v>
      </c>
      <c r="M184" s="129">
        <f t="shared" si="107"/>
        <v>4.4741375E-2</v>
      </c>
      <c r="N184" s="129">
        <f t="shared" si="107"/>
        <v>4.4741375E-2</v>
      </c>
      <c r="O184" s="129">
        <f t="shared" si="107"/>
        <v>4.4741375E-2</v>
      </c>
      <c r="P184" s="129">
        <f t="shared" si="107"/>
        <v>4.4741375E-2</v>
      </c>
      <c r="Q184" s="129">
        <f t="shared" si="107"/>
        <v>4.4741375E-2</v>
      </c>
      <c r="R184" s="129">
        <f t="shared" si="107"/>
        <v>4.4741375E-2</v>
      </c>
      <c r="S184" s="129">
        <f t="shared" si="107"/>
        <v>4.4741375E-2</v>
      </c>
      <c r="T184" s="129">
        <f t="shared" si="107"/>
        <v>4.4741375E-2</v>
      </c>
      <c r="U184" s="129">
        <f t="shared" si="107"/>
        <v>4.4741375E-2</v>
      </c>
      <c r="V184" s="129">
        <f t="shared" si="107"/>
        <v>4.4741375E-2</v>
      </c>
      <c r="W184" s="129">
        <f t="shared" si="107"/>
        <v>4.4741375E-2</v>
      </c>
      <c r="X184" s="129">
        <f t="shared" si="107"/>
        <v>4.4741375E-2</v>
      </c>
      <c r="Y184" s="129">
        <f t="shared" si="107"/>
        <v>4.4741375E-2</v>
      </c>
      <c r="Z184" s="129">
        <f t="shared" si="107"/>
        <v>4.4741375E-2</v>
      </c>
    </row>
    <row r="186" spans="2:26">
      <c r="B186" s="155" t="s">
        <v>138</v>
      </c>
    </row>
    <row r="187" spans="2:26">
      <c r="B187" s="64" t="s">
        <v>264</v>
      </c>
      <c r="D187" s="115">
        <f>+Assumptions!M101</f>
        <v>0.25</v>
      </c>
      <c r="E187" s="115"/>
      <c r="F187" s="34">
        <f>F$178*$D187</f>
        <v>0</v>
      </c>
      <c r="G187" s="34">
        <f t="shared" ref="G187:Z187" si="108">G$178*$D187</f>
        <v>0</v>
      </c>
      <c r="H187" s="34">
        <f t="shared" si="108"/>
        <v>0</v>
      </c>
      <c r="I187" s="34">
        <f t="shared" si="108"/>
        <v>3.7095703125E-3</v>
      </c>
      <c r="J187" s="34">
        <f t="shared" si="108"/>
        <v>8.3094374999999991E-3</v>
      </c>
      <c r="K187" s="34">
        <f t="shared" si="108"/>
        <v>8.6290312500000004E-3</v>
      </c>
      <c r="L187" s="34">
        <f t="shared" si="108"/>
        <v>8.6290312500000004E-3</v>
      </c>
      <c r="M187" s="34">
        <f t="shared" si="108"/>
        <v>8.6290312500000004E-3</v>
      </c>
      <c r="N187" s="34">
        <f t="shared" si="108"/>
        <v>8.6290312500000004E-3</v>
      </c>
      <c r="O187" s="34">
        <f t="shared" si="108"/>
        <v>8.6290312500000004E-3</v>
      </c>
      <c r="P187" s="34">
        <f t="shared" si="108"/>
        <v>8.6290312500000004E-3</v>
      </c>
      <c r="Q187" s="34">
        <f t="shared" si="108"/>
        <v>8.6290312500000004E-3</v>
      </c>
      <c r="R187" s="34">
        <f t="shared" si="108"/>
        <v>8.6290312500000004E-3</v>
      </c>
      <c r="S187" s="34">
        <f t="shared" si="108"/>
        <v>8.6290312500000004E-3</v>
      </c>
      <c r="T187" s="34">
        <f t="shared" si="108"/>
        <v>8.6290312500000004E-3</v>
      </c>
      <c r="U187" s="34">
        <f t="shared" si="108"/>
        <v>8.6290312500000004E-3</v>
      </c>
      <c r="V187" s="34">
        <f t="shared" si="108"/>
        <v>8.6290312500000004E-3</v>
      </c>
      <c r="W187" s="34">
        <f t="shared" si="108"/>
        <v>8.6290312500000004E-3</v>
      </c>
      <c r="X187" s="34">
        <f t="shared" si="108"/>
        <v>8.6290312500000004E-3</v>
      </c>
      <c r="Y187" s="34">
        <f t="shared" si="108"/>
        <v>8.6290312500000004E-3</v>
      </c>
      <c r="Z187" s="34">
        <f t="shared" si="108"/>
        <v>8.6290312500000004E-3</v>
      </c>
    </row>
    <row r="188" spans="2:26">
      <c r="B188" s="64" t="s">
        <v>291</v>
      </c>
      <c r="D188" s="115">
        <f>+Assumptions!M102</f>
        <v>0.7</v>
      </c>
      <c r="E188" s="115"/>
      <c r="F188" s="42">
        <f>F$180*$D188</f>
        <v>0</v>
      </c>
      <c r="G188" s="42">
        <f t="shared" ref="G188:Z188" si="109">G$180*$D188</f>
        <v>0</v>
      </c>
      <c r="H188" s="42">
        <f t="shared" si="109"/>
        <v>0</v>
      </c>
      <c r="I188" s="42">
        <f t="shared" si="109"/>
        <v>3.5788374999999998E-3</v>
      </c>
      <c r="J188" s="42">
        <f t="shared" si="109"/>
        <v>7.1576749999999996E-3</v>
      </c>
      <c r="K188" s="42">
        <f t="shared" si="109"/>
        <v>7.1576749999999996E-3</v>
      </c>
      <c r="L188" s="42">
        <f t="shared" si="109"/>
        <v>7.1576749999999996E-3</v>
      </c>
      <c r="M188" s="42">
        <f t="shared" si="109"/>
        <v>7.1576749999999996E-3</v>
      </c>
      <c r="N188" s="42">
        <f t="shared" si="109"/>
        <v>7.1576749999999996E-3</v>
      </c>
      <c r="O188" s="42">
        <f t="shared" si="109"/>
        <v>7.1576749999999996E-3</v>
      </c>
      <c r="P188" s="42">
        <f t="shared" si="109"/>
        <v>7.1576749999999996E-3</v>
      </c>
      <c r="Q188" s="42">
        <f t="shared" si="109"/>
        <v>7.1576749999999996E-3</v>
      </c>
      <c r="R188" s="42">
        <f t="shared" si="109"/>
        <v>7.1576749999999996E-3</v>
      </c>
      <c r="S188" s="42">
        <f t="shared" si="109"/>
        <v>7.1576749999999996E-3</v>
      </c>
      <c r="T188" s="42">
        <f t="shared" si="109"/>
        <v>7.1576749999999996E-3</v>
      </c>
      <c r="U188" s="42">
        <f t="shared" si="109"/>
        <v>7.1576749999999996E-3</v>
      </c>
      <c r="V188" s="42">
        <f t="shared" si="109"/>
        <v>7.1576749999999996E-3</v>
      </c>
      <c r="W188" s="42">
        <f t="shared" si="109"/>
        <v>7.1576749999999996E-3</v>
      </c>
      <c r="X188" s="42">
        <f t="shared" si="109"/>
        <v>7.1576749999999996E-3</v>
      </c>
      <c r="Y188" s="42">
        <f t="shared" si="109"/>
        <v>7.1576749999999996E-3</v>
      </c>
      <c r="Z188" s="42">
        <f t="shared" si="109"/>
        <v>7.1576749999999996E-3</v>
      </c>
    </row>
    <row r="189" spans="2:26">
      <c r="B189" s="155" t="s">
        <v>265</v>
      </c>
    </row>
    <row r="190" spans="2:26">
      <c r="B190" s="64" t="s">
        <v>266</v>
      </c>
      <c r="D190" s="115">
        <f>+Assumptions!M104</f>
        <v>0.08</v>
      </c>
      <c r="E190" s="115"/>
      <c r="F190" s="42">
        <f>F$181*$D190</f>
        <v>0</v>
      </c>
      <c r="G190" s="42">
        <f t="shared" ref="G190:V198" si="110">G$181*$D190</f>
        <v>0</v>
      </c>
      <c r="H190" s="42">
        <f t="shared" si="110"/>
        <v>0</v>
      </c>
      <c r="I190" s="42">
        <f t="shared" si="110"/>
        <v>1.5960725000000002E-3</v>
      </c>
      <c r="J190" s="42">
        <f t="shared" si="110"/>
        <v>3.4770399999999998E-3</v>
      </c>
      <c r="K190" s="42">
        <f t="shared" si="110"/>
        <v>3.57931E-3</v>
      </c>
      <c r="L190" s="42">
        <f t="shared" si="110"/>
        <v>3.57931E-3</v>
      </c>
      <c r="M190" s="42">
        <f t="shared" si="110"/>
        <v>3.57931E-3</v>
      </c>
      <c r="N190" s="42">
        <f t="shared" si="110"/>
        <v>3.57931E-3</v>
      </c>
      <c r="O190" s="42">
        <f t="shared" si="110"/>
        <v>3.57931E-3</v>
      </c>
      <c r="P190" s="42">
        <f t="shared" si="110"/>
        <v>3.57931E-3</v>
      </c>
      <c r="Q190" s="42">
        <f t="shared" si="110"/>
        <v>3.57931E-3</v>
      </c>
      <c r="R190" s="42">
        <f t="shared" si="110"/>
        <v>3.57931E-3</v>
      </c>
      <c r="S190" s="42">
        <f t="shared" si="110"/>
        <v>3.57931E-3</v>
      </c>
      <c r="T190" s="42">
        <f t="shared" si="110"/>
        <v>3.57931E-3</v>
      </c>
      <c r="U190" s="42">
        <f t="shared" si="110"/>
        <v>3.57931E-3</v>
      </c>
      <c r="V190" s="42">
        <f t="shared" si="110"/>
        <v>3.57931E-3</v>
      </c>
      <c r="W190" s="42">
        <f t="shared" ref="W190:Z198" si="111">W$181*$D190</f>
        <v>3.57931E-3</v>
      </c>
      <c r="X190" s="42">
        <f t="shared" si="111"/>
        <v>3.57931E-3</v>
      </c>
      <c r="Y190" s="42">
        <f t="shared" si="111"/>
        <v>3.57931E-3</v>
      </c>
      <c r="Z190" s="42">
        <f t="shared" si="111"/>
        <v>3.57931E-3</v>
      </c>
    </row>
    <row r="191" spans="2:26">
      <c r="B191" s="64" t="s">
        <v>267</v>
      </c>
      <c r="D191" s="115">
        <f>+Assumptions!M105</f>
        <v>0.01</v>
      </c>
      <c r="E191" s="115"/>
      <c r="F191" s="42">
        <f t="shared" ref="F191:F198" si="112">F$181*$D191</f>
        <v>0</v>
      </c>
      <c r="G191" s="42">
        <f t="shared" si="110"/>
        <v>0</v>
      </c>
      <c r="H191" s="42">
        <f t="shared" si="110"/>
        <v>0</v>
      </c>
      <c r="I191" s="42">
        <f t="shared" si="110"/>
        <v>1.9950906250000002E-4</v>
      </c>
      <c r="J191" s="42">
        <f t="shared" si="110"/>
        <v>4.3462999999999998E-4</v>
      </c>
      <c r="K191" s="42">
        <f t="shared" si="110"/>
        <v>4.4741375000000001E-4</v>
      </c>
      <c r="L191" s="42">
        <f t="shared" si="110"/>
        <v>4.4741375000000001E-4</v>
      </c>
      <c r="M191" s="42">
        <f t="shared" si="110"/>
        <v>4.4741375000000001E-4</v>
      </c>
      <c r="N191" s="42">
        <f t="shared" si="110"/>
        <v>4.4741375000000001E-4</v>
      </c>
      <c r="O191" s="42">
        <f t="shared" si="110"/>
        <v>4.4741375000000001E-4</v>
      </c>
      <c r="P191" s="42">
        <f t="shared" si="110"/>
        <v>4.4741375000000001E-4</v>
      </c>
      <c r="Q191" s="42">
        <f t="shared" si="110"/>
        <v>4.4741375000000001E-4</v>
      </c>
      <c r="R191" s="42">
        <f t="shared" si="110"/>
        <v>4.4741375000000001E-4</v>
      </c>
      <c r="S191" s="42">
        <f t="shared" si="110"/>
        <v>4.4741375000000001E-4</v>
      </c>
      <c r="T191" s="42">
        <f t="shared" si="110"/>
        <v>4.4741375000000001E-4</v>
      </c>
      <c r="U191" s="42">
        <f t="shared" si="110"/>
        <v>4.4741375000000001E-4</v>
      </c>
      <c r="V191" s="42">
        <f t="shared" si="110"/>
        <v>4.4741375000000001E-4</v>
      </c>
      <c r="W191" s="42">
        <f t="shared" si="111"/>
        <v>4.4741375000000001E-4</v>
      </c>
      <c r="X191" s="42">
        <f t="shared" si="111"/>
        <v>4.4741375000000001E-4</v>
      </c>
      <c r="Y191" s="42">
        <f t="shared" si="111"/>
        <v>4.4741375000000001E-4</v>
      </c>
      <c r="Z191" s="42">
        <f t="shared" si="111"/>
        <v>4.4741375000000001E-4</v>
      </c>
    </row>
    <row r="192" spans="2:26">
      <c r="B192" s="64" t="s">
        <v>72</v>
      </c>
      <c r="D192" s="115">
        <f>+Assumptions!M106</f>
        <v>6.5000000000000002E-2</v>
      </c>
      <c r="E192" s="115"/>
      <c r="F192" s="42">
        <f t="shared" si="112"/>
        <v>0</v>
      </c>
      <c r="G192" s="42">
        <f t="shared" si="110"/>
        <v>0</v>
      </c>
      <c r="H192" s="42">
        <f t="shared" si="110"/>
        <v>0</v>
      </c>
      <c r="I192" s="42">
        <f t="shared" si="110"/>
        <v>1.2968089062500002E-3</v>
      </c>
      <c r="J192" s="42">
        <f t="shared" si="110"/>
        <v>2.8250949999999997E-3</v>
      </c>
      <c r="K192" s="42">
        <f t="shared" si="110"/>
        <v>2.9081893750000001E-3</v>
      </c>
      <c r="L192" s="42">
        <f t="shared" si="110"/>
        <v>2.9081893750000001E-3</v>
      </c>
      <c r="M192" s="42">
        <f t="shared" si="110"/>
        <v>2.9081893750000001E-3</v>
      </c>
      <c r="N192" s="42">
        <f t="shared" si="110"/>
        <v>2.9081893750000001E-3</v>
      </c>
      <c r="O192" s="42">
        <f t="shared" si="110"/>
        <v>2.9081893750000001E-3</v>
      </c>
      <c r="P192" s="42">
        <f t="shared" si="110"/>
        <v>2.9081893750000001E-3</v>
      </c>
      <c r="Q192" s="42">
        <f t="shared" si="110"/>
        <v>2.9081893750000001E-3</v>
      </c>
      <c r="R192" s="42">
        <f t="shared" si="110"/>
        <v>2.9081893750000001E-3</v>
      </c>
      <c r="S192" s="42">
        <f t="shared" si="110"/>
        <v>2.9081893750000001E-3</v>
      </c>
      <c r="T192" s="42">
        <f t="shared" si="110"/>
        <v>2.9081893750000001E-3</v>
      </c>
      <c r="U192" s="42">
        <f t="shared" si="110"/>
        <v>2.9081893750000001E-3</v>
      </c>
      <c r="V192" s="42">
        <f t="shared" si="110"/>
        <v>2.9081893750000001E-3</v>
      </c>
      <c r="W192" s="42">
        <f t="shared" si="111"/>
        <v>2.9081893750000001E-3</v>
      </c>
      <c r="X192" s="42">
        <f t="shared" si="111"/>
        <v>2.9081893750000001E-3</v>
      </c>
      <c r="Y192" s="42">
        <f t="shared" si="111"/>
        <v>2.9081893750000001E-3</v>
      </c>
      <c r="Z192" s="42">
        <f t="shared" si="111"/>
        <v>2.9081893750000001E-3</v>
      </c>
    </row>
    <row r="193" spans="2:26">
      <c r="B193" s="64" t="s">
        <v>268</v>
      </c>
      <c r="D193" s="115">
        <f>+Assumptions!M107</f>
        <v>0.02</v>
      </c>
      <c r="E193" s="115"/>
      <c r="F193" s="42">
        <f t="shared" si="112"/>
        <v>0</v>
      </c>
      <c r="G193" s="42">
        <f t="shared" si="110"/>
        <v>0</v>
      </c>
      <c r="H193" s="42">
        <f t="shared" si="110"/>
        <v>0</v>
      </c>
      <c r="I193" s="42">
        <f t="shared" si="110"/>
        <v>3.9901812500000005E-4</v>
      </c>
      <c r="J193" s="42">
        <f t="shared" si="110"/>
        <v>8.6925999999999995E-4</v>
      </c>
      <c r="K193" s="42">
        <f t="shared" si="110"/>
        <v>8.9482750000000001E-4</v>
      </c>
      <c r="L193" s="42">
        <f t="shared" si="110"/>
        <v>8.9482750000000001E-4</v>
      </c>
      <c r="M193" s="42">
        <f t="shared" si="110"/>
        <v>8.9482750000000001E-4</v>
      </c>
      <c r="N193" s="42">
        <f t="shared" si="110"/>
        <v>8.9482750000000001E-4</v>
      </c>
      <c r="O193" s="42">
        <f t="shared" si="110"/>
        <v>8.9482750000000001E-4</v>
      </c>
      <c r="P193" s="42">
        <f t="shared" si="110"/>
        <v>8.9482750000000001E-4</v>
      </c>
      <c r="Q193" s="42">
        <f t="shared" si="110"/>
        <v>8.9482750000000001E-4</v>
      </c>
      <c r="R193" s="42">
        <f t="shared" si="110"/>
        <v>8.9482750000000001E-4</v>
      </c>
      <c r="S193" s="42">
        <f t="shared" si="110"/>
        <v>8.9482750000000001E-4</v>
      </c>
      <c r="T193" s="42">
        <f t="shared" si="110"/>
        <v>8.9482750000000001E-4</v>
      </c>
      <c r="U193" s="42">
        <f t="shared" si="110"/>
        <v>8.9482750000000001E-4</v>
      </c>
      <c r="V193" s="42">
        <f t="shared" si="110"/>
        <v>8.9482750000000001E-4</v>
      </c>
      <c r="W193" s="42">
        <f t="shared" si="111"/>
        <v>8.9482750000000001E-4</v>
      </c>
      <c r="X193" s="42">
        <f t="shared" si="111"/>
        <v>8.9482750000000001E-4</v>
      </c>
      <c r="Y193" s="42">
        <f t="shared" si="111"/>
        <v>8.9482750000000001E-4</v>
      </c>
      <c r="Z193" s="42">
        <f t="shared" si="111"/>
        <v>8.9482750000000001E-4</v>
      </c>
    </row>
    <row r="194" spans="2:26">
      <c r="B194" s="64" t="s">
        <v>269</v>
      </c>
      <c r="D194" s="115">
        <f>+Assumptions!M108</f>
        <v>0.03</v>
      </c>
      <c r="E194" s="115"/>
      <c r="F194" s="42">
        <f t="shared" si="112"/>
        <v>0</v>
      </c>
      <c r="G194" s="42">
        <f t="shared" si="110"/>
        <v>0</v>
      </c>
      <c r="H194" s="42">
        <f t="shared" si="110"/>
        <v>0</v>
      </c>
      <c r="I194" s="42">
        <f t="shared" si="110"/>
        <v>5.9852718749999997E-4</v>
      </c>
      <c r="J194" s="42">
        <f t="shared" si="110"/>
        <v>1.3038899999999998E-3</v>
      </c>
      <c r="K194" s="42">
        <f t="shared" si="110"/>
        <v>1.34224125E-3</v>
      </c>
      <c r="L194" s="42">
        <f t="shared" si="110"/>
        <v>1.34224125E-3</v>
      </c>
      <c r="M194" s="42">
        <f t="shared" si="110"/>
        <v>1.34224125E-3</v>
      </c>
      <c r="N194" s="42">
        <f t="shared" si="110"/>
        <v>1.34224125E-3</v>
      </c>
      <c r="O194" s="42">
        <f t="shared" si="110"/>
        <v>1.34224125E-3</v>
      </c>
      <c r="P194" s="42">
        <f t="shared" si="110"/>
        <v>1.34224125E-3</v>
      </c>
      <c r="Q194" s="42">
        <f t="shared" si="110"/>
        <v>1.34224125E-3</v>
      </c>
      <c r="R194" s="42">
        <f t="shared" si="110"/>
        <v>1.34224125E-3</v>
      </c>
      <c r="S194" s="42">
        <f t="shared" si="110"/>
        <v>1.34224125E-3</v>
      </c>
      <c r="T194" s="42">
        <f t="shared" si="110"/>
        <v>1.34224125E-3</v>
      </c>
      <c r="U194" s="42">
        <f t="shared" si="110"/>
        <v>1.34224125E-3</v>
      </c>
      <c r="V194" s="42">
        <f t="shared" si="110"/>
        <v>1.34224125E-3</v>
      </c>
      <c r="W194" s="42">
        <f t="shared" si="111"/>
        <v>1.34224125E-3</v>
      </c>
      <c r="X194" s="42">
        <f t="shared" si="111"/>
        <v>1.34224125E-3</v>
      </c>
      <c r="Y194" s="42">
        <f t="shared" si="111"/>
        <v>1.34224125E-3</v>
      </c>
      <c r="Z194" s="42">
        <f t="shared" si="111"/>
        <v>1.34224125E-3</v>
      </c>
    </row>
    <row r="195" spans="2:26">
      <c r="B195" s="64" t="s">
        <v>270</v>
      </c>
      <c r="D195" s="115">
        <f>+Assumptions!M109</f>
        <v>0.04</v>
      </c>
      <c r="E195" s="115"/>
      <c r="F195" s="42">
        <f t="shared" si="112"/>
        <v>0</v>
      </c>
      <c r="G195" s="42">
        <f t="shared" si="110"/>
        <v>0</v>
      </c>
      <c r="H195" s="42">
        <f t="shared" si="110"/>
        <v>0</v>
      </c>
      <c r="I195" s="42">
        <f t="shared" si="110"/>
        <v>7.980362500000001E-4</v>
      </c>
      <c r="J195" s="42">
        <f t="shared" si="110"/>
        <v>1.7385199999999999E-3</v>
      </c>
      <c r="K195" s="42">
        <f t="shared" si="110"/>
        <v>1.789655E-3</v>
      </c>
      <c r="L195" s="42">
        <f t="shared" si="110"/>
        <v>1.789655E-3</v>
      </c>
      <c r="M195" s="42">
        <f t="shared" si="110"/>
        <v>1.789655E-3</v>
      </c>
      <c r="N195" s="42">
        <f t="shared" si="110"/>
        <v>1.789655E-3</v>
      </c>
      <c r="O195" s="42">
        <f t="shared" si="110"/>
        <v>1.789655E-3</v>
      </c>
      <c r="P195" s="42">
        <f t="shared" si="110"/>
        <v>1.789655E-3</v>
      </c>
      <c r="Q195" s="42">
        <f t="shared" si="110"/>
        <v>1.789655E-3</v>
      </c>
      <c r="R195" s="42">
        <f t="shared" si="110"/>
        <v>1.789655E-3</v>
      </c>
      <c r="S195" s="42">
        <f t="shared" si="110"/>
        <v>1.789655E-3</v>
      </c>
      <c r="T195" s="42">
        <f t="shared" si="110"/>
        <v>1.789655E-3</v>
      </c>
      <c r="U195" s="42">
        <f t="shared" si="110"/>
        <v>1.789655E-3</v>
      </c>
      <c r="V195" s="42">
        <f t="shared" si="110"/>
        <v>1.789655E-3</v>
      </c>
      <c r="W195" s="42">
        <f t="shared" si="111"/>
        <v>1.789655E-3</v>
      </c>
      <c r="X195" s="42">
        <f t="shared" si="111"/>
        <v>1.789655E-3</v>
      </c>
      <c r="Y195" s="42">
        <f t="shared" si="111"/>
        <v>1.789655E-3</v>
      </c>
      <c r="Z195" s="42">
        <f t="shared" si="111"/>
        <v>1.789655E-3</v>
      </c>
    </row>
    <row r="196" spans="2:26">
      <c r="B196" s="64" t="s">
        <v>58</v>
      </c>
      <c r="D196" s="115">
        <f>+Assumptions!M110</f>
        <v>0.01</v>
      </c>
      <c r="E196" s="115"/>
      <c r="F196" s="42">
        <f t="shared" si="112"/>
        <v>0</v>
      </c>
      <c r="G196" s="42">
        <f t="shared" si="110"/>
        <v>0</v>
      </c>
      <c r="H196" s="42">
        <f t="shared" si="110"/>
        <v>0</v>
      </c>
      <c r="I196" s="42">
        <f t="shared" si="110"/>
        <v>1.9950906250000002E-4</v>
      </c>
      <c r="J196" s="42">
        <f t="shared" si="110"/>
        <v>4.3462999999999998E-4</v>
      </c>
      <c r="K196" s="42">
        <f t="shared" si="110"/>
        <v>4.4741375000000001E-4</v>
      </c>
      <c r="L196" s="42">
        <f t="shared" si="110"/>
        <v>4.4741375000000001E-4</v>
      </c>
      <c r="M196" s="42">
        <f t="shared" si="110"/>
        <v>4.4741375000000001E-4</v>
      </c>
      <c r="N196" s="42">
        <f t="shared" si="110"/>
        <v>4.4741375000000001E-4</v>
      </c>
      <c r="O196" s="42">
        <f t="shared" si="110"/>
        <v>4.4741375000000001E-4</v>
      </c>
      <c r="P196" s="42">
        <f t="shared" si="110"/>
        <v>4.4741375000000001E-4</v>
      </c>
      <c r="Q196" s="42">
        <f t="shared" si="110"/>
        <v>4.4741375000000001E-4</v>
      </c>
      <c r="R196" s="42">
        <f t="shared" si="110"/>
        <v>4.4741375000000001E-4</v>
      </c>
      <c r="S196" s="42">
        <f t="shared" si="110"/>
        <v>4.4741375000000001E-4</v>
      </c>
      <c r="T196" s="42">
        <f t="shared" si="110"/>
        <v>4.4741375000000001E-4</v>
      </c>
      <c r="U196" s="42">
        <f t="shared" si="110"/>
        <v>4.4741375000000001E-4</v>
      </c>
      <c r="V196" s="42">
        <f t="shared" si="110"/>
        <v>4.4741375000000001E-4</v>
      </c>
      <c r="W196" s="42">
        <f t="shared" si="111"/>
        <v>4.4741375000000001E-4</v>
      </c>
      <c r="X196" s="42">
        <f t="shared" si="111"/>
        <v>4.4741375000000001E-4</v>
      </c>
      <c r="Y196" s="42">
        <f t="shared" si="111"/>
        <v>4.4741375000000001E-4</v>
      </c>
      <c r="Z196" s="42">
        <f t="shared" si="111"/>
        <v>4.4741375000000001E-4</v>
      </c>
    </row>
    <row r="197" spans="2:26">
      <c r="B197" s="169" t="s">
        <v>308</v>
      </c>
      <c r="D197" s="116">
        <f ca="1">+SUM(F197:Z197)/SUM(F181:Z181)</f>
        <v>4.9817826327821932E-2</v>
      </c>
      <c r="E197" s="116"/>
      <c r="F197" s="151">
        <f ca="1">+IFERROR(IFERROR(INDEX('Taxes and TIF'!$AC$11:$AC$45,MATCH('Phase II Pro Forma'!F$7,'Taxes and TIF'!$R$11:$R$45,0)),0)*'Loan Sizing'!$K$36*F170,0)</f>
        <v>0</v>
      </c>
      <c r="G197" s="151">
        <f ca="1">+IFERROR(IFERROR(INDEX('Taxes and TIF'!$AC$11:$AC$45,MATCH('Phase II Pro Forma'!G$7,'Taxes and TIF'!$R$11:$R$45,0)),0)*'Loan Sizing'!$K$36*G170,0)</f>
        <v>0</v>
      </c>
      <c r="H197" s="151">
        <f ca="1">+IFERROR(IFERROR(INDEX('Taxes and TIF'!$AC$11:$AC$45,MATCH('Phase II Pro Forma'!H$7,'Taxes and TIF'!$R$11:$R$45,0)),0)*'Loan Sizing'!$K$36*H170,0)</f>
        <v>0</v>
      </c>
      <c r="I197" s="151">
        <f ca="1">+IFERROR(IFERROR(INDEX('Taxes and TIF'!$AC$11:$AC$45,MATCH('Phase II Pro Forma'!I$7,'Taxes and TIF'!$R$11:$R$45,0)),0)*'Loan Sizing'!$K$36*I170,0)</f>
        <v>1.2238641293231772E-3</v>
      </c>
      <c r="J197" s="151">
        <f>J$181*$D196</f>
        <v>4.3462999999999998E-4</v>
      </c>
      <c r="K197" s="151">
        <f ca="1">+IFERROR(IFERROR(INDEX('Taxes and TIF'!$AC$11:$AC$45,MATCH('Phase II Pro Forma'!K$7,'Taxes and TIF'!$R$11:$R$45,0)),0)*'Loan Sizing'!$K$36*K170,0)</f>
        <v>2.4477282586463545E-3</v>
      </c>
      <c r="L197" s="151">
        <f ca="1">+IFERROR(IFERROR(INDEX('Taxes and TIF'!$AC$11:$AC$45,MATCH('Phase II Pro Forma'!L$7,'Taxes and TIF'!$R$11:$R$45,0)),0)*'Loan Sizing'!$K$36*L170,0)</f>
        <v>2.4477282586463545E-3</v>
      </c>
      <c r="M197" s="151">
        <f ca="1">+IFERROR(IFERROR(INDEX('Taxes and TIF'!$AC$11:$AC$45,MATCH('Phase II Pro Forma'!M$7,'Taxes and TIF'!$R$11:$R$45,0)),0)*'Loan Sizing'!$K$36*M170,0)</f>
        <v>2.4477282586463545E-3</v>
      </c>
      <c r="N197" s="151">
        <f ca="1">+IFERROR(IFERROR(INDEX('Taxes and TIF'!$AC$11:$AC$45,MATCH('Phase II Pro Forma'!N$7,'Taxes and TIF'!$R$11:$R$45,0)),0)*'Loan Sizing'!$K$36*N170,0)</f>
        <v>2.4477282586463545E-3</v>
      </c>
      <c r="O197" s="151">
        <f ca="1">+IFERROR(IFERROR(INDEX('Taxes and TIF'!$AC$11:$AC$45,MATCH('Phase II Pro Forma'!O$7,'Taxes and TIF'!$R$11:$R$45,0)),0)*'Loan Sizing'!$K$36*O170,0)</f>
        <v>2.4477282586463545E-3</v>
      </c>
      <c r="P197" s="151">
        <f>P$181*$D196</f>
        <v>4.4741375000000001E-4</v>
      </c>
      <c r="Q197" s="151">
        <f ca="1">+IFERROR(IFERROR(INDEX('Taxes and TIF'!$AC$11:$AC$45,MATCH('Phase II Pro Forma'!Q$7,'Taxes and TIF'!$R$11:$R$45,0)),0)*'Loan Sizing'!$K$36*Q170,0)</f>
        <v>2.4477282586463545E-3</v>
      </c>
      <c r="R197" s="151">
        <f ca="1">+IFERROR(IFERROR(INDEX('Taxes and TIF'!$AC$11:$AC$45,MATCH('Phase II Pro Forma'!R$7,'Taxes and TIF'!$R$11:$R$45,0)),0)*'Loan Sizing'!$K$36*R170,0)</f>
        <v>2.4477282586463545E-3</v>
      </c>
      <c r="S197" s="151">
        <f ca="1">+IFERROR(IFERROR(INDEX('Taxes and TIF'!$AC$11:$AC$45,MATCH('Phase II Pro Forma'!S$7,'Taxes and TIF'!$R$11:$R$45,0)),0)*'Loan Sizing'!$K$36*S170,0)</f>
        <v>2.4477282586463545E-3</v>
      </c>
      <c r="T197" s="151">
        <f ca="1">+IFERROR(IFERROR(INDEX('Taxes and TIF'!$AC$11:$AC$45,MATCH('Phase II Pro Forma'!T$7,'Taxes and TIF'!$R$11:$R$45,0)),0)*'Loan Sizing'!$K$36*T170,0)</f>
        <v>2.4477282586463545E-3</v>
      </c>
      <c r="U197" s="151">
        <f ca="1">+IFERROR(IFERROR(INDEX('Taxes and TIF'!$AC$11:$AC$45,MATCH('Phase II Pro Forma'!U$7,'Taxes and TIF'!$R$11:$R$45,0)),0)*'Loan Sizing'!$K$36*U170,0)</f>
        <v>2.4477282586463545E-3</v>
      </c>
      <c r="V197" s="151">
        <f ca="1">+IFERROR(IFERROR(INDEX('Taxes and TIF'!$AC$11:$AC$45,MATCH('Phase II Pro Forma'!V$7,'Taxes and TIF'!$R$11:$R$45,0)),0)*'Loan Sizing'!$K$36*V170,0)</f>
        <v>2.4477282586463545E-3</v>
      </c>
      <c r="W197" s="151">
        <f ca="1">+IFERROR(IFERROR(INDEX('Taxes and TIF'!$AC$11:$AC$45,MATCH('Phase II Pro Forma'!W$7,'Taxes and TIF'!$R$11:$R$45,0)),0)*'Loan Sizing'!$K$36*W170,0)</f>
        <v>2.4477282586463545E-3</v>
      </c>
      <c r="X197" s="151">
        <f ca="1">+IFERROR(IFERROR(INDEX('Taxes and TIF'!$AC$11:$AC$45,MATCH('Phase II Pro Forma'!X$7,'Taxes and TIF'!$R$11:$R$45,0)),0)*'Loan Sizing'!$K$36*X170,0)</f>
        <v>2.4477282586463545E-3</v>
      </c>
      <c r="Y197" s="151">
        <f ca="1">+IFERROR(IFERROR(INDEX('Taxes and TIF'!$AC$11:$AC$45,MATCH('Phase II Pro Forma'!Y$7,'Taxes and TIF'!$R$11:$R$45,0)),0)*'Loan Sizing'!$K$36*Y170,0)</f>
        <v>2.4477282586463545E-3</v>
      </c>
      <c r="Z197" s="151">
        <f ca="1">+IFERROR(IFERROR(INDEX('Taxes and TIF'!$AC$11:$AC$45,MATCH('Phase II Pro Forma'!Z$7,'Taxes and TIF'!$R$11:$R$45,0)),0)*'Loan Sizing'!$K$36*Z170,0)</f>
        <v>2.4477282586463545E-3</v>
      </c>
    </row>
    <row r="198" spans="2:26">
      <c r="B198" s="64" t="s">
        <v>271</v>
      </c>
      <c r="D198" s="115">
        <f>+Assumptions!M111</f>
        <v>3.5000000000000003E-2</v>
      </c>
      <c r="E198" s="115"/>
      <c r="F198" s="42">
        <f t="shared" si="112"/>
        <v>0</v>
      </c>
      <c r="G198" s="42">
        <f t="shared" si="110"/>
        <v>0</v>
      </c>
      <c r="H198" s="42">
        <f t="shared" si="110"/>
        <v>0</v>
      </c>
      <c r="I198" s="42">
        <f t="shared" si="110"/>
        <v>6.9828171875000009E-4</v>
      </c>
      <c r="J198" s="42">
        <f t="shared" si="110"/>
        <v>1.5212049999999999E-3</v>
      </c>
      <c r="K198" s="42">
        <f t="shared" si="110"/>
        <v>1.5659481250000001E-3</v>
      </c>
      <c r="L198" s="42">
        <f t="shared" si="110"/>
        <v>1.5659481250000001E-3</v>
      </c>
      <c r="M198" s="42">
        <f t="shared" si="110"/>
        <v>1.5659481250000001E-3</v>
      </c>
      <c r="N198" s="42">
        <f t="shared" si="110"/>
        <v>1.5659481250000001E-3</v>
      </c>
      <c r="O198" s="42">
        <f t="shared" si="110"/>
        <v>1.5659481250000001E-3</v>
      </c>
      <c r="P198" s="42">
        <f t="shared" si="110"/>
        <v>1.5659481250000001E-3</v>
      </c>
      <c r="Q198" s="42">
        <f t="shared" si="110"/>
        <v>1.5659481250000001E-3</v>
      </c>
      <c r="R198" s="42">
        <f t="shared" si="110"/>
        <v>1.5659481250000001E-3</v>
      </c>
      <c r="S198" s="42">
        <f t="shared" si="110"/>
        <v>1.5659481250000001E-3</v>
      </c>
      <c r="T198" s="42">
        <f t="shared" si="110"/>
        <v>1.5659481250000001E-3</v>
      </c>
      <c r="U198" s="42">
        <f t="shared" si="110"/>
        <v>1.5659481250000001E-3</v>
      </c>
      <c r="V198" s="42">
        <f t="shared" si="110"/>
        <v>1.5659481250000001E-3</v>
      </c>
      <c r="W198" s="42">
        <f t="shared" si="111"/>
        <v>1.5659481250000001E-3</v>
      </c>
      <c r="X198" s="42">
        <f t="shared" si="111"/>
        <v>1.5659481250000001E-3</v>
      </c>
      <c r="Y198" s="42">
        <f t="shared" si="111"/>
        <v>1.5659481250000001E-3</v>
      </c>
      <c r="Z198" s="42">
        <f t="shared" si="111"/>
        <v>1.5659481250000001E-3</v>
      </c>
    </row>
    <row r="199" spans="2:26">
      <c r="B199" s="156" t="s">
        <v>171</v>
      </c>
    </row>
    <row r="200" spans="2:26">
      <c r="B200" s="64" t="s">
        <v>9</v>
      </c>
      <c r="D200" s="115">
        <f>+Assumptions!M115</f>
        <v>0.4</v>
      </c>
      <c r="E200" s="115"/>
      <c r="F200" s="42">
        <f t="shared" ref="F200:Z200" si="113">F$183*$D200</f>
        <v>0</v>
      </c>
      <c r="G200" s="42">
        <f t="shared" si="113"/>
        <v>0</v>
      </c>
      <c r="H200" s="42">
        <f t="shared" si="113"/>
        <v>0</v>
      </c>
      <c r="I200" s="42">
        <f t="shared" si="113"/>
        <v>0</v>
      </c>
      <c r="J200" s="42">
        <f t="shared" si="113"/>
        <v>0</v>
      </c>
      <c r="K200" s="42">
        <f t="shared" si="113"/>
        <v>0</v>
      </c>
      <c r="L200" s="42">
        <f t="shared" si="113"/>
        <v>0</v>
      </c>
      <c r="M200" s="42">
        <f t="shared" si="113"/>
        <v>0</v>
      </c>
      <c r="N200" s="42">
        <f t="shared" si="113"/>
        <v>0</v>
      </c>
      <c r="O200" s="42">
        <f t="shared" si="113"/>
        <v>0</v>
      </c>
      <c r="P200" s="42">
        <f t="shared" si="113"/>
        <v>0</v>
      </c>
      <c r="Q200" s="42">
        <f t="shared" si="113"/>
        <v>0</v>
      </c>
      <c r="R200" s="42">
        <f t="shared" si="113"/>
        <v>0</v>
      </c>
      <c r="S200" s="42">
        <f t="shared" si="113"/>
        <v>0</v>
      </c>
      <c r="T200" s="42">
        <f t="shared" si="113"/>
        <v>0</v>
      </c>
      <c r="U200" s="42">
        <f t="shared" si="113"/>
        <v>0</v>
      </c>
      <c r="V200" s="42">
        <f t="shared" si="113"/>
        <v>0</v>
      </c>
      <c r="W200" s="42">
        <f t="shared" si="113"/>
        <v>0</v>
      </c>
      <c r="X200" s="42">
        <f t="shared" si="113"/>
        <v>0</v>
      </c>
      <c r="Y200" s="42">
        <f t="shared" si="113"/>
        <v>0</v>
      </c>
      <c r="Z200" s="42">
        <f t="shared" si="113"/>
        <v>0</v>
      </c>
    </row>
    <row r="201" spans="2:26">
      <c r="B201" s="137" t="s">
        <v>297</v>
      </c>
      <c r="C201" s="137"/>
      <c r="D201" s="137"/>
      <c r="E201" s="137"/>
      <c r="F201" s="129">
        <f t="shared" ref="F201:Z201" ca="1" si="114">+SUM(F187:F200)</f>
        <v>0</v>
      </c>
      <c r="G201" s="129">
        <f t="shared" ca="1" si="114"/>
        <v>0</v>
      </c>
      <c r="H201" s="129">
        <f t="shared" ca="1" si="114"/>
        <v>0</v>
      </c>
      <c r="I201" s="129">
        <f t="shared" ca="1" si="114"/>
        <v>1.4298034754323178E-2</v>
      </c>
      <c r="J201" s="129">
        <f t="shared" si="114"/>
        <v>2.8506012499999994E-2</v>
      </c>
      <c r="K201" s="129">
        <f t="shared" ca="1" si="114"/>
        <v>3.120943325864636E-2</v>
      </c>
      <c r="L201" s="129">
        <f t="shared" ca="1" si="114"/>
        <v>3.120943325864636E-2</v>
      </c>
      <c r="M201" s="129">
        <f t="shared" ca="1" si="114"/>
        <v>3.120943325864636E-2</v>
      </c>
      <c r="N201" s="129">
        <f t="shared" ca="1" si="114"/>
        <v>3.120943325864636E-2</v>
      </c>
      <c r="O201" s="129">
        <f t="shared" ca="1" si="114"/>
        <v>3.120943325864636E-2</v>
      </c>
      <c r="P201" s="129">
        <f t="shared" si="114"/>
        <v>2.9209118750000006E-2</v>
      </c>
      <c r="Q201" s="129">
        <f t="shared" ca="1" si="114"/>
        <v>3.120943325864636E-2</v>
      </c>
      <c r="R201" s="129">
        <f t="shared" ca="1" si="114"/>
        <v>3.120943325864636E-2</v>
      </c>
      <c r="S201" s="129">
        <f t="shared" ca="1" si="114"/>
        <v>3.120943325864636E-2</v>
      </c>
      <c r="T201" s="129">
        <f t="shared" ca="1" si="114"/>
        <v>3.120943325864636E-2</v>
      </c>
      <c r="U201" s="129">
        <f t="shared" ca="1" si="114"/>
        <v>3.120943325864636E-2</v>
      </c>
      <c r="V201" s="129">
        <f t="shared" ca="1" si="114"/>
        <v>3.120943325864636E-2</v>
      </c>
      <c r="W201" s="129">
        <f t="shared" ca="1" si="114"/>
        <v>3.120943325864636E-2</v>
      </c>
      <c r="X201" s="129">
        <f t="shared" ca="1" si="114"/>
        <v>3.120943325864636E-2</v>
      </c>
      <c r="Y201" s="129">
        <f t="shared" ca="1" si="114"/>
        <v>3.120943325864636E-2</v>
      </c>
      <c r="Z201" s="129">
        <f t="shared" ca="1" si="114"/>
        <v>3.120943325864636E-2</v>
      </c>
    </row>
    <row r="203" spans="2:26">
      <c r="B203" s="137" t="s">
        <v>296</v>
      </c>
      <c r="C203" s="137"/>
      <c r="D203" s="137"/>
      <c r="E203" s="137"/>
      <c r="F203" s="129">
        <f t="shared" ref="F203:Z203" ca="1" si="115">+F184-F201</f>
        <v>0</v>
      </c>
      <c r="G203" s="129">
        <f t="shared" ca="1" si="115"/>
        <v>0</v>
      </c>
      <c r="H203" s="129">
        <f t="shared" ca="1" si="115"/>
        <v>0</v>
      </c>
      <c r="I203" s="129">
        <f t="shared" ca="1" si="115"/>
        <v>5.6528714956768228E-3</v>
      </c>
      <c r="J203" s="129">
        <f t="shared" si="115"/>
        <v>1.4956987500000001E-2</v>
      </c>
      <c r="K203" s="129">
        <f t="shared" ca="1" si="115"/>
        <v>1.353194174135364E-2</v>
      </c>
      <c r="L203" s="129">
        <f t="shared" ca="1" si="115"/>
        <v>1.353194174135364E-2</v>
      </c>
      <c r="M203" s="129">
        <f t="shared" ca="1" si="115"/>
        <v>1.353194174135364E-2</v>
      </c>
      <c r="N203" s="129">
        <f t="shared" ca="1" si="115"/>
        <v>1.353194174135364E-2</v>
      </c>
      <c r="O203" s="129">
        <f t="shared" ca="1" si="115"/>
        <v>1.353194174135364E-2</v>
      </c>
      <c r="P203" s="129">
        <f t="shared" si="115"/>
        <v>1.5532256249999994E-2</v>
      </c>
      <c r="Q203" s="129">
        <f t="shared" ca="1" si="115"/>
        <v>1.353194174135364E-2</v>
      </c>
      <c r="R203" s="129">
        <f t="shared" ca="1" si="115"/>
        <v>1.353194174135364E-2</v>
      </c>
      <c r="S203" s="129">
        <f t="shared" ca="1" si="115"/>
        <v>1.353194174135364E-2</v>
      </c>
      <c r="T203" s="129">
        <f t="shared" ca="1" si="115"/>
        <v>1.353194174135364E-2</v>
      </c>
      <c r="U203" s="129">
        <f t="shared" ca="1" si="115"/>
        <v>1.353194174135364E-2</v>
      </c>
      <c r="V203" s="129">
        <f t="shared" ca="1" si="115"/>
        <v>1.353194174135364E-2</v>
      </c>
      <c r="W203" s="129">
        <f t="shared" ca="1" si="115"/>
        <v>1.353194174135364E-2</v>
      </c>
      <c r="X203" s="129">
        <f t="shared" ca="1" si="115"/>
        <v>1.353194174135364E-2</v>
      </c>
      <c r="Y203" s="129">
        <f t="shared" ca="1" si="115"/>
        <v>1.353194174135364E-2</v>
      </c>
      <c r="Z203" s="129">
        <f t="shared" ca="1" si="115"/>
        <v>1.353194174135364E-2</v>
      </c>
    </row>
    <row r="205" spans="2:26">
      <c r="B205" s="156" t="s">
        <v>82</v>
      </c>
    </row>
    <row r="206" spans="2:26">
      <c r="B206" s="64" t="s">
        <v>272</v>
      </c>
      <c r="D206" s="115">
        <f>+Assumptions!M113</f>
        <v>0.03</v>
      </c>
      <c r="E206" s="115"/>
      <c r="F206" s="42">
        <f t="shared" ref="F206:Z206" si="116">F$181*$D206</f>
        <v>0</v>
      </c>
      <c r="G206" s="42">
        <f t="shared" si="116"/>
        <v>0</v>
      </c>
      <c r="H206" s="42">
        <f t="shared" si="116"/>
        <v>0</v>
      </c>
      <c r="I206" s="42">
        <f t="shared" si="116"/>
        <v>5.9852718749999997E-4</v>
      </c>
      <c r="J206" s="42">
        <f t="shared" si="116"/>
        <v>1.3038899999999998E-3</v>
      </c>
      <c r="K206" s="42">
        <f t="shared" si="116"/>
        <v>1.34224125E-3</v>
      </c>
      <c r="L206" s="42">
        <f t="shared" si="116"/>
        <v>1.34224125E-3</v>
      </c>
      <c r="M206" s="42">
        <f t="shared" si="116"/>
        <v>1.34224125E-3</v>
      </c>
      <c r="N206" s="42">
        <f t="shared" si="116"/>
        <v>1.34224125E-3</v>
      </c>
      <c r="O206" s="42">
        <f t="shared" si="116"/>
        <v>1.34224125E-3</v>
      </c>
      <c r="P206" s="42">
        <f t="shared" si="116"/>
        <v>1.34224125E-3</v>
      </c>
      <c r="Q206" s="42">
        <f t="shared" si="116"/>
        <v>1.34224125E-3</v>
      </c>
      <c r="R206" s="42">
        <f t="shared" si="116"/>
        <v>1.34224125E-3</v>
      </c>
      <c r="S206" s="42">
        <f t="shared" si="116"/>
        <v>1.34224125E-3</v>
      </c>
      <c r="T206" s="42">
        <f t="shared" si="116"/>
        <v>1.34224125E-3</v>
      </c>
      <c r="U206" s="42">
        <f t="shared" si="116"/>
        <v>1.34224125E-3</v>
      </c>
      <c r="V206" s="42">
        <f t="shared" si="116"/>
        <v>1.34224125E-3</v>
      </c>
      <c r="W206" s="42">
        <f t="shared" si="116"/>
        <v>1.34224125E-3</v>
      </c>
      <c r="X206" s="42">
        <f t="shared" si="116"/>
        <v>1.34224125E-3</v>
      </c>
      <c r="Y206" s="42">
        <f t="shared" si="116"/>
        <v>1.34224125E-3</v>
      </c>
      <c r="Z206" s="42">
        <f t="shared" si="116"/>
        <v>1.34224125E-3</v>
      </c>
    </row>
    <row r="207" spans="2:26" ht="15.5">
      <c r="B207" s="138" t="s">
        <v>298</v>
      </c>
      <c r="C207" s="138"/>
      <c r="D207" s="138"/>
      <c r="E207" s="138"/>
      <c r="F207" s="139">
        <f ca="1">+F203-F206</f>
        <v>0</v>
      </c>
      <c r="G207" s="139">
        <f t="shared" ref="G207:Z207" ca="1" si="117">+G203-G206</f>
        <v>0</v>
      </c>
      <c r="H207" s="139">
        <f t="shared" ca="1" si="117"/>
        <v>0</v>
      </c>
      <c r="I207" s="139">
        <f t="shared" ca="1" si="117"/>
        <v>5.0543443081768231E-3</v>
      </c>
      <c r="J207" s="139">
        <f t="shared" si="117"/>
        <v>1.3653097500000001E-2</v>
      </c>
      <c r="K207" s="139">
        <f t="shared" ca="1" si="117"/>
        <v>1.218970049135364E-2</v>
      </c>
      <c r="L207" s="139">
        <f t="shared" ca="1" si="117"/>
        <v>1.218970049135364E-2</v>
      </c>
      <c r="M207" s="139">
        <f t="shared" ca="1" si="117"/>
        <v>1.218970049135364E-2</v>
      </c>
      <c r="N207" s="139">
        <f t="shared" ca="1" si="117"/>
        <v>1.218970049135364E-2</v>
      </c>
      <c r="O207" s="139">
        <f t="shared" ca="1" si="117"/>
        <v>1.218970049135364E-2</v>
      </c>
      <c r="P207" s="139">
        <f t="shared" si="117"/>
        <v>1.4190014999999993E-2</v>
      </c>
      <c r="Q207" s="139">
        <f t="shared" ca="1" si="117"/>
        <v>1.218970049135364E-2</v>
      </c>
      <c r="R207" s="139">
        <f t="shared" ca="1" si="117"/>
        <v>1.218970049135364E-2</v>
      </c>
      <c r="S207" s="139">
        <f t="shared" ca="1" si="117"/>
        <v>1.218970049135364E-2</v>
      </c>
      <c r="T207" s="139">
        <f t="shared" ca="1" si="117"/>
        <v>1.218970049135364E-2</v>
      </c>
      <c r="U207" s="139">
        <f t="shared" ca="1" si="117"/>
        <v>1.218970049135364E-2</v>
      </c>
      <c r="V207" s="139">
        <f t="shared" ca="1" si="117"/>
        <v>1.218970049135364E-2</v>
      </c>
      <c r="W207" s="139">
        <f t="shared" ca="1" si="117"/>
        <v>1.218970049135364E-2</v>
      </c>
      <c r="X207" s="139">
        <f t="shared" ca="1" si="117"/>
        <v>1.218970049135364E-2</v>
      </c>
      <c r="Y207" s="139">
        <f t="shared" ca="1" si="117"/>
        <v>1.218970049135364E-2</v>
      </c>
      <c r="Z207" s="139">
        <f t="shared" ca="1" si="117"/>
        <v>1.218970049135364E-2</v>
      </c>
    </row>
    <row r="208" spans="2:26" ht="15.5">
      <c r="B208" s="143" t="s">
        <v>239</v>
      </c>
      <c r="C208" s="141"/>
      <c r="D208" s="141"/>
      <c r="E208" s="141"/>
      <c r="F208" s="144" t="str">
        <f t="shared" ref="F208:Z208" ca="1" si="118">+IFERROR(F207/F184,"")</f>
        <v/>
      </c>
      <c r="G208" s="144" t="str">
        <f t="shared" ca="1" si="118"/>
        <v/>
      </c>
      <c r="H208" s="144" t="str">
        <f t="shared" ca="1" si="118"/>
        <v/>
      </c>
      <c r="I208" s="144">
        <f t="shared" ca="1" si="118"/>
        <v>0.25333908369083852</v>
      </c>
      <c r="J208" s="144">
        <f t="shared" si="118"/>
        <v>0.31413150265743284</v>
      </c>
      <c r="K208" s="144">
        <f t="shared" ca="1" si="118"/>
        <v>0.27244805264374733</v>
      </c>
      <c r="L208" s="144">
        <f t="shared" ca="1" si="118"/>
        <v>0.27244805264374733</v>
      </c>
      <c r="M208" s="144">
        <f t="shared" ca="1" si="118"/>
        <v>0.27244805264374733</v>
      </c>
      <c r="N208" s="144">
        <f t="shared" ca="1" si="118"/>
        <v>0.27244805264374733</v>
      </c>
      <c r="O208" s="144">
        <f t="shared" ca="1" si="118"/>
        <v>0.27244805264374733</v>
      </c>
      <c r="P208" s="144">
        <f t="shared" si="118"/>
        <v>0.31715643517884717</v>
      </c>
      <c r="Q208" s="144">
        <f t="shared" ca="1" si="118"/>
        <v>0.27244805264374733</v>
      </c>
      <c r="R208" s="144">
        <f t="shared" ca="1" si="118"/>
        <v>0.27244805264374733</v>
      </c>
      <c r="S208" s="144">
        <f t="shared" ca="1" si="118"/>
        <v>0.27244805264374733</v>
      </c>
      <c r="T208" s="144">
        <f t="shared" ca="1" si="118"/>
        <v>0.27244805264374733</v>
      </c>
      <c r="U208" s="144">
        <f t="shared" ca="1" si="118"/>
        <v>0.27244805264374733</v>
      </c>
      <c r="V208" s="144">
        <f t="shared" ca="1" si="118"/>
        <v>0.27244805264374733</v>
      </c>
      <c r="W208" s="144">
        <f t="shared" ca="1" si="118"/>
        <v>0.27244805264374733</v>
      </c>
      <c r="X208" s="144">
        <f t="shared" ca="1" si="118"/>
        <v>0.27244805264374733</v>
      </c>
      <c r="Y208" s="144">
        <f t="shared" ca="1" si="118"/>
        <v>0.27244805264374733</v>
      </c>
      <c r="Z208" s="144">
        <f t="shared" ca="1" si="118"/>
        <v>0.27244805264374733</v>
      </c>
    </row>
    <row r="209" spans="2:26" ht="15.5">
      <c r="B209" s="143" t="s">
        <v>179</v>
      </c>
      <c r="C209" s="141"/>
      <c r="D209" s="141"/>
      <c r="E209" s="141"/>
      <c r="F209" s="142">
        <f ca="1">+F203/Assumptions!$O$131</f>
        <v>0</v>
      </c>
      <c r="G209" s="142">
        <f ca="1">+G203/Assumptions!$O$131</f>
        <v>0</v>
      </c>
      <c r="H209" s="142">
        <f ca="1">+H203/Assumptions!$O$131</f>
        <v>0</v>
      </c>
      <c r="I209" s="142">
        <f ca="1">+I203/Assumptions!$O$131</f>
        <v>7.0660893695960278E-2</v>
      </c>
      <c r="J209" s="142">
        <f>+J203/Assumptions!$O$131</f>
        <v>0.18696234375000001</v>
      </c>
      <c r="K209" s="142">
        <f ca="1">+K203/Assumptions!$O$131</f>
        <v>0.16914927176692049</v>
      </c>
      <c r="L209" s="142">
        <f ca="1">+L203/Assumptions!$O$131</f>
        <v>0.16914927176692049</v>
      </c>
      <c r="M209" s="142">
        <f ca="1">+M203/Assumptions!$O$131</f>
        <v>0.16914927176692049</v>
      </c>
      <c r="N209" s="142">
        <f ca="1">+N203/Assumptions!$O$131</f>
        <v>0.16914927176692049</v>
      </c>
      <c r="O209" s="142">
        <f ca="1">+O203/Assumptions!$O$131</f>
        <v>0.16914927176692049</v>
      </c>
      <c r="P209" s="142">
        <f>+P203/Assumptions!$O$131</f>
        <v>0.19415320312499992</v>
      </c>
      <c r="Q209" s="142">
        <f ca="1">+Q203/Assumptions!$O$131</f>
        <v>0.16914927176692049</v>
      </c>
      <c r="R209" s="142">
        <f ca="1">+R203/Assumptions!$O$131</f>
        <v>0.16914927176692049</v>
      </c>
      <c r="S209" s="142">
        <f ca="1">+S203/Assumptions!$O$131</f>
        <v>0.16914927176692049</v>
      </c>
      <c r="T209" s="142">
        <f ca="1">+T203/Assumptions!$O$131</f>
        <v>0.16914927176692049</v>
      </c>
      <c r="U209" s="142">
        <f ca="1">+U203/Assumptions!$O$131</f>
        <v>0.16914927176692049</v>
      </c>
      <c r="V209" s="142">
        <f ca="1">+V203/Assumptions!$O$131</f>
        <v>0.16914927176692049</v>
      </c>
      <c r="W209" s="142">
        <f ca="1">+W203/Assumptions!$O$131</f>
        <v>0.16914927176692049</v>
      </c>
      <c r="X209" s="142">
        <f ca="1">+X203/Assumptions!$O$131</f>
        <v>0.16914927176692049</v>
      </c>
      <c r="Y209" s="142">
        <f ca="1">+Y203/Assumptions!$O$131</f>
        <v>0.16914927176692049</v>
      </c>
      <c r="Z209" s="142">
        <f ca="1">+Z203/Assumptions!$O$131</f>
        <v>0.16914927176692049</v>
      </c>
    </row>
    <row r="211" spans="2:26" ht="15.5">
      <c r="B211" s="148" t="s">
        <v>31</v>
      </c>
      <c r="F211" s="150">
        <f>+Assumptions!$G$22</f>
        <v>45291</v>
      </c>
      <c r="G211" s="150">
        <f>+EOMONTH(F211,12)</f>
        <v>45657</v>
      </c>
      <c r="H211" s="150">
        <f t="shared" ref="H211:Z211" si="119">+EOMONTH(G211,12)</f>
        <v>46022</v>
      </c>
      <c r="I211" s="150">
        <f t="shared" si="119"/>
        <v>46387</v>
      </c>
      <c r="J211" s="150">
        <f t="shared" si="119"/>
        <v>46752</v>
      </c>
      <c r="K211" s="150">
        <f t="shared" si="119"/>
        <v>47118</v>
      </c>
      <c r="L211" s="150">
        <f t="shared" si="119"/>
        <v>47483</v>
      </c>
      <c r="M211" s="150">
        <f t="shared" si="119"/>
        <v>47848</v>
      </c>
      <c r="N211" s="150">
        <f t="shared" si="119"/>
        <v>48213</v>
      </c>
      <c r="O211" s="150">
        <f t="shared" si="119"/>
        <v>48579</v>
      </c>
      <c r="P211" s="150">
        <f t="shared" si="119"/>
        <v>48944</v>
      </c>
      <c r="Q211" s="150">
        <f t="shared" si="119"/>
        <v>49309</v>
      </c>
      <c r="R211" s="150">
        <f t="shared" si="119"/>
        <v>49674</v>
      </c>
      <c r="S211" s="150">
        <f t="shared" si="119"/>
        <v>50040</v>
      </c>
      <c r="T211" s="150">
        <f t="shared" si="119"/>
        <v>50405</v>
      </c>
      <c r="U211" s="150">
        <f t="shared" si="119"/>
        <v>50770</v>
      </c>
      <c r="V211" s="150">
        <f t="shared" si="119"/>
        <v>51135</v>
      </c>
      <c r="W211" s="150">
        <f t="shared" si="119"/>
        <v>51501</v>
      </c>
      <c r="X211" s="150">
        <f t="shared" si="119"/>
        <v>51866</v>
      </c>
      <c r="Y211" s="150">
        <f t="shared" si="119"/>
        <v>52231</v>
      </c>
      <c r="Z211" s="150">
        <f t="shared" si="119"/>
        <v>52596</v>
      </c>
    </row>
    <row r="212" spans="2:26">
      <c r="B212" s="33" t="s">
        <v>313</v>
      </c>
      <c r="F212" s="34">
        <v>0</v>
      </c>
      <c r="G212" s="34">
        <f t="shared" ref="G212:Z212" si="120">+F215</f>
        <v>0</v>
      </c>
      <c r="H212" s="34">
        <f t="shared" si="120"/>
        <v>0</v>
      </c>
      <c r="I212" s="34">
        <f t="shared" si="120"/>
        <v>0</v>
      </c>
      <c r="J212" s="34">
        <f t="shared" si="120"/>
        <v>0</v>
      </c>
      <c r="K212" s="34">
        <f t="shared" si="120"/>
        <v>0</v>
      </c>
      <c r="L212" s="34">
        <f t="shared" si="120"/>
        <v>0</v>
      </c>
      <c r="M212" s="34">
        <f t="shared" si="120"/>
        <v>0</v>
      </c>
      <c r="N212" s="34">
        <f t="shared" si="120"/>
        <v>0</v>
      </c>
      <c r="O212" s="34">
        <f t="shared" si="120"/>
        <v>0</v>
      </c>
      <c r="P212" s="34">
        <f t="shared" si="120"/>
        <v>0</v>
      </c>
      <c r="Q212" s="34">
        <f t="shared" si="120"/>
        <v>0</v>
      </c>
      <c r="R212" s="34">
        <f t="shared" si="120"/>
        <v>0</v>
      </c>
      <c r="S212" s="34">
        <f t="shared" si="120"/>
        <v>0</v>
      </c>
      <c r="T212" s="34">
        <f t="shared" si="120"/>
        <v>0</v>
      </c>
      <c r="U212" s="34">
        <f t="shared" si="120"/>
        <v>0</v>
      </c>
      <c r="V212" s="34">
        <f t="shared" si="120"/>
        <v>0</v>
      </c>
      <c r="W212" s="34">
        <f t="shared" si="120"/>
        <v>0</v>
      </c>
      <c r="X212" s="34">
        <f t="shared" si="120"/>
        <v>0</v>
      </c>
      <c r="Y212" s="34">
        <f t="shared" si="120"/>
        <v>0</v>
      </c>
      <c r="Z212" s="34">
        <f t="shared" si="120"/>
        <v>0</v>
      </c>
    </row>
    <row r="213" spans="2:26">
      <c r="B213" s="33" t="s">
        <v>324</v>
      </c>
      <c r="F213" s="151">
        <f>+IF(YEAR(F$140)=YEAR(Assumptions!$G$26),'S&amp;U'!$S$18,0)</f>
        <v>0</v>
      </c>
      <c r="G213" s="151">
        <f>+IF(YEAR(G$140)=YEAR(Assumptions!$G$26),'S&amp;U'!$S$18,0)</f>
        <v>0</v>
      </c>
      <c r="H213" s="151">
        <f>+IF(YEAR(H$140)=YEAR(Assumptions!$G$26),'S&amp;U'!$S$18,0)</f>
        <v>0</v>
      </c>
      <c r="I213" s="151">
        <f>+IF(YEAR(I$140)=YEAR(Assumptions!$G$26),'S&amp;U'!$S$18,0)</f>
        <v>0</v>
      </c>
      <c r="J213" s="151">
        <f>+IF(YEAR(J$140)=YEAR(Assumptions!$G$26),'S&amp;U'!$S$18,0)</f>
        <v>0</v>
      </c>
      <c r="K213" s="151">
        <f>+IF(YEAR(K$140)=YEAR(Assumptions!$G$26),'S&amp;U'!$S$18,0)</f>
        <v>0</v>
      </c>
      <c r="L213" s="151">
        <f>+IF(YEAR(L$140)=YEAR(Assumptions!$G$26),'S&amp;U'!$S$18,0)</f>
        <v>0</v>
      </c>
      <c r="M213" s="151">
        <f>+IF(YEAR(M$140)=YEAR(Assumptions!$G$26),'S&amp;U'!$S$18,0)</f>
        <v>0</v>
      </c>
      <c r="N213" s="151">
        <f>+IF(YEAR(N$140)=YEAR(Assumptions!$G$26),'S&amp;U'!$S$18,0)</f>
        <v>0</v>
      </c>
      <c r="O213" s="151">
        <f>+IF(YEAR(O$140)=YEAR(Assumptions!$G$26),'S&amp;U'!$S$18,0)</f>
        <v>0</v>
      </c>
      <c r="P213" s="151">
        <f>+IF(YEAR(P$140)=YEAR(Assumptions!$G$26),'S&amp;U'!$S$18,0)</f>
        <v>0</v>
      </c>
      <c r="Q213" s="151">
        <f>+IF(YEAR(Q$140)=YEAR(Assumptions!$G$26),'S&amp;U'!$S$18,0)</f>
        <v>0</v>
      </c>
      <c r="R213" s="151">
        <f>+IF(YEAR(R$140)=YEAR(Assumptions!$G$26),'S&amp;U'!$S$18,0)</f>
        <v>0</v>
      </c>
      <c r="S213" s="151">
        <f>+IF(YEAR(S$140)=YEAR(Assumptions!$G$26),'S&amp;U'!$S$18,0)</f>
        <v>0</v>
      </c>
      <c r="T213" s="151">
        <f>+IF(YEAR(T$140)=YEAR(Assumptions!$G$26),'S&amp;U'!$S$18,0)</f>
        <v>0</v>
      </c>
      <c r="U213" s="151">
        <f>+IF(YEAR(U$140)=YEAR(Assumptions!$G$26),'S&amp;U'!$S$18,0)</f>
        <v>0</v>
      </c>
      <c r="V213" s="151">
        <f>+IF(YEAR(V$140)=YEAR(Assumptions!$G$26),'S&amp;U'!$S$18,0)</f>
        <v>0</v>
      </c>
      <c r="W213" s="151">
        <f>+IF(YEAR(W$140)=YEAR(Assumptions!$G$26),'S&amp;U'!$S$18,0)</f>
        <v>0</v>
      </c>
      <c r="X213" s="151">
        <f>+IF(YEAR(X$140)=YEAR(Assumptions!$G$26),'S&amp;U'!$S$18,0)</f>
        <v>0</v>
      </c>
      <c r="Y213" s="151">
        <f>+IF(YEAR(Y$140)=YEAR(Assumptions!$G$26),'S&amp;U'!$S$18,0)</f>
        <v>0</v>
      </c>
      <c r="Z213" s="151">
        <f>+IF(YEAR(Z$140)=YEAR(Assumptions!$G$26),'S&amp;U'!$S$18,0)</f>
        <v>0</v>
      </c>
    </row>
    <row r="214" spans="2:26">
      <c r="B214" s="33" t="s">
        <v>156</v>
      </c>
      <c r="F214" s="151">
        <v>0</v>
      </c>
      <c r="G214" s="151">
        <v>0</v>
      </c>
      <c r="H214" s="151">
        <v>0</v>
      </c>
      <c r="I214" s="151">
        <v>0</v>
      </c>
      <c r="J214" s="151">
        <v>0</v>
      </c>
      <c r="K214" s="151">
        <v>0</v>
      </c>
      <c r="L214" s="151">
        <v>0</v>
      </c>
      <c r="M214" s="151">
        <v>0</v>
      </c>
      <c r="N214" s="151">
        <v>0</v>
      </c>
      <c r="O214" s="151">
        <v>0</v>
      </c>
      <c r="P214" s="151">
        <v>0</v>
      </c>
      <c r="Q214" s="151">
        <v>0</v>
      </c>
      <c r="R214" s="151">
        <v>0</v>
      </c>
      <c r="S214" s="151">
        <v>0</v>
      </c>
      <c r="T214" s="151">
        <v>0</v>
      </c>
      <c r="U214" s="151">
        <v>0</v>
      </c>
      <c r="V214" s="151">
        <v>0</v>
      </c>
      <c r="W214" s="151">
        <v>0</v>
      </c>
      <c r="X214" s="151">
        <v>0</v>
      </c>
      <c r="Y214" s="151">
        <v>0</v>
      </c>
      <c r="Z214" s="151">
        <v>0</v>
      </c>
    </row>
    <row r="215" spans="2:26">
      <c r="B215" s="33" t="s">
        <v>315</v>
      </c>
      <c r="F215" s="151">
        <f t="shared" ref="F215:N215" si="121">+SUM(F212:F214)</f>
        <v>0</v>
      </c>
      <c r="G215" s="151">
        <f t="shared" si="121"/>
        <v>0</v>
      </c>
      <c r="H215" s="151">
        <f t="shared" si="121"/>
        <v>0</v>
      </c>
      <c r="I215" s="151">
        <f t="shared" si="121"/>
        <v>0</v>
      </c>
      <c r="J215" s="151">
        <f t="shared" si="121"/>
        <v>0</v>
      </c>
      <c r="K215" s="151">
        <f t="shared" si="121"/>
        <v>0</v>
      </c>
      <c r="L215" s="151">
        <f t="shared" si="121"/>
        <v>0</v>
      </c>
      <c r="M215" s="151">
        <f t="shared" si="121"/>
        <v>0</v>
      </c>
      <c r="N215" s="151">
        <f t="shared" si="121"/>
        <v>0</v>
      </c>
      <c r="O215" s="151">
        <f t="shared" ref="O215" si="122">+SUM(O212:O214)</f>
        <v>0</v>
      </c>
      <c r="P215" s="151">
        <f t="shared" ref="P215:Z215" si="123">+SUM(P212:P214)</f>
        <v>0</v>
      </c>
      <c r="Q215" s="151">
        <f t="shared" si="123"/>
        <v>0</v>
      </c>
      <c r="R215" s="151">
        <f t="shared" si="123"/>
        <v>0</v>
      </c>
      <c r="S215" s="151">
        <f t="shared" si="123"/>
        <v>0</v>
      </c>
      <c r="T215" s="151">
        <f t="shared" si="123"/>
        <v>0</v>
      </c>
      <c r="U215" s="151">
        <f t="shared" si="123"/>
        <v>0</v>
      </c>
      <c r="V215" s="151">
        <f t="shared" si="123"/>
        <v>0</v>
      </c>
      <c r="W215" s="151">
        <f t="shared" si="123"/>
        <v>0</v>
      </c>
      <c r="X215" s="151">
        <f t="shared" si="123"/>
        <v>0</v>
      </c>
      <c r="Y215" s="151">
        <f t="shared" si="123"/>
        <v>0</v>
      </c>
      <c r="Z215" s="151">
        <f t="shared" si="123"/>
        <v>0</v>
      </c>
    </row>
    <row r="217" spans="2:26">
      <c r="B217" s="41" t="s">
        <v>314</v>
      </c>
      <c r="F217" s="34">
        <f>+F215*Assumptions!$O$157</f>
        <v>0</v>
      </c>
      <c r="G217" s="34">
        <f>+G215*Assumptions!$O$157</f>
        <v>0</v>
      </c>
      <c r="H217" s="34">
        <f>+H215*Assumptions!$O$157</f>
        <v>0</v>
      </c>
      <c r="I217" s="34">
        <f>+I215*Assumptions!$O$157</f>
        <v>0</v>
      </c>
      <c r="J217" s="34">
        <f>+J215*Assumptions!$O$157</f>
        <v>0</v>
      </c>
      <c r="K217" s="34">
        <f>+K215*Assumptions!$O$157</f>
        <v>0</v>
      </c>
      <c r="L217" s="34">
        <f>+L215*Assumptions!$O$157</f>
        <v>0</v>
      </c>
      <c r="M217" s="34">
        <f>+M215*Assumptions!$O$157</f>
        <v>0</v>
      </c>
      <c r="N217" s="34">
        <f>+N215*Assumptions!$O$157</f>
        <v>0</v>
      </c>
      <c r="O217" s="34">
        <f>+O215*Assumptions!$O$157</f>
        <v>0</v>
      </c>
      <c r="P217" s="34">
        <f>+P215*Assumptions!$O$157</f>
        <v>0</v>
      </c>
      <c r="Q217" s="34">
        <f>+Q215*Assumptions!$O$157</f>
        <v>0</v>
      </c>
      <c r="R217" s="34">
        <f>+R215*Assumptions!$O$157</f>
        <v>0</v>
      </c>
      <c r="S217" s="34">
        <f>+S215*Assumptions!$O$157</f>
        <v>0</v>
      </c>
      <c r="T217" s="34">
        <f>+T215*Assumptions!$O$157</f>
        <v>0</v>
      </c>
      <c r="U217" s="34">
        <f>+U215*Assumptions!$O$157</f>
        <v>0</v>
      </c>
      <c r="V217" s="34">
        <f>+V215*Assumptions!$O$157</f>
        <v>0</v>
      </c>
      <c r="W217" s="34">
        <f>+W215*Assumptions!$O$157</f>
        <v>0</v>
      </c>
      <c r="X217" s="34">
        <f>+X215*Assumptions!$O$157</f>
        <v>0</v>
      </c>
      <c r="Y217" s="34">
        <f>+Y215*Assumptions!$O$157</f>
        <v>0</v>
      </c>
      <c r="Z217" s="34">
        <f>+Z215*Assumptions!$O$157</f>
        <v>0</v>
      </c>
    </row>
    <row r="218" spans="2:26">
      <c r="B218" s="137" t="s">
        <v>323</v>
      </c>
      <c r="C218" s="137"/>
      <c r="D218" s="137"/>
      <c r="E218" s="137"/>
      <c r="F218" s="129">
        <f t="shared" ref="F218:K218" si="124">+F217-F214</f>
        <v>0</v>
      </c>
      <c r="G218" s="129">
        <f t="shared" si="124"/>
        <v>0</v>
      </c>
      <c r="H218" s="129">
        <f t="shared" si="124"/>
        <v>0</v>
      </c>
      <c r="I218" s="129">
        <f t="shared" si="124"/>
        <v>0</v>
      </c>
      <c r="J218" s="129">
        <f t="shared" si="124"/>
        <v>0</v>
      </c>
      <c r="K218" s="129">
        <f t="shared" si="124"/>
        <v>0</v>
      </c>
      <c r="L218" s="129">
        <f>+L217-L214</f>
        <v>0</v>
      </c>
      <c r="M218" s="129">
        <f t="shared" ref="M218:Z218" si="125">+M217-M214</f>
        <v>0</v>
      </c>
      <c r="N218" s="129">
        <f t="shared" si="125"/>
        <v>0</v>
      </c>
      <c r="O218" s="129">
        <f t="shared" si="125"/>
        <v>0</v>
      </c>
      <c r="P218" s="129">
        <f t="shared" si="125"/>
        <v>0</v>
      </c>
      <c r="Q218" s="129">
        <f t="shared" si="125"/>
        <v>0</v>
      </c>
      <c r="R218" s="129">
        <f t="shared" si="125"/>
        <v>0</v>
      </c>
      <c r="S218" s="129">
        <f t="shared" si="125"/>
        <v>0</v>
      </c>
      <c r="T218" s="129">
        <f t="shared" si="125"/>
        <v>0</v>
      </c>
      <c r="U218" s="129">
        <f t="shared" si="125"/>
        <v>0</v>
      </c>
      <c r="V218" s="129">
        <f t="shared" si="125"/>
        <v>0</v>
      </c>
      <c r="W218" s="129">
        <f t="shared" si="125"/>
        <v>0</v>
      </c>
      <c r="X218" s="129">
        <f t="shared" si="125"/>
        <v>0</v>
      </c>
      <c r="Y218" s="129">
        <f t="shared" si="125"/>
        <v>0</v>
      </c>
      <c r="Z218" s="129">
        <f t="shared" si="125"/>
        <v>0</v>
      </c>
    </row>
    <row r="219" spans="2:26" ht="15.5">
      <c r="B219" s="146" t="s">
        <v>172</v>
      </c>
      <c r="F219" s="180" t="str">
        <f t="shared" ref="F219:J219" ca="1" si="126">+IFERROR(F207/F218,"")</f>
        <v/>
      </c>
      <c r="G219" s="180" t="str">
        <f t="shared" ca="1" si="126"/>
        <v/>
      </c>
      <c r="H219" s="180" t="str">
        <f t="shared" ca="1" si="126"/>
        <v/>
      </c>
      <c r="I219" s="180" t="str">
        <f t="shared" ca="1" si="126"/>
        <v/>
      </c>
      <c r="J219" s="180" t="str">
        <f t="shared" si="126"/>
        <v/>
      </c>
      <c r="K219" s="180" t="str">
        <f ca="1">+IFERROR(K207/K218,"")</f>
        <v/>
      </c>
      <c r="L219" s="180" t="str">
        <f t="shared" ref="L219:Z219" ca="1" si="127">+IFERROR(L207/L218,"")</f>
        <v/>
      </c>
      <c r="M219" s="180" t="str">
        <f t="shared" ca="1" si="127"/>
        <v/>
      </c>
      <c r="N219" s="180" t="str">
        <f t="shared" ca="1" si="127"/>
        <v/>
      </c>
      <c r="O219" s="180" t="str">
        <f t="shared" ca="1" si="127"/>
        <v/>
      </c>
      <c r="P219" s="180" t="str">
        <f t="shared" si="127"/>
        <v/>
      </c>
      <c r="Q219" s="180" t="str">
        <f t="shared" ca="1" si="127"/>
        <v/>
      </c>
      <c r="R219" s="180" t="str">
        <f t="shared" ca="1" si="127"/>
        <v/>
      </c>
      <c r="S219" s="180" t="str">
        <f t="shared" ca="1" si="127"/>
        <v/>
      </c>
      <c r="T219" s="180" t="str">
        <f t="shared" ca="1" si="127"/>
        <v/>
      </c>
      <c r="U219" s="180" t="str">
        <f t="shared" ca="1" si="127"/>
        <v/>
      </c>
      <c r="V219" s="180" t="str">
        <f t="shared" ca="1" si="127"/>
        <v/>
      </c>
      <c r="W219" s="180" t="str">
        <f t="shared" ca="1" si="127"/>
        <v/>
      </c>
      <c r="X219" s="180" t="str">
        <f t="shared" ca="1" si="127"/>
        <v/>
      </c>
      <c r="Y219" s="180" t="str">
        <f t="shared" ca="1" si="127"/>
        <v/>
      </c>
      <c r="Z219" s="180" t="str">
        <f t="shared" ca="1" si="127"/>
        <v/>
      </c>
    </row>
    <row r="221" spans="2:26">
      <c r="B221" s="41" t="s">
        <v>150</v>
      </c>
      <c r="F221" s="34">
        <f>+F213*Assumptions!$O$158</f>
        <v>0</v>
      </c>
      <c r="G221" s="34">
        <f>+G213*Assumptions!$O$158</f>
        <v>0</v>
      </c>
      <c r="H221" s="34">
        <f>+H213*Assumptions!$O$158</f>
        <v>0</v>
      </c>
      <c r="I221" s="34">
        <f>+I213*Assumptions!$O$158</f>
        <v>0</v>
      </c>
      <c r="J221" s="34">
        <f>+J213*Assumptions!$O$158</f>
        <v>0</v>
      </c>
      <c r="K221" s="34">
        <f>+K213*Assumptions!$O$158</f>
        <v>0</v>
      </c>
      <c r="L221" s="34">
        <f>+L213*Assumptions!$O$158</f>
        <v>0</v>
      </c>
      <c r="M221" s="34">
        <f>+M213*Assumptions!$O$158</f>
        <v>0</v>
      </c>
      <c r="N221" s="34">
        <f>+N213*Assumptions!$O$158</f>
        <v>0</v>
      </c>
      <c r="O221" s="34">
        <f>+O213*Assumptions!$O$158</f>
        <v>0</v>
      </c>
      <c r="P221" s="34">
        <f>+P213*Assumptions!$O$158</f>
        <v>0</v>
      </c>
      <c r="Q221" s="34">
        <f>+Q213*Assumptions!$O$158</f>
        <v>0</v>
      </c>
      <c r="R221" s="34">
        <f>+R213*Assumptions!$O$158</f>
        <v>0</v>
      </c>
      <c r="S221" s="34">
        <f>+S213*Assumptions!$O$158</f>
        <v>0</v>
      </c>
      <c r="T221" s="34">
        <f>+T213*Assumptions!$O$158</f>
        <v>0</v>
      </c>
      <c r="U221" s="34">
        <f>+U213*Assumptions!$O$158</f>
        <v>0</v>
      </c>
      <c r="V221" s="34">
        <f>+V213*Assumptions!$O$158</f>
        <v>0</v>
      </c>
      <c r="W221" s="34">
        <f>+W213*Assumptions!$O$158</f>
        <v>0</v>
      </c>
      <c r="X221" s="34">
        <f>+X213*Assumptions!$O$158</f>
        <v>0</v>
      </c>
      <c r="Y221" s="34">
        <f>+Y213*Assumptions!$O$158</f>
        <v>0</v>
      </c>
      <c r="Z221" s="34">
        <f>+Z213*Assumptions!$O$158</f>
        <v>0</v>
      </c>
    </row>
    <row r="223" spans="2:26">
      <c r="B223" s="137" t="s">
        <v>316</v>
      </c>
      <c r="C223" s="137"/>
      <c r="D223" s="137"/>
      <c r="E223" s="137"/>
      <c r="F223" s="129">
        <f ca="1">+F207-F218-F221</f>
        <v>0</v>
      </c>
      <c r="G223" s="129">
        <f t="shared" ref="G223:Z223" ca="1" si="128">+G207-G218-G221</f>
        <v>0</v>
      </c>
      <c r="H223" s="129">
        <f t="shared" ca="1" si="128"/>
        <v>0</v>
      </c>
      <c r="I223" s="129">
        <f t="shared" ca="1" si="128"/>
        <v>5.0543443081768231E-3</v>
      </c>
      <c r="J223" s="129">
        <f t="shared" si="128"/>
        <v>1.3653097500000001E-2</v>
      </c>
      <c r="K223" s="129">
        <f t="shared" ca="1" si="128"/>
        <v>1.218970049135364E-2</v>
      </c>
      <c r="L223" s="129">
        <f t="shared" ca="1" si="128"/>
        <v>1.218970049135364E-2</v>
      </c>
      <c r="M223" s="129">
        <f t="shared" ca="1" si="128"/>
        <v>1.218970049135364E-2</v>
      </c>
      <c r="N223" s="129">
        <f t="shared" ca="1" si="128"/>
        <v>1.218970049135364E-2</v>
      </c>
      <c r="O223" s="129">
        <f t="shared" ca="1" si="128"/>
        <v>1.218970049135364E-2</v>
      </c>
      <c r="P223" s="129">
        <f t="shared" si="128"/>
        <v>1.4190014999999993E-2</v>
      </c>
      <c r="Q223" s="129">
        <f t="shared" ca="1" si="128"/>
        <v>1.218970049135364E-2</v>
      </c>
      <c r="R223" s="129">
        <f t="shared" ca="1" si="128"/>
        <v>1.218970049135364E-2</v>
      </c>
      <c r="S223" s="129">
        <f t="shared" ca="1" si="128"/>
        <v>1.218970049135364E-2</v>
      </c>
      <c r="T223" s="129">
        <f t="shared" ca="1" si="128"/>
        <v>1.218970049135364E-2</v>
      </c>
      <c r="U223" s="129">
        <f t="shared" ca="1" si="128"/>
        <v>1.218970049135364E-2</v>
      </c>
      <c r="V223" s="129">
        <f t="shared" ca="1" si="128"/>
        <v>1.218970049135364E-2</v>
      </c>
      <c r="W223" s="129">
        <f t="shared" ca="1" si="128"/>
        <v>1.218970049135364E-2</v>
      </c>
      <c r="X223" s="129">
        <f t="shared" ca="1" si="128"/>
        <v>1.218970049135364E-2</v>
      </c>
      <c r="Y223" s="129">
        <f t="shared" ca="1" si="128"/>
        <v>1.218970049135364E-2</v>
      </c>
      <c r="Z223" s="129">
        <f t="shared" ca="1" si="128"/>
        <v>1.218970049135364E-2</v>
      </c>
    </row>
    <row r="225" spans="1:26" ht="15.5">
      <c r="B225" s="148" t="s">
        <v>317</v>
      </c>
    </row>
    <row r="226" spans="1:26" s="207" customFormat="1" ht="15.5">
      <c r="A226" s="41"/>
      <c r="B226" s="148"/>
      <c r="C226" s="839"/>
      <c r="D226" s="839"/>
      <c r="E226" s="839"/>
      <c r="F226" s="29"/>
      <c r="G226" s="29"/>
      <c r="H226" s="29"/>
      <c r="I226" s="29"/>
      <c r="J226" s="29"/>
      <c r="K226" s="29"/>
      <c r="L226" s="29"/>
      <c r="M226" s="29"/>
      <c r="N226" s="29"/>
      <c r="O226" s="29"/>
      <c r="P226" s="29"/>
      <c r="Q226" s="29"/>
      <c r="R226" s="29"/>
      <c r="S226" s="29"/>
      <c r="T226" s="29"/>
      <c r="U226" s="29"/>
      <c r="V226" s="29"/>
      <c r="W226" s="29"/>
      <c r="X226" s="29"/>
      <c r="Y226" s="29"/>
      <c r="Z226" s="29"/>
    </row>
    <row r="227" spans="1:26" s="207" customFormat="1">
      <c r="B227" s="546" t="s">
        <v>318</v>
      </c>
      <c r="F227" s="39">
        <f>+IF(YEAR(F$140)=YEAR(Assumptions!$G$30),F209,0)</f>
        <v>0</v>
      </c>
      <c r="G227" s="39">
        <f>+IF(YEAR(G$140)=YEAR(Assumptions!$G$30),G209,0)</f>
        <v>0</v>
      </c>
      <c r="H227" s="39">
        <f>+IF(YEAR(H$140)=YEAR(Assumptions!$G$30),H209,0)</f>
        <v>0</v>
      </c>
      <c r="I227" s="39">
        <f>+IF(YEAR(I$140)=YEAR(Assumptions!$G$30),I209,0)</f>
        <v>0</v>
      </c>
      <c r="J227" s="39">
        <f>+IF(YEAR(J$140)=YEAR(Assumptions!$G$30),J209,0)</f>
        <v>0</v>
      </c>
      <c r="K227" s="39">
        <f>+IF(YEAR(K$140)=YEAR(Assumptions!$G$30),K209,0)</f>
        <v>0</v>
      </c>
      <c r="L227" s="39">
        <f>+IF(YEAR(L$140)=YEAR(Assumptions!$G$30),L209,0)</f>
        <v>0</v>
      </c>
      <c r="M227" s="39">
        <f>+IF(YEAR(M$140)=YEAR(Assumptions!$G$30),M209,0)</f>
        <v>0</v>
      </c>
      <c r="N227" s="39">
        <f ca="1">+IF(YEAR(N$140)=YEAR(Assumptions!$G$30),N209,0)</f>
        <v>0.16914927176692049</v>
      </c>
      <c r="O227" s="39">
        <f>+IF(YEAR(O$140)=YEAR(Assumptions!$G$30),O209,0)</f>
        <v>0</v>
      </c>
      <c r="P227" s="39">
        <f>+IF(YEAR(P$140)=YEAR(Assumptions!$G$30),P209,0)</f>
        <v>0</v>
      </c>
      <c r="Q227" s="39">
        <f>+IF(YEAR(Q$140)=YEAR(Assumptions!$G$30),Q209,0)</f>
        <v>0</v>
      </c>
      <c r="R227" s="39">
        <f>+IF(YEAR(R$140)=YEAR(Assumptions!$G$30),R209,0)</f>
        <v>0</v>
      </c>
      <c r="S227" s="39">
        <f>+IF(YEAR(S$140)=YEAR(Assumptions!$G$30),S209,0)</f>
        <v>0</v>
      </c>
      <c r="T227" s="39">
        <f>+IF(YEAR(T$140)=YEAR(Assumptions!$G$30),T209,0)</f>
        <v>0</v>
      </c>
      <c r="U227" s="39">
        <f>+IF(YEAR(U$140)=YEAR(Assumptions!$G$30),U209,0)</f>
        <v>0</v>
      </c>
      <c r="V227" s="39">
        <f>+IF(YEAR(V$140)=YEAR(Assumptions!$G$30),V209,0)</f>
        <v>0</v>
      </c>
      <c r="W227" s="39">
        <f>+IF(YEAR(W$140)=YEAR(Assumptions!$G$30),W209,0)</f>
        <v>0</v>
      </c>
      <c r="X227" s="39">
        <f>+IF(YEAR(X$140)=YEAR(Assumptions!$G$30),X209,0)</f>
        <v>0</v>
      </c>
      <c r="Y227" s="39">
        <f>+IF(YEAR(Y$140)=YEAR(Assumptions!$G$30),Y209,0)</f>
        <v>0</v>
      </c>
      <c r="Z227" s="39">
        <f>+IF(YEAR(Z$140)=YEAR(Assumptions!$G$30),Z209,0)</f>
        <v>0</v>
      </c>
    </row>
    <row r="228" spans="1:26">
      <c r="B228" s="33" t="s">
        <v>319</v>
      </c>
      <c r="F228" s="151">
        <f>-F227*Assumptions!$O$136</f>
        <v>0</v>
      </c>
      <c r="G228" s="151">
        <f>-G227*Assumptions!$O$136</f>
        <v>0</v>
      </c>
      <c r="H228" s="151">
        <f>-H227*Assumptions!$O$136</f>
        <v>0</v>
      </c>
      <c r="I228" s="151">
        <f>-I227*Assumptions!$O$136</f>
        <v>0</v>
      </c>
      <c r="J228" s="151">
        <f>-J227*Assumptions!$O$136</f>
        <v>0</v>
      </c>
      <c r="K228" s="151">
        <f>-K227*Assumptions!$O$136</f>
        <v>0</v>
      </c>
      <c r="L228" s="151">
        <f>-L227*Assumptions!$O$136</f>
        <v>0</v>
      </c>
      <c r="M228" s="151">
        <f>-M227*Assumptions!$O$136</f>
        <v>0</v>
      </c>
      <c r="N228" s="151">
        <f ca="1">-N227*Assumptions!$O$136</f>
        <v>-3.3829854353384097E-3</v>
      </c>
      <c r="O228" s="151">
        <f>-O227*Assumptions!$O$136</f>
        <v>0</v>
      </c>
      <c r="P228" s="151">
        <f>-P227*Assumptions!$O$136</f>
        <v>0</v>
      </c>
      <c r="Q228" s="151">
        <f>-Q227*Assumptions!$O$136</f>
        <v>0</v>
      </c>
      <c r="R228" s="151">
        <f>-R227*Assumptions!$O$136</f>
        <v>0</v>
      </c>
      <c r="S228" s="151">
        <f>-S227*Assumptions!$O$136</f>
        <v>0</v>
      </c>
      <c r="T228" s="151">
        <f>-T227*Assumptions!$O$136</f>
        <v>0</v>
      </c>
      <c r="U228" s="151">
        <f>-U227*Assumptions!$O$136</f>
        <v>0</v>
      </c>
      <c r="V228" s="151">
        <f>-V227*Assumptions!$O$136</f>
        <v>0</v>
      </c>
      <c r="W228" s="151">
        <f>-W227*Assumptions!$O$136</f>
        <v>0</v>
      </c>
      <c r="X228" s="151">
        <f>-X227*Assumptions!$O$136</f>
        <v>0</v>
      </c>
      <c r="Y228" s="151">
        <f>-Y227*Assumptions!$O$136</f>
        <v>0</v>
      </c>
      <c r="Z228" s="151">
        <f>-Z227*Assumptions!$O$136</f>
        <v>0</v>
      </c>
    </row>
    <row r="229" spans="1:26">
      <c r="B229" s="33" t="s">
        <v>320</v>
      </c>
      <c r="F229" s="151">
        <f>+IF(YEAR(F$140)=YEAR(Assumptions!$G$30),-F215,0)</f>
        <v>0</v>
      </c>
      <c r="G229" s="151">
        <f>+IF(YEAR(G$140)=YEAR(Assumptions!$G$30),-G215,0)</f>
        <v>0</v>
      </c>
      <c r="H229" s="151">
        <f>+IF(YEAR(H$140)=YEAR(Assumptions!$G$30),-H215,0)</f>
        <v>0</v>
      </c>
      <c r="I229" s="151">
        <f>+IF(YEAR(I$140)=YEAR(Assumptions!$G$30),-I215,0)</f>
        <v>0</v>
      </c>
      <c r="J229" s="151">
        <f>+IF(YEAR(J$140)=YEAR(Assumptions!$G$30),-J215,0)</f>
        <v>0</v>
      </c>
      <c r="K229" s="151">
        <f>+IF(YEAR(K$140)=YEAR(Assumptions!$G$30),-K215,0)</f>
        <v>0</v>
      </c>
      <c r="L229" s="151">
        <f>+IF(YEAR(L$140)=YEAR(Assumptions!$G$30),-L215,0)</f>
        <v>0</v>
      </c>
      <c r="M229" s="151">
        <f>+IF(YEAR(M$140)=YEAR(Assumptions!$G$30),-M215,0)</f>
        <v>0</v>
      </c>
      <c r="N229" s="151">
        <f>+IF(YEAR(N$140)=YEAR(Assumptions!$G$30),-N215,0)</f>
        <v>0</v>
      </c>
      <c r="O229" s="151">
        <f>+IF(YEAR(O$140)=YEAR(Assumptions!$G$30),-O215,0)</f>
        <v>0</v>
      </c>
      <c r="P229" s="151">
        <f>+IF(YEAR(P$140)=YEAR(Assumptions!$G$30),-P215,0)</f>
        <v>0</v>
      </c>
      <c r="Q229" s="151">
        <f>+IF(YEAR(Q$140)=YEAR(Assumptions!$G$30),-Q215,0)</f>
        <v>0</v>
      </c>
      <c r="R229" s="151">
        <f>+IF(YEAR(R$140)=YEAR(Assumptions!$G$30),-R215,0)</f>
        <v>0</v>
      </c>
      <c r="S229" s="151">
        <f>+IF(YEAR(S$140)=YEAR(Assumptions!$G$30),-S215,0)</f>
        <v>0</v>
      </c>
      <c r="T229" s="151">
        <f>+IF(YEAR(T$140)=YEAR(Assumptions!$G$30),-T215,0)</f>
        <v>0</v>
      </c>
      <c r="U229" s="151">
        <f>+IF(YEAR(U$140)=YEAR(Assumptions!$G$30),-U215,0)</f>
        <v>0</v>
      </c>
      <c r="V229" s="151">
        <f>+IF(YEAR(V$140)=YEAR(Assumptions!$G$30),-V215,0)</f>
        <v>0</v>
      </c>
      <c r="W229" s="151">
        <f>+IF(YEAR(W$140)=YEAR(Assumptions!$G$30),-W215,0)</f>
        <v>0</v>
      </c>
      <c r="X229" s="151">
        <f>+IF(YEAR(X$140)=YEAR(Assumptions!$G$30),-X215,0)</f>
        <v>0</v>
      </c>
      <c r="Y229" s="151">
        <f>+IF(YEAR(Y$140)=YEAR(Assumptions!$G$30),-Y215,0)</f>
        <v>0</v>
      </c>
      <c r="Z229" s="151">
        <f>+IF(YEAR(Z$140)=YEAR(Assumptions!$G$30),-Z215,0)</f>
        <v>0</v>
      </c>
    </row>
    <row r="230" spans="1:26">
      <c r="B230" s="137" t="s">
        <v>321</v>
      </c>
      <c r="C230" s="137"/>
      <c r="D230" s="137"/>
      <c r="E230" s="137"/>
      <c r="F230" s="129">
        <f>+SUM(F226:F229)</f>
        <v>0</v>
      </c>
      <c r="G230" s="129">
        <f>+SUM(G226:G229)</f>
        <v>0</v>
      </c>
      <c r="H230" s="129">
        <f t="shared" ref="H230:Z230" si="129">+SUM(H226:H229)</f>
        <v>0</v>
      </c>
      <c r="I230" s="129">
        <f t="shared" si="129"/>
        <v>0</v>
      </c>
      <c r="J230" s="129">
        <f>+SUM(J226:J229)</f>
        <v>0</v>
      </c>
      <c r="K230" s="129">
        <f t="shared" si="129"/>
        <v>0</v>
      </c>
      <c r="L230" s="129">
        <f t="shared" si="129"/>
        <v>0</v>
      </c>
      <c r="M230" s="129">
        <f t="shared" si="129"/>
        <v>0</v>
      </c>
      <c r="N230" s="129">
        <f t="shared" ca="1" si="129"/>
        <v>0.16576628633158208</v>
      </c>
      <c r="O230" s="129">
        <f t="shared" si="129"/>
        <v>0</v>
      </c>
      <c r="P230" s="129">
        <f t="shared" si="129"/>
        <v>0</v>
      </c>
      <c r="Q230" s="129">
        <f t="shared" si="129"/>
        <v>0</v>
      </c>
      <c r="R230" s="129">
        <f t="shared" si="129"/>
        <v>0</v>
      </c>
      <c r="S230" s="129">
        <f t="shared" si="129"/>
        <v>0</v>
      </c>
      <c r="T230" s="129">
        <f t="shared" si="129"/>
        <v>0</v>
      </c>
      <c r="U230" s="129">
        <f t="shared" si="129"/>
        <v>0</v>
      </c>
      <c r="V230" s="129">
        <f t="shared" si="129"/>
        <v>0</v>
      </c>
      <c r="W230" s="129">
        <f t="shared" si="129"/>
        <v>0</v>
      </c>
      <c r="X230" s="129">
        <f t="shared" si="129"/>
        <v>0</v>
      </c>
      <c r="Y230" s="129">
        <f t="shared" si="129"/>
        <v>0</v>
      </c>
      <c r="Z230" s="129">
        <f t="shared" si="129"/>
        <v>0</v>
      </c>
    </row>
    <row r="232" spans="1:26" ht="15.5">
      <c r="B232" s="138" t="s">
        <v>322</v>
      </c>
      <c r="C232" s="138"/>
      <c r="D232" s="138"/>
      <c r="E232" s="138"/>
      <c r="F232" s="139">
        <f ca="1">+IF(YEAR(F$140)&lt;=YEAR(Assumptions!$G$30),'Phase II Pro Forma'!F230+'Phase II Pro Forma'!F223,0)</f>
        <v>0</v>
      </c>
      <c r="G232" s="139">
        <f ca="1">+IF(YEAR(G$140)&lt;=YEAR(Assumptions!$G$30),'Phase II Pro Forma'!G230+'Phase II Pro Forma'!G223,0)</f>
        <v>0</v>
      </c>
      <c r="H232" s="139">
        <f ca="1">+IF(YEAR(H$140)&lt;=YEAR(Assumptions!$G$30),'Phase II Pro Forma'!H230+'Phase II Pro Forma'!H223,0)</f>
        <v>0</v>
      </c>
      <c r="I232" s="139">
        <f ca="1">+IF(YEAR(I$140)&lt;=YEAR(Assumptions!$G$30),'Phase II Pro Forma'!I230+'Phase II Pro Forma'!I223,0)</f>
        <v>5.0543443081768231E-3</v>
      </c>
      <c r="J232" s="139">
        <f>+IF(YEAR(J$140)&lt;=YEAR(Assumptions!$G$30),'Phase II Pro Forma'!J230+'Phase II Pro Forma'!J223,0)</f>
        <v>1.3653097500000001E-2</v>
      </c>
      <c r="K232" s="139">
        <f ca="1">+IF(YEAR(K$140)&lt;=YEAR(Assumptions!$G$30),'Phase II Pro Forma'!K230+'Phase II Pro Forma'!K223,0)</f>
        <v>1.218970049135364E-2</v>
      </c>
      <c r="L232" s="139">
        <f ca="1">+IF(YEAR(L$140)&lt;=YEAR(Assumptions!$G$30),'Phase II Pro Forma'!L230+'Phase II Pro Forma'!L223,0)</f>
        <v>1.218970049135364E-2</v>
      </c>
      <c r="M232" s="139">
        <f ca="1">+IF(YEAR(M$140)&lt;=YEAR(Assumptions!$G$30),'Phase II Pro Forma'!M230+'Phase II Pro Forma'!M223,0)</f>
        <v>1.218970049135364E-2</v>
      </c>
      <c r="N232" s="139">
        <f ca="1">+IF(YEAR(N$140)&lt;=YEAR(Assumptions!$G$30),'Phase II Pro Forma'!N230+'Phase II Pro Forma'!N223,0)</f>
        <v>0.17795598682293573</v>
      </c>
      <c r="O232" s="139">
        <f>+IF(YEAR(O$140)&lt;=YEAR(Assumptions!$G$30),'Phase II Pro Forma'!O230+'Phase II Pro Forma'!O223,0)</f>
        <v>0</v>
      </c>
      <c r="P232" s="139">
        <f>+IF(YEAR(P$140)&lt;=YEAR(Assumptions!$G$30),'Phase II Pro Forma'!P230+'Phase II Pro Forma'!P223,0)</f>
        <v>0</v>
      </c>
      <c r="Q232" s="139">
        <f>+IF(YEAR(Q$140)&lt;=YEAR(Assumptions!$G$30),'Phase II Pro Forma'!Q230+'Phase II Pro Forma'!Q223,0)</f>
        <v>0</v>
      </c>
      <c r="R232" s="139">
        <f>+IF(YEAR(R$140)&lt;=YEAR(Assumptions!$G$30),'Phase II Pro Forma'!R230+'Phase II Pro Forma'!R223,0)</f>
        <v>0</v>
      </c>
      <c r="S232" s="139">
        <f>+IF(YEAR(S$140)&lt;=YEAR(Assumptions!$G$30),'Phase II Pro Forma'!S230+'Phase II Pro Forma'!S223,0)</f>
        <v>0</v>
      </c>
      <c r="T232" s="139">
        <f>+IF(YEAR(T$140)&lt;=YEAR(Assumptions!$G$30),'Phase II Pro Forma'!T230+'Phase II Pro Forma'!T223,0)</f>
        <v>0</v>
      </c>
      <c r="U232" s="139">
        <f>+IF(YEAR(U$140)&lt;=YEAR(Assumptions!$G$30),'Phase II Pro Forma'!U230+'Phase II Pro Forma'!U223,0)</f>
        <v>0</v>
      </c>
      <c r="V232" s="139">
        <f>+IF(YEAR(V$140)&lt;=YEAR(Assumptions!$G$30),'Phase II Pro Forma'!V230+'Phase II Pro Forma'!V223,0)</f>
        <v>0</v>
      </c>
      <c r="W232" s="139">
        <f>+IF(YEAR(W$140)&lt;=YEAR(Assumptions!$G$30),'Phase II Pro Forma'!W230+'Phase II Pro Forma'!W223,0)</f>
        <v>0</v>
      </c>
      <c r="X232" s="139">
        <f>+IF(YEAR(X$140)&lt;=YEAR(Assumptions!$G$30),'Phase II Pro Forma'!X230+'Phase II Pro Forma'!X223,0)</f>
        <v>0</v>
      </c>
      <c r="Y232" s="139">
        <f>+IF(YEAR(Y$140)&lt;=YEAR(Assumptions!$G$30),'Phase II Pro Forma'!Y230+'Phase II Pro Forma'!Y223,0)</f>
        <v>0</v>
      </c>
      <c r="Z232" s="139">
        <f>+IF(YEAR(Z$140)&lt;=YEAR(Assumptions!$G$30),'Phase II Pro Forma'!Z230+'Phase II Pro Forma'!Z223,0)</f>
        <v>0</v>
      </c>
    </row>
    <row r="234" spans="1:26" ht="15.5">
      <c r="B234" s="37" t="s">
        <v>826</v>
      </c>
      <c r="C234" s="38"/>
      <c r="D234" s="38"/>
      <c r="E234" s="38"/>
      <c r="F234" s="136"/>
      <c r="G234" s="136"/>
      <c r="H234" s="136"/>
      <c r="I234" s="136"/>
      <c r="J234" s="136"/>
      <c r="K234" s="136"/>
      <c r="L234" s="136"/>
      <c r="M234" s="136"/>
      <c r="N234" s="136"/>
      <c r="O234" s="136"/>
      <c r="P234" s="136"/>
      <c r="Q234" s="136"/>
      <c r="R234" s="136"/>
      <c r="S234" s="136"/>
      <c r="T234" s="136"/>
      <c r="U234" s="136"/>
      <c r="V234" s="136"/>
      <c r="W234" s="136"/>
      <c r="X234" s="136"/>
      <c r="Y234" s="136"/>
      <c r="Z234" s="136"/>
    </row>
    <row r="236" spans="1:26" ht="15.5">
      <c r="B236" s="148" t="s">
        <v>710</v>
      </c>
      <c r="C236" s="149"/>
      <c r="D236" s="149"/>
      <c r="E236" s="149"/>
      <c r="F236" s="150">
        <f>+Assumptions!$G$22</f>
        <v>45291</v>
      </c>
      <c r="G236" s="150">
        <f>+EOMONTH(F236,12)</f>
        <v>45657</v>
      </c>
      <c r="H236" s="150">
        <f t="shared" ref="H236:Z236" si="130">+EOMONTH(G236,12)</f>
        <v>46022</v>
      </c>
      <c r="I236" s="150">
        <f t="shared" si="130"/>
        <v>46387</v>
      </c>
      <c r="J236" s="150">
        <f t="shared" si="130"/>
        <v>46752</v>
      </c>
      <c r="K236" s="150">
        <f t="shared" si="130"/>
        <v>47118</v>
      </c>
      <c r="L236" s="150">
        <f t="shared" si="130"/>
        <v>47483</v>
      </c>
      <c r="M236" s="150">
        <f t="shared" si="130"/>
        <v>47848</v>
      </c>
      <c r="N236" s="150">
        <f t="shared" si="130"/>
        <v>48213</v>
      </c>
      <c r="O236" s="150">
        <f t="shared" si="130"/>
        <v>48579</v>
      </c>
      <c r="P236" s="150">
        <f t="shared" si="130"/>
        <v>48944</v>
      </c>
      <c r="Q236" s="150">
        <f t="shared" si="130"/>
        <v>49309</v>
      </c>
      <c r="R236" s="150">
        <f t="shared" si="130"/>
        <v>49674</v>
      </c>
      <c r="S236" s="150">
        <f t="shared" si="130"/>
        <v>50040</v>
      </c>
      <c r="T236" s="150">
        <f t="shared" si="130"/>
        <v>50405</v>
      </c>
      <c r="U236" s="150">
        <f t="shared" si="130"/>
        <v>50770</v>
      </c>
      <c r="V236" s="150">
        <f t="shared" si="130"/>
        <v>51135</v>
      </c>
      <c r="W236" s="150">
        <f t="shared" si="130"/>
        <v>51501</v>
      </c>
      <c r="X236" s="150">
        <f t="shared" si="130"/>
        <v>51866</v>
      </c>
      <c r="Y236" s="150">
        <f t="shared" si="130"/>
        <v>52231</v>
      </c>
      <c r="Z236" s="150">
        <f t="shared" si="130"/>
        <v>52596</v>
      </c>
    </row>
    <row r="237" spans="1:26">
      <c r="B237" s="33" t="s">
        <v>690</v>
      </c>
      <c r="C237" s="33"/>
      <c r="D237" s="40"/>
      <c r="E237" s="40"/>
      <c r="F237" s="42">
        <f>+IF(AND(F236&gt;=Assumptions!$G$26,F236&lt;Assumptions!$G$28),Assumptions!$G$218/ROUNDUP((Assumptions!$G$27/12),0),0)</f>
        <v>0</v>
      </c>
      <c r="G237" s="42">
        <f>+IF(AND(G236&gt;=Assumptions!$G$26,G236&lt;Assumptions!$G$28),Assumptions!$G$218/ROUNDUP((Assumptions!$G$27/12),0),0)</f>
        <v>0</v>
      </c>
      <c r="H237" s="42">
        <f>+IF(AND(H236&gt;=Assumptions!$G$26,H236&lt;Assumptions!$G$28),Assumptions!$G$218/ROUNDUP((Assumptions!$G$27/12),0),0)</f>
        <v>0</v>
      </c>
      <c r="I237" s="42">
        <f>+IF(AND(I236&gt;=Assumptions!$G$26,I236&lt;Assumptions!$G$28),Assumptions!$G$218/ROUNDUP((Assumptions!$G$27/12),0),0)</f>
        <v>70262</v>
      </c>
      <c r="J237" s="42">
        <f>+IF(AND(J236&gt;=Assumptions!$G$26,J236&lt;Assumptions!$G$28),Assumptions!$G$218/ROUNDUP((Assumptions!$G$27/12),0),0)</f>
        <v>70262</v>
      </c>
      <c r="K237" s="42">
        <f>+IF(AND(K236&gt;=Assumptions!$G$26,K236&lt;Assumptions!$G$28),Assumptions!$G$218/ROUNDUP((Assumptions!$G$27/12),0),0)</f>
        <v>0</v>
      </c>
      <c r="L237" s="42">
        <f>+IF(AND(L236&gt;=Assumptions!$G$26,L236&lt;Assumptions!$G$28),Assumptions!$G$218/ROUNDUP((Assumptions!$G$27/12),0),0)</f>
        <v>0</v>
      </c>
      <c r="M237" s="42">
        <f>+IF(AND(M236&gt;=Assumptions!$G$26,M236&lt;Assumptions!$G$28),Assumptions!$G$218/ROUNDUP((Assumptions!$G$27/12),0),0)</f>
        <v>0</v>
      </c>
      <c r="N237" s="42">
        <f>+IF(AND(N236&gt;=Assumptions!$G$26,N236&lt;Assumptions!$G$28),Assumptions!$G$218/ROUNDUP((Assumptions!$G$27/12),0),0)</f>
        <v>0</v>
      </c>
      <c r="O237" s="42">
        <f>+IF(AND(O236&gt;=Assumptions!$G$26,O236&lt;Assumptions!$G$28),Assumptions!$G$218/ROUNDUP((Assumptions!$G$27/12),0),0)</f>
        <v>0</v>
      </c>
      <c r="P237" s="42">
        <f>+IF(AND(P236&gt;=Assumptions!$G$26,P236&lt;Assumptions!$G$28),Assumptions!$G$218/ROUNDUP((Assumptions!$G$27/12),0),0)</f>
        <v>0</v>
      </c>
      <c r="Q237" s="42">
        <f>+IF(AND(Q236&gt;=Assumptions!$G$26,Q236&lt;Assumptions!$G$28),Assumptions!$G$218/ROUNDUP((Assumptions!$G$27/12),0),0)</f>
        <v>0</v>
      </c>
      <c r="R237" s="42">
        <f>+IF(AND(R236&gt;=Assumptions!$G$26,R236&lt;Assumptions!$G$28),Assumptions!$G$218/ROUNDUP((Assumptions!$G$27/12),0),0)</f>
        <v>0</v>
      </c>
      <c r="S237" s="42">
        <f>+IF(AND(S236&gt;=Assumptions!$G$26,S236&lt;Assumptions!$G$28),Assumptions!$G$218/ROUNDUP((Assumptions!$G$27/12),0),0)</f>
        <v>0</v>
      </c>
      <c r="T237" s="42">
        <f>+IF(AND(T236&gt;=Assumptions!$G$26,T236&lt;Assumptions!$G$28),Assumptions!$G$218/ROUNDUP((Assumptions!$G$27/12),0),0)</f>
        <v>0</v>
      </c>
      <c r="U237" s="42">
        <f>+IF(AND(U236&gt;=Assumptions!$G$26,U236&lt;Assumptions!$G$28),Assumptions!$G$218/ROUNDUP((Assumptions!$G$27/12),0),0)</f>
        <v>0</v>
      </c>
      <c r="V237" s="42">
        <f>+IF(AND(V236&gt;=Assumptions!$G$26,V236&lt;Assumptions!$G$28),Assumptions!$G$218/ROUNDUP((Assumptions!$G$27/12),0),0)</f>
        <v>0</v>
      </c>
      <c r="W237" s="42">
        <f>+IF(AND(W236&gt;=Assumptions!$G$26,W236&lt;Assumptions!$G$28),Assumptions!$G$218/ROUNDUP((Assumptions!$G$27/12),0),0)</f>
        <v>0</v>
      </c>
      <c r="X237" s="42">
        <f>+IF(AND(X236&gt;=Assumptions!$G$26,X236&lt;Assumptions!$G$28),Assumptions!$G$218/ROUNDUP((Assumptions!$G$27/12),0),0)</f>
        <v>0</v>
      </c>
      <c r="Y237" s="42">
        <f>+IF(AND(Y236&gt;=Assumptions!$G$26,Y236&lt;Assumptions!$G$28),Assumptions!$G$218/ROUNDUP((Assumptions!$G$27/12),0),0)</f>
        <v>0</v>
      </c>
      <c r="Z237" s="42">
        <f>+IF(AND(Z236&gt;=Assumptions!$G$26,Z236&lt;Assumptions!$G$28),Assumptions!$G$218/ROUNDUP((Assumptions!$G$27/12),0),0)</f>
        <v>0</v>
      </c>
    </row>
    <row r="238" spans="1:26">
      <c r="B238" s="33" t="s">
        <v>231</v>
      </c>
      <c r="C238" s="33"/>
      <c r="E238" s="42">
        <v>0</v>
      </c>
      <c r="F238" s="42">
        <f>+E238+F237</f>
        <v>0</v>
      </c>
      <c r="G238" s="42">
        <f t="shared" ref="G238:Z238" si="131">+F238+G237</f>
        <v>0</v>
      </c>
      <c r="H238" s="42">
        <f t="shared" si="131"/>
        <v>0</v>
      </c>
      <c r="I238" s="42">
        <f t="shared" si="131"/>
        <v>70262</v>
      </c>
      <c r="J238" s="42">
        <f t="shared" si="131"/>
        <v>140524</v>
      </c>
      <c r="K238" s="42">
        <f t="shared" si="131"/>
        <v>140524</v>
      </c>
      <c r="L238" s="42">
        <f t="shared" si="131"/>
        <v>140524</v>
      </c>
      <c r="M238" s="42">
        <f t="shared" si="131"/>
        <v>140524</v>
      </c>
      <c r="N238" s="42">
        <f t="shared" si="131"/>
        <v>140524</v>
      </c>
      <c r="O238" s="42">
        <f t="shared" si="131"/>
        <v>140524</v>
      </c>
      <c r="P238" s="42">
        <f t="shared" si="131"/>
        <v>140524</v>
      </c>
      <c r="Q238" s="42">
        <f t="shared" si="131"/>
        <v>140524</v>
      </c>
      <c r="R238" s="42">
        <f t="shared" si="131"/>
        <v>140524</v>
      </c>
      <c r="S238" s="42">
        <f t="shared" si="131"/>
        <v>140524</v>
      </c>
      <c r="T238" s="42">
        <f t="shared" si="131"/>
        <v>140524</v>
      </c>
      <c r="U238" s="42">
        <f t="shared" si="131"/>
        <v>140524</v>
      </c>
      <c r="V238" s="42">
        <f t="shared" si="131"/>
        <v>140524</v>
      </c>
      <c r="W238" s="42">
        <f t="shared" si="131"/>
        <v>140524</v>
      </c>
      <c r="X238" s="42">
        <f t="shared" si="131"/>
        <v>140524</v>
      </c>
      <c r="Y238" s="42">
        <f t="shared" si="131"/>
        <v>140524</v>
      </c>
      <c r="Z238" s="42">
        <f t="shared" si="131"/>
        <v>140524</v>
      </c>
    </row>
    <row r="239" spans="1:26">
      <c r="B239" s="33" t="s">
        <v>285</v>
      </c>
      <c r="C239" s="33"/>
      <c r="D239" s="42"/>
      <c r="E239" s="42"/>
      <c r="F239" s="108">
        <f t="shared" ref="F239:Z239" si="132">+F238/SUM($F237:$Z237)</f>
        <v>0</v>
      </c>
      <c r="G239" s="108">
        <f t="shared" si="132"/>
        <v>0</v>
      </c>
      <c r="H239" s="108">
        <f t="shared" si="132"/>
        <v>0</v>
      </c>
      <c r="I239" s="108">
        <f t="shared" si="132"/>
        <v>0.5</v>
      </c>
      <c r="J239" s="108">
        <f t="shared" si="132"/>
        <v>1</v>
      </c>
      <c r="K239" s="108">
        <f t="shared" si="132"/>
        <v>1</v>
      </c>
      <c r="L239" s="108">
        <f t="shared" si="132"/>
        <v>1</v>
      </c>
      <c r="M239" s="108">
        <f t="shared" si="132"/>
        <v>1</v>
      </c>
      <c r="N239" s="108">
        <f t="shared" si="132"/>
        <v>1</v>
      </c>
      <c r="O239" s="108">
        <f t="shared" si="132"/>
        <v>1</v>
      </c>
      <c r="P239" s="108">
        <f t="shared" si="132"/>
        <v>1</v>
      </c>
      <c r="Q239" s="108">
        <f t="shared" si="132"/>
        <v>1</v>
      </c>
      <c r="R239" s="108">
        <f t="shared" si="132"/>
        <v>1</v>
      </c>
      <c r="S239" s="108">
        <f t="shared" si="132"/>
        <v>1</v>
      </c>
      <c r="T239" s="108">
        <f t="shared" si="132"/>
        <v>1</v>
      </c>
      <c r="U239" s="108">
        <f t="shared" si="132"/>
        <v>1</v>
      </c>
      <c r="V239" s="108">
        <f t="shared" si="132"/>
        <v>1</v>
      </c>
      <c r="W239" s="108">
        <f t="shared" si="132"/>
        <v>1</v>
      </c>
      <c r="X239" s="108">
        <f t="shared" si="132"/>
        <v>1</v>
      </c>
      <c r="Y239" s="108">
        <f t="shared" si="132"/>
        <v>1</v>
      </c>
      <c r="Z239" s="108">
        <f t="shared" si="132"/>
        <v>1</v>
      </c>
    </row>
    <row r="240" spans="1:26">
      <c r="B240" s="33"/>
      <c r="C240" s="33"/>
      <c r="D240" s="40"/>
      <c r="E240" s="40"/>
      <c r="F240" s="34"/>
      <c r="G240" s="34"/>
      <c r="H240" s="34"/>
      <c r="I240" s="34"/>
      <c r="J240" s="34"/>
      <c r="K240" s="34"/>
      <c r="L240" s="34"/>
      <c r="M240" s="34"/>
      <c r="N240" s="34"/>
      <c r="O240" s="34"/>
      <c r="P240" s="34"/>
      <c r="Q240" s="34"/>
      <c r="R240" s="34"/>
      <c r="S240" s="34"/>
      <c r="T240" s="34"/>
      <c r="U240" s="34"/>
      <c r="V240" s="34"/>
      <c r="W240" s="34"/>
      <c r="X240" s="34"/>
      <c r="Y240" s="34"/>
      <c r="Z240" s="34"/>
    </row>
    <row r="241" spans="2:26">
      <c r="B241" s="33" t="s">
        <v>236</v>
      </c>
      <c r="C241" s="33"/>
      <c r="D241" s="42"/>
      <c r="E241" s="42"/>
      <c r="F241" s="108">
        <v>1</v>
      </c>
      <c r="G241" s="108">
        <f>+IF(MOD(G$2,Assumptions!$O$73)=(Assumptions!$O$73-1),F241*(1+Assumptions!$O$72),'Phase II Pro Forma'!F241)</f>
        <v>1</v>
      </c>
      <c r="H241" s="108">
        <f>+IF(MOD(H$2,Assumptions!$O$73)=(Assumptions!$O$73-1),G241*(1+Assumptions!$O$72),'Phase II Pro Forma'!G241)</f>
        <v>1</v>
      </c>
      <c r="I241" s="108">
        <f>+IF(MOD(I$2,Assumptions!$O$73)=(Assumptions!$O$73-1),H241*(1+Assumptions!$O$72),'Phase II Pro Forma'!H241)</f>
        <v>1</v>
      </c>
      <c r="J241" s="108">
        <f>+IF(MOD(J$2,Assumptions!$O$73)=(Assumptions!$O$73-1),I241*(1+Assumptions!$O$72),'Phase II Pro Forma'!I241)</f>
        <v>1</v>
      </c>
      <c r="K241" s="108">
        <f>+IF(MOD(K$2,Assumptions!$O$73)=(Assumptions!$O$73-1),J241*(1+Assumptions!$O$72),'Phase II Pro Forma'!J241)</f>
        <v>1</v>
      </c>
      <c r="L241" s="108">
        <f>+IF(MOD(L$2,Assumptions!$O$73)=(Assumptions!$O$73-1),K241*(1+Assumptions!$O$72),'Phase II Pro Forma'!K241)</f>
        <v>1.1000000000000001</v>
      </c>
      <c r="M241" s="108">
        <f>+IF(MOD(M$2,Assumptions!$O$73)=(Assumptions!$O$73-1),L241*(1+Assumptions!$O$72),'Phase II Pro Forma'!L241)</f>
        <v>1.1000000000000001</v>
      </c>
      <c r="N241" s="108">
        <f>+IF(MOD(N$2,Assumptions!$O$73)=(Assumptions!$O$73-1),M241*(1+Assumptions!$O$72),'Phase II Pro Forma'!M241)</f>
        <v>1.1000000000000001</v>
      </c>
      <c r="O241" s="108">
        <f>+IF(MOD(O$2,Assumptions!$O$73)=(Assumptions!$O$73-1),N241*(1+Assumptions!$O$72),'Phase II Pro Forma'!N241)</f>
        <v>1.1000000000000001</v>
      </c>
      <c r="P241" s="108">
        <f>+IF(MOD(P$2,Assumptions!$O$73)=(Assumptions!$O$73-1),O241*(1+Assumptions!$O$72),'Phase II Pro Forma'!O241)</f>
        <v>1.1000000000000001</v>
      </c>
      <c r="Q241" s="108">
        <f>+IF(MOD(Q$2,Assumptions!$O$73)=(Assumptions!$O$73-1),P241*(1+Assumptions!$O$72),'Phase II Pro Forma'!P241)</f>
        <v>1.2100000000000002</v>
      </c>
      <c r="R241" s="108">
        <f>+IF(MOD(R$2,Assumptions!$O$73)=(Assumptions!$O$73-1),Q241*(1+Assumptions!$O$72),'Phase II Pro Forma'!Q241)</f>
        <v>1.2100000000000002</v>
      </c>
      <c r="S241" s="108">
        <f>+IF(MOD(S$2,Assumptions!$O$73)=(Assumptions!$O$73-1),R241*(1+Assumptions!$O$72),'Phase II Pro Forma'!R241)</f>
        <v>1.2100000000000002</v>
      </c>
      <c r="T241" s="108">
        <f>+IF(MOD(T$2,Assumptions!$O$73)=(Assumptions!$O$73-1),S241*(1+Assumptions!$O$72),'Phase II Pro Forma'!S241)</f>
        <v>1.2100000000000002</v>
      </c>
      <c r="U241" s="108">
        <f>+IF(MOD(U$2,Assumptions!$O$73)=(Assumptions!$O$73-1),T241*(1+Assumptions!$O$72),'Phase II Pro Forma'!T241)</f>
        <v>1.2100000000000002</v>
      </c>
      <c r="V241" s="108">
        <f>+IF(MOD(V$2,Assumptions!$O$73)=(Assumptions!$O$73-1),U241*(1+Assumptions!$O$72),'Phase II Pro Forma'!U241)</f>
        <v>1.3310000000000004</v>
      </c>
      <c r="W241" s="108">
        <f>+IF(MOD(W$2,Assumptions!$O$73)=(Assumptions!$O$73-1),V241*(1+Assumptions!$O$72),'Phase II Pro Forma'!V241)</f>
        <v>1.3310000000000004</v>
      </c>
      <c r="X241" s="108">
        <f>+IF(MOD(X$2,Assumptions!$O$73)=(Assumptions!$O$73-1),W241*(1+Assumptions!$O$72),'Phase II Pro Forma'!W241)</f>
        <v>1.3310000000000004</v>
      </c>
      <c r="Y241" s="108">
        <f>+IF(MOD(Y$2,Assumptions!$O$73)=(Assumptions!$O$73-1),X241*(1+Assumptions!$O$72),'Phase II Pro Forma'!X241)</f>
        <v>1.3310000000000004</v>
      </c>
      <c r="Z241" s="108">
        <f>+IF(MOD(Z$2,Assumptions!$O$73)=(Assumptions!$O$73-1),Y241*(1+Assumptions!$O$72),'Phase II Pro Forma'!Y241)</f>
        <v>1.3310000000000004</v>
      </c>
    </row>
    <row r="242" spans="2:26">
      <c r="B242" s="33" t="s">
        <v>237</v>
      </c>
      <c r="C242" s="33"/>
      <c r="D242" s="42"/>
      <c r="E242" s="42"/>
      <c r="F242" s="108">
        <v>1</v>
      </c>
      <c r="G242" s="108">
        <f>+F242*(1+Assumptions!$O$81)</f>
        <v>1.03</v>
      </c>
      <c r="H242" s="108">
        <f>+G242*(1+Assumptions!$O$81)</f>
        <v>1.0609</v>
      </c>
      <c r="I242" s="108">
        <f>+H242*(1+Assumptions!$O$81)</f>
        <v>1.092727</v>
      </c>
      <c r="J242" s="108">
        <f>+I242*(1+Assumptions!$O$81)</f>
        <v>1.1255088100000001</v>
      </c>
      <c r="K242" s="108">
        <f>+J242*(1+Assumptions!$O$81)</f>
        <v>1.1592740743000001</v>
      </c>
      <c r="L242" s="108">
        <f>+K242*(1+Assumptions!$O$81)</f>
        <v>1.1940522965290001</v>
      </c>
      <c r="M242" s="108">
        <f>+L242*(1+Assumptions!$O$81)</f>
        <v>1.2298738654248702</v>
      </c>
      <c r="N242" s="108">
        <f>+M242*(1+Assumptions!$O$81)</f>
        <v>1.2667700813876164</v>
      </c>
      <c r="O242" s="108">
        <f>+N242*(1+Assumptions!$O$81)</f>
        <v>1.3047731838292449</v>
      </c>
      <c r="P242" s="108">
        <f>+O242*(1+Assumptions!$O$81)</f>
        <v>1.3439163793441222</v>
      </c>
      <c r="Q242" s="108">
        <f>+P242*(1+Assumptions!$O$81)</f>
        <v>1.3842338707244459</v>
      </c>
      <c r="R242" s="108">
        <f>+Q242*(1+Assumptions!$O$81)</f>
        <v>1.4257608868461793</v>
      </c>
      <c r="S242" s="108">
        <f>+R242*(1+Assumptions!$O$81)</f>
        <v>1.4685337134515648</v>
      </c>
      <c r="T242" s="108">
        <f>+S242*(1+Assumptions!$O$81)</f>
        <v>1.5125897248551119</v>
      </c>
      <c r="U242" s="108">
        <f>+T242*(1+Assumptions!$O$81)</f>
        <v>1.5579674166007653</v>
      </c>
      <c r="V242" s="108">
        <f>+U242*(1+Assumptions!$O$81)</f>
        <v>1.6047064390987884</v>
      </c>
      <c r="W242" s="108">
        <f>+V242*(1+Assumptions!$O$81)</f>
        <v>1.652847632271752</v>
      </c>
      <c r="X242" s="108">
        <f>+W242*(1+Assumptions!$O$81)</f>
        <v>1.7024330612399046</v>
      </c>
      <c r="Y242" s="108">
        <f>+X242*(1+Assumptions!$O$81)</f>
        <v>1.7535060530771018</v>
      </c>
      <c r="Z242" s="108">
        <f>+Y242*(1+Assumptions!$O$81)</f>
        <v>1.806111234669415</v>
      </c>
    </row>
    <row r="243" spans="2:26">
      <c r="B243" s="33"/>
      <c r="C243" s="33"/>
      <c r="D243" s="40"/>
      <c r="E243" s="40"/>
      <c r="F243" s="34"/>
      <c r="G243" s="34"/>
      <c r="H243" s="34"/>
      <c r="I243" s="34"/>
      <c r="J243" s="34"/>
      <c r="K243" s="34"/>
      <c r="L243" s="34"/>
      <c r="M243" s="34"/>
      <c r="N243" s="34"/>
      <c r="O243" s="34"/>
      <c r="P243" s="34"/>
      <c r="Q243" s="34"/>
      <c r="R243" s="34"/>
      <c r="S243" s="34"/>
      <c r="T243" s="34"/>
      <c r="U243" s="34"/>
      <c r="V243" s="34"/>
      <c r="W243" s="34"/>
      <c r="X243" s="34"/>
      <c r="Y243" s="34"/>
      <c r="Z243" s="34"/>
    </row>
    <row r="244" spans="2:26">
      <c r="B244" s="33" t="s">
        <v>228</v>
      </c>
      <c r="C244" s="33"/>
      <c r="D244" s="40"/>
      <c r="E244" s="40"/>
      <c r="F244" s="34">
        <f>+F239*Assumptions!$G$217*F241</f>
        <v>0</v>
      </c>
      <c r="G244" s="34">
        <f>+G239*Assumptions!$G$217*G241</f>
        <v>0</v>
      </c>
      <c r="H244" s="34">
        <f>+H239*Assumptions!$G$217*H241</f>
        <v>0</v>
      </c>
      <c r="I244" s="34">
        <f>+I239*Assumptions!$G$217*I241</f>
        <v>1897074</v>
      </c>
      <c r="J244" s="34">
        <f>+J239*Assumptions!$G$217*J241</f>
        <v>3794148</v>
      </c>
      <c r="K244" s="34">
        <f>+K239*Assumptions!$G$217*K241</f>
        <v>3794148</v>
      </c>
      <c r="L244" s="34">
        <f>+L239*Assumptions!$G$217*L241</f>
        <v>4173562.8000000003</v>
      </c>
      <c r="M244" s="34">
        <f>+M239*Assumptions!$G$217*M241</f>
        <v>4173562.8000000003</v>
      </c>
      <c r="N244" s="34">
        <f>+N239*Assumptions!$G$217*N241</f>
        <v>4173562.8000000003</v>
      </c>
      <c r="O244" s="34">
        <f>+O239*Assumptions!$G$217*O241</f>
        <v>4173562.8000000003</v>
      </c>
      <c r="P244" s="34">
        <f>+P239*Assumptions!$G$217*P241</f>
        <v>4173562.8000000003</v>
      </c>
      <c r="Q244" s="34">
        <f>+Q239*Assumptions!$G$217*Q241</f>
        <v>4590919.080000001</v>
      </c>
      <c r="R244" s="34">
        <f>+R239*Assumptions!$G$217*R241</f>
        <v>4590919.080000001</v>
      </c>
      <c r="S244" s="34">
        <f>+S239*Assumptions!$G$217*S241</f>
        <v>4590919.080000001</v>
      </c>
      <c r="T244" s="34">
        <f>+T239*Assumptions!$G$217*T241</f>
        <v>4590919.080000001</v>
      </c>
      <c r="U244" s="34">
        <f>+U239*Assumptions!$G$217*U241</f>
        <v>4590919.080000001</v>
      </c>
      <c r="V244" s="34">
        <f>+V239*Assumptions!$G$217*V241</f>
        <v>5050010.9880000018</v>
      </c>
      <c r="W244" s="34">
        <f>+W239*Assumptions!$G$217*W241</f>
        <v>5050010.9880000018</v>
      </c>
      <c r="X244" s="34">
        <f>+X239*Assumptions!$G$217*X241</f>
        <v>5050010.9880000018</v>
      </c>
      <c r="Y244" s="34">
        <f>+Y239*Assumptions!$G$217*Y241</f>
        <v>5050010.9880000018</v>
      </c>
      <c r="Z244" s="34">
        <f>+Z239*Assumptions!$G$217*Z241</f>
        <v>5050010.9880000018</v>
      </c>
    </row>
    <row r="245" spans="2:26">
      <c r="B245" s="33" t="s">
        <v>229</v>
      </c>
      <c r="C245" s="33"/>
      <c r="D245" s="40"/>
      <c r="E245" s="40"/>
      <c r="F245" s="42">
        <f>-F244*Assumptions!$O$59</f>
        <v>0</v>
      </c>
      <c r="G245" s="42">
        <f>-G244*Assumptions!$O$59</f>
        <v>0</v>
      </c>
      <c r="H245" s="42">
        <f>-H244*Assumptions!$O$59</f>
        <v>0</v>
      </c>
      <c r="I245" s="42">
        <f>-I244*Assumptions!$O$59</f>
        <v>0</v>
      </c>
      <c r="J245" s="42">
        <f>-J244*Assumptions!$O$59</f>
        <v>0</v>
      </c>
      <c r="K245" s="42">
        <f>-K244*Assumptions!$O$59</f>
        <v>0</v>
      </c>
      <c r="L245" s="42">
        <f>-L244*Assumptions!$O$59</f>
        <v>0</v>
      </c>
      <c r="M245" s="42">
        <f>-M244*Assumptions!$O$59</f>
        <v>0</v>
      </c>
      <c r="N245" s="42">
        <f>-N244*Assumptions!$O$59</f>
        <v>0</v>
      </c>
      <c r="O245" s="42">
        <f>-O244*Assumptions!$O$59</f>
        <v>0</v>
      </c>
      <c r="P245" s="42">
        <f>-P244*Assumptions!$O$59</f>
        <v>0</v>
      </c>
      <c r="Q245" s="42">
        <f>-Q244*Assumptions!$O$59</f>
        <v>0</v>
      </c>
      <c r="R245" s="42">
        <f>-R244*Assumptions!$O$59</f>
        <v>0</v>
      </c>
      <c r="S245" s="42">
        <f>-S244*Assumptions!$O$59</f>
        <v>0</v>
      </c>
      <c r="T245" s="42">
        <f>-T244*Assumptions!$O$59</f>
        <v>0</v>
      </c>
      <c r="U245" s="42">
        <f>-U244*Assumptions!$O$59</f>
        <v>0</v>
      </c>
      <c r="V245" s="42">
        <f>-V244*Assumptions!$O$59</f>
        <v>0</v>
      </c>
      <c r="W245" s="42">
        <f>-W244*Assumptions!$O$59</f>
        <v>0</v>
      </c>
      <c r="X245" s="42">
        <f>-X244*Assumptions!$O$59</f>
        <v>0</v>
      </c>
      <c r="Y245" s="42">
        <f>-Y244*Assumptions!$O$59</f>
        <v>0</v>
      </c>
      <c r="Z245" s="42">
        <f>-Z244*Assumptions!$O$59</f>
        <v>0</v>
      </c>
    </row>
    <row r="246" spans="2:26">
      <c r="B246" s="33" t="s">
        <v>244</v>
      </c>
      <c r="C246" s="33"/>
      <c r="D246" s="40"/>
      <c r="E246" s="40"/>
      <c r="F246" s="151">
        <f>+F251*Assumptions!$O$92</f>
        <v>0</v>
      </c>
      <c r="G246" s="151">
        <f>+G251*Assumptions!$O$92</f>
        <v>0</v>
      </c>
      <c r="H246" s="151">
        <f>+H251*Assumptions!$O$92</f>
        <v>0</v>
      </c>
      <c r="I246" s="151">
        <f>+I251*Assumptions!$O$92</f>
        <v>159757.9654534992</v>
      </c>
      <c r="J246" s="151">
        <f>+J251*Assumptions!$O$92</f>
        <v>329101.40883420839</v>
      </c>
      <c r="K246" s="151">
        <f>+K251*Assumptions!$O$92</f>
        <v>338974.45109923463</v>
      </c>
      <c r="L246" s="151">
        <f>+L251*Assumptions!$O$92</f>
        <v>349143.68463221169</v>
      </c>
      <c r="M246" s="151">
        <f>+M251*Assumptions!$O$92</f>
        <v>359617.99517117802</v>
      </c>
      <c r="N246" s="151">
        <f>+N251*Assumptions!$O$92</f>
        <v>370406.53502631339</v>
      </c>
      <c r="O246" s="151">
        <f>+O251*Assumptions!$O$92</f>
        <v>381518.73107710283</v>
      </c>
      <c r="P246" s="151">
        <f>+P251*Assumptions!$O$92</f>
        <v>392964.29300941591</v>
      </c>
      <c r="Q246" s="151">
        <f>+Q251*Assumptions!$O$92</f>
        <v>404753.22179969837</v>
      </c>
      <c r="R246" s="151">
        <f>+R251*Assumptions!$O$92</f>
        <v>416895.81845368934</v>
      </c>
      <c r="S246" s="151">
        <f>+S251*Assumptions!$O$92</f>
        <v>429402.69300730003</v>
      </c>
      <c r="T246" s="151">
        <f>+T251*Assumptions!$O$92</f>
        <v>442284.7737975191</v>
      </c>
      <c r="U246" s="151">
        <f>+U251*Assumptions!$O$92</f>
        <v>455553.31701144465</v>
      </c>
      <c r="V246" s="151">
        <f>+V251*Assumptions!$O$92</f>
        <v>469219.91652178805</v>
      </c>
      <c r="W246" s="151">
        <f>+W251*Assumptions!$O$92</f>
        <v>483296.51401744166</v>
      </c>
      <c r="X246" s="151">
        <f>+X251*Assumptions!$O$92</f>
        <v>497795.4094379649</v>
      </c>
      <c r="Y246" s="151">
        <f>+Y251*Assumptions!$O$92</f>
        <v>512729.27172110393</v>
      </c>
      <c r="Z246" s="151">
        <f>+Z251*Assumptions!$O$92</f>
        <v>528111.14987273712</v>
      </c>
    </row>
    <row r="247" spans="2:26">
      <c r="B247" s="137" t="s">
        <v>238</v>
      </c>
      <c r="C247" s="137"/>
      <c r="D247" s="137"/>
      <c r="E247" s="137"/>
      <c r="F247" s="129">
        <f t="shared" ref="F247:Z247" si="133">+SUM(F244:F246)</f>
        <v>0</v>
      </c>
      <c r="G247" s="129">
        <f t="shared" si="133"/>
        <v>0</v>
      </c>
      <c r="H247" s="129">
        <f t="shared" si="133"/>
        <v>0</v>
      </c>
      <c r="I247" s="129">
        <f t="shared" si="133"/>
        <v>2056831.9654534992</v>
      </c>
      <c r="J247" s="129">
        <f t="shared" si="133"/>
        <v>4123249.4088342083</v>
      </c>
      <c r="K247" s="129">
        <f t="shared" si="133"/>
        <v>4133122.4510992346</v>
      </c>
      <c r="L247" s="129">
        <f t="shared" si="133"/>
        <v>4522706.4846322117</v>
      </c>
      <c r="M247" s="129">
        <f t="shared" si="133"/>
        <v>4533180.7951711779</v>
      </c>
      <c r="N247" s="129">
        <f t="shared" si="133"/>
        <v>4543969.3350263136</v>
      </c>
      <c r="O247" s="129">
        <f t="shared" si="133"/>
        <v>4555081.5310771028</v>
      </c>
      <c r="P247" s="129">
        <f t="shared" si="133"/>
        <v>4566527.093009416</v>
      </c>
      <c r="Q247" s="129">
        <f t="shared" si="133"/>
        <v>4995672.3017996997</v>
      </c>
      <c r="R247" s="129">
        <f t="shared" si="133"/>
        <v>5007814.8984536901</v>
      </c>
      <c r="S247" s="129">
        <f t="shared" si="133"/>
        <v>5020321.7730073007</v>
      </c>
      <c r="T247" s="129">
        <f t="shared" si="133"/>
        <v>5033203.8537975205</v>
      </c>
      <c r="U247" s="129">
        <f t="shared" si="133"/>
        <v>5046472.3970114458</v>
      </c>
      <c r="V247" s="129">
        <f t="shared" si="133"/>
        <v>5519230.9045217894</v>
      </c>
      <c r="W247" s="129">
        <f t="shared" si="133"/>
        <v>5533307.5020174431</v>
      </c>
      <c r="X247" s="129">
        <f t="shared" si="133"/>
        <v>5547806.3974379664</v>
      </c>
      <c r="Y247" s="129">
        <f t="shared" si="133"/>
        <v>5562740.2597211059</v>
      </c>
      <c r="Z247" s="129">
        <f t="shared" si="133"/>
        <v>5578122.1378727388</v>
      </c>
    </row>
    <row r="249" spans="2:26">
      <c r="B249" s="33" t="s">
        <v>371</v>
      </c>
      <c r="F249" s="34">
        <f>+F238*Assumptions!$O$124*'Phase II Pro Forma'!F242</f>
        <v>0</v>
      </c>
      <c r="G249" s="34">
        <f>+G238*Assumptions!$O$124*'Phase II Pro Forma'!G242</f>
        <v>0</v>
      </c>
      <c r="H249" s="34">
        <f>+H238*Assumptions!$O$124*'Phase II Pro Forma'!H242</f>
        <v>0</v>
      </c>
      <c r="I249" s="34">
        <f>+I238*Assumptions!$O$124*'Phase II Pro Forma'!I242</f>
        <v>159757.9654534992</v>
      </c>
      <c r="J249" s="34">
        <f>+J238*Assumptions!$O$124*'Phase II Pro Forma'!J242</f>
        <v>329101.40883420839</v>
      </c>
      <c r="K249" s="34">
        <f>+K238*Assumptions!$O$124*'Phase II Pro Forma'!K242</f>
        <v>338974.45109923463</v>
      </c>
      <c r="L249" s="34">
        <f>+L238*Assumptions!$O$124*'Phase II Pro Forma'!L242</f>
        <v>349143.68463221169</v>
      </c>
      <c r="M249" s="34">
        <f>+M238*Assumptions!$O$124*'Phase II Pro Forma'!M242</f>
        <v>359617.99517117802</v>
      </c>
      <c r="N249" s="34">
        <f>+N238*Assumptions!$O$124*'Phase II Pro Forma'!N242</f>
        <v>370406.53502631339</v>
      </c>
      <c r="O249" s="34">
        <f>+O238*Assumptions!$O$124*'Phase II Pro Forma'!O242</f>
        <v>381518.73107710283</v>
      </c>
      <c r="P249" s="34">
        <f>+P238*Assumptions!$O$124*'Phase II Pro Forma'!P242</f>
        <v>392964.29300941591</v>
      </c>
      <c r="Q249" s="34">
        <f>+Q238*Assumptions!$O$124*'Phase II Pro Forma'!Q242</f>
        <v>404753.22179969837</v>
      </c>
      <c r="R249" s="34">
        <f>+R238*Assumptions!$O$124*'Phase II Pro Forma'!R242</f>
        <v>416895.81845368934</v>
      </c>
      <c r="S249" s="34">
        <f>+S238*Assumptions!$O$124*'Phase II Pro Forma'!S242</f>
        <v>429402.69300730003</v>
      </c>
      <c r="T249" s="34">
        <f>+T238*Assumptions!$O$124*'Phase II Pro Forma'!T242</f>
        <v>442284.7737975191</v>
      </c>
      <c r="U249" s="34">
        <f>+U238*Assumptions!$O$124*'Phase II Pro Forma'!U242</f>
        <v>455553.31701144465</v>
      </c>
      <c r="V249" s="34">
        <f>+V238*Assumptions!$O$124*'Phase II Pro Forma'!V242</f>
        <v>469219.91652178805</v>
      </c>
      <c r="W249" s="34">
        <f>+W238*Assumptions!$O$124*'Phase II Pro Forma'!W242</f>
        <v>483296.51401744166</v>
      </c>
      <c r="X249" s="34">
        <f>+X238*Assumptions!$O$124*'Phase II Pro Forma'!X242</f>
        <v>497795.4094379649</v>
      </c>
      <c r="Y249" s="34">
        <f>+Y238*Assumptions!$O$124*'Phase II Pro Forma'!Y242</f>
        <v>512729.27172110393</v>
      </c>
      <c r="Z249" s="34">
        <f>+Z238*Assumptions!$O$124*'Phase II Pro Forma'!Z242</f>
        <v>528111.14987273712</v>
      </c>
    </row>
    <row r="250" spans="2:26">
      <c r="B250" s="33" t="s">
        <v>308</v>
      </c>
      <c r="F250" s="151">
        <f>+IFERROR(IFERROR(INDEX('Taxes and TIF'!$AC$11:$AC$45,MATCH('Phase II Pro Forma'!F$7,'Taxes and TIF'!$R$11:$R$45,0)),0)*'Loan Sizing'!$K$52*F239,0)</f>
        <v>0</v>
      </c>
      <c r="G250" s="151">
        <f>+IFERROR(IFERROR(INDEX('Taxes and TIF'!$AC$11:$AC$45,MATCH('Phase II Pro Forma'!G$7,'Taxes and TIF'!$R$11:$R$45,0)),0)*'Loan Sizing'!$K$52*G239,0)</f>
        <v>0</v>
      </c>
      <c r="H250" s="151">
        <f>+IFERROR(IFERROR(INDEX('Taxes and TIF'!$AC$11:$AC$45,MATCH('Phase II Pro Forma'!H$7,'Taxes and TIF'!$R$11:$R$45,0)),0)*'Loan Sizing'!$K$52*H239,0)</f>
        <v>0</v>
      </c>
      <c r="I250" s="151">
        <f>+IFERROR(IFERROR(INDEX('Taxes and TIF'!$AC$11:$AC$45,MATCH('Phase II Pro Forma'!I$7,'Taxes and TIF'!$R$11:$R$45,0)),0)*'Loan Sizing'!$K$52*I239,0)</f>
        <v>0</v>
      </c>
      <c r="J250" s="151">
        <f>+IFERROR(IFERROR(INDEX('Taxes and TIF'!$AC$11:$AC$45,MATCH('Phase II Pro Forma'!J$7,'Taxes and TIF'!$R$11:$R$45,0)),0)*'Loan Sizing'!$K$52*J239,0)</f>
        <v>0</v>
      </c>
      <c r="K250" s="151">
        <f>+IFERROR(IFERROR(INDEX('Taxes and TIF'!$AC$11:$AC$45,MATCH('Phase II Pro Forma'!K$7,'Taxes and TIF'!$R$11:$R$45,0)),0)*'Loan Sizing'!$K$52*K239,0)</f>
        <v>0</v>
      </c>
      <c r="L250" s="151">
        <f>+IFERROR(IFERROR(INDEX('Taxes and TIF'!$AC$11:$AC$45,MATCH('Phase II Pro Forma'!L$7,'Taxes and TIF'!$R$11:$R$45,0)),0)*'Loan Sizing'!$K$52*L239,0)</f>
        <v>0</v>
      </c>
      <c r="M250" s="151">
        <f>+IFERROR(IFERROR(INDEX('Taxes and TIF'!$AC$11:$AC$45,MATCH('Phase II Pro Forma'!M$7,'Taxes and TIF'!$R$11:$R$45,0)),0)*'Loan Sizing'!$K$52*M239,0)</f>
        <v>0</v>
      </c>
      <c r="N250" s="151">
        <f>+IFERROR(IFERROR(INDEX('Taxes and TIF'!$AC$11:$AC$45,MATCH('Phase II Pro Forma'!N$7,'Taxes and TIF'!$R$11:$R$45,0)),0)*'Loan Sizing'!$K$52*N239,0)</f>
        <v>0</v>
      </c>
      <c r="O250" s="151">
        <f>+IFERROR(IFERROR(INDEX('Taxes and TIF'!$AC$11:$AC$45,MATCH('Phase II Pro Forma'!O$7,'Taxes and TIF'!$R$11:$R$45,0)),0)*'Loan Sizing'!$K$52*O239,0)</f>
        <v>0</v>
      </c>
      <c r="P250" s="151">
        <f>+IFERROR(IFERROR(INDEX('Taxes and TIF'!$AC$11:$AC$45,MATCH('Phase II Pro Forma'!P$7,'Taxes and TIF'!$R$11:$R$45,0)),0)*'Loan Sizing'!$K$52*P239,0)</f>
        <v>0</v>
      </c>
      <c r="Q250" s="151">
        <f>+IFERROR(IFERROR(INDEX('Taxes and TIF'!$AC$11:$AC$45,MATCH('Phase II Pro Forma'!Q$7,'Taxes and TIF'!$R$11:$R$45,0)),0)*'Loan Sizing'!$K$52*Q239,0)</f>
        <v>0</v>
      </c>
      <c r="R250" s="151">
        <f>+IFERROR(IFERROR(INDEX('Taxes and TIF'!$AC$11:$AC$45,MATCH('Phase II Pro Forma'!R$7,'Taxes and TIF'!$R$11:$R$45,0)),0)*'Loan Sizing'!$K$52*R239,0)</f>
        <v>0</v>
      </c>
      <c r="S250" s="151">
        <f>+IFERROR(IFERROR(INDEX('Taxes and TIF'!$AC$11:$AC$45,MATCH('Phase II Pro Forma'!S$7,'Taxes and TIF'!$R$11:$R$45,0)),0)*'Loan Sizing'!$K$52*S239,0)</f>
        <v>0</v>
      </c>
      <c r="T250" s="151">
        <f>+IFERROR(IFERROR(INDEX('Taxes and TIF'!$AC$11:$AC$45,MATCH('Phase II Pro Forma'!T$7,'Taxes and TIF'!$R$11:$R$45,0)),0)*'Loan Sizing'!$K$52*T239,0)</f>
        <v>0</v>
      </c>
      <c r="U250" s="151">
        <f>+IFERROR(IFERROR(INDEX('Taxes and TIF'!$AC$11:$AC$45,MATCH('Phase II Pro Forma'!U$7,'Taxes and TIF'!$R$11:$R$45,0)),0)*'Loan Sizing'!$K$52*U239,0)</f>
        <v>0</v>
      </c>
      <c r="V250" s="151">
        <f>+IFERROR(IFERROR(INDEX('Taxes and TIF'!$AC$11:$AC$45,MATCH('Phase II Pro Forma'!V$7,'Taxes and TIF'!$R$11:$R$45,0)),0)*'Loan Sizing'!$K$52*V239,0)</f>
        <v>0</v>
      </c>
      <c r="W250" s="151">
        <f>+IFERROR(IFERROR(INDEX('Taxes and TIF'!$AC$11:$AC$45,MATCH('Phase II Pro Forma'!W$7,'Taxes and TIF'!$R$11:$R$45,0)),0)*'Loan Sizing'!$K$52*W239,0)</f>
        <v>0</v>
      </c>
      <c r="X250" s="151">
        <f>+IFERROR(IFERROR(INDEX('Taxes and TIF'!$AC$11:$AC$45,MATCH('Phase II Pro Forma'!X$7,'Taxes and TIF'!$R$11:$R$45,0)),0)*'Loan Sizing'!$K$52*X239,0)</f>
        <v>0</v>
      </c>
      <c r="Y250" s="151">
        <f>+IFERROR(IFERROR(INDEX('Taxes and TIF'!$AC$11:$AC$45,MATCH('Phase II Pro Forma'!Y$7,'Taxes and TIF'!$R$11:$R$45,0)),0)*'Loan Sizing'!$K$52*Y239,0)</f>
        <v>0</v>
      </c>
      <c r="Z250" s="151">
        <f>+IFERROR(IFERROR(INDEX('Taxes and TIF'!$AC$11:$AC$45,MATCH('Phase II Pro Forma'!Z$7,'Taxes and TIF'!$R$11:$R$45,0)),0)*'Loan Sizing'!$K$52*Z239,0)</f>
        <v>0</v>
      </c>
    </row>
    <row r="251" spans="2:26">
      <c r="B251" s="137" t="s">
        <v>234</v>
      </c>
      <c r="C251" s="137"/>
      <c r="D251" s="137"/>
      <c r="E251" s="137"/>
      <c r="F251" s="129">
        <f>+SUM(F249:F250)</f>
        <v>0</v>
      </c>
      <c r="G251" s="129">
        <f t="shared" ref="G251" si="134">+SUM(G249:G250)</f>
        <v>0</v>
      </c>
      <c r="H251" s="129">
        <f t="shared" ref="H251:Z251" si="135">+SUM(H249:H250)</f>
        <v>0</v>
      </c>
      <c r="I251" s="129">
        <f t="shared" si="135"/>
        <v>159757.9654534992</v>
      </c>
      <c r="J251" s="129">
        <f t="shared" si="135"/>
        <v>329101.40883420839</v>
      </c>
      <c r="K251" s="129">
        <f t="shared" si="135"/>
        <v>338974.45109923463</v>
      </c>
      <c r="L251" s="129">
        <f t="shared" si="135"/>
        <v>349143.68463221169</v>
      </c>
      <c r="M251" s="129">
        <f t="shared" si="135"/>
        <v>359617.99517117802</v>
      </c>
      <c r="N251" s="129">
        <f t="shared" si="135"/>
        <v>370406.53502631339</v>
      </c>
      <c r="O251" s="129">
        <f t="shared" si="135"/>
        <v>381518.73107710283</v>
      </c>
      <c r="P251" s="129">
        <f t="shared" si="135"/>
        <v>392964.29300941591</v>
      </c>
      <c r="Q251" s="129">
        <f t="shared" si="135"/>
        <v>404753.22179969837</v>
      </c>
      <c r="R251" s="129">
        <f t="shared" si="135"/>
        <v>416895.81845368934</v>
      </c>
      <c r="S251" s="129">
        <f t="shared" si="135"/>
        <v>429402.69300730003</v>
      </c>
      <c r="T251" s="129">
        <f t="shared" si="135"/>
        <v>442284.7737975191</v>
      </c>
      <c r="U251" s="129">
        <f t="shared" si="135"/>
        <v>455553.31701144465</v>
      </c>
      <c r="V251" s="129">
        <f t="shared" si="135"/>
        <v>469219.91652178805</v>
      </c>
      <c r="W251" s="129">
        <f t="shared" si="135"/>
        <v>483296.51401744166</v>
      </c>
      <c r="X251" s="129">
        <f t="shared" si="135"/>
        <v>497795.4094379649</v>
      </c>
      <c r="Y251" s="129">
        <f t="shared" si="135"/>
        <v>512729.27172110393</v>
      </c>
      <c r="Z251" s="129">
        <f t="shared" si="135"/>
        <v>528111.14987273712</v>
      </c>
    </row>
    <row r="252" spans="2:26">
      <c r="B252" s="33"/>
    </row>
    <row r="253" spans="2:26" ht="15.5">
      <c r="B253" s="138" t="s">
        <v>233</v>
      </c>
      <c r="C253" s="138"/>
      <c r="D253" s="138"/>
      <c r="E253" s="138"/>
      <c r="F253" s="139">
        <f>+F247-F251</f>
        <v>0</v>
      </c>
      <c r="G253" s="139">
        <f t="shared" ref="G253:Z253" si="136">+G247-G251</f>
        <v>0</v>
      </c>
      <c r="H253" s="139">
        <f t="shared" si="136"/>
        <v>0</v>
      </c>
      <c r="I253" s="139">
        <f t="shared" si="136"/>
        <v>1897074</v>
      </c>
      <c r="J253" s="139">
        <f t="shared" si="136"/>
        <v>3794148</v>
      </c>
      <c r="K253" s="139">
        <f t="shared" si="136"/>
        <v>3794148</v>
      </c>
      <c r="L253" s="139">
        <f t="shared" si="136"/>
        <v>4173562.8</v>
      </c>
      <c r="M253" s="139">
        <f t="shared" si="136"/>
        <v>4173562.8</v>
      </c>
      <c r="N253" s="139">
        <f t="shared" si="136"/>
        <v>4173562.8000000003</v>
      </c>
      <c r="O253" s="139">
        <f t="shared" si="136"/>
        <v>4173562.8</v>
      </c>
      <c r="P253" s="139">
        <f t="shared" si="136"/>
        <v>4173562.8000000003</v>
      </c>
      <c r="Q253" s="139">
        <f t="shared" si="136"/>
        <v>4590919.080000001</v>
      </c>
      <c r="R253" s="139">
        <f t="shared" si="136"/>
        <v>4590919.080000001</v>
      </c>
      <c r="S253" s="139">
        <f t="shared" si="136"/>
        <v>4590919.080000001</v>
      </c>
      <c r="T253" s="139">
        <f t="shared" si="136"/>
        <v>4590919.080000001</v>
      </c>
      <c r="U253" s="139">
        <f t="shared" si="136"/>
        <v>4590919.080000001</v>
      </c>
      <c r="V253" s="139">
        <f t="shared" si="136"/>
        <v>5050010.9880000018</v>
      </c>
      <c r="W253" s="139">
        <f t="shared" si="136"/>
        <v>5050010.9880000018</v>
      </c>
      <c r="X253" s="139">
        <f t="shared" si="136"/>
        <v>5050010.9880000018</v>
      </c>
      <c r="Y253" s="139">
        <f t="shared" si="136"/>
        <v>5050010.9880000018</v>
      </c>
      <c r="Z253" s="139">
        <f t="shared" si="136"/>
        <v>5050010.9880000018</v>
      </c>
    </row>
    <row r="254" spans="2:26" ht="15.5">
      <c r="B254" s="143" t="s">
        <v>239</v>
      </c>
      <c r="C254" s="141"/>
      <c r="D254" s="141"/>
      <c r="E254" s="141"/>
      <c r="F254" s="144" t="str">
        <f>+IFERROR(F253/F247,"")</f>
        <v/>
      </c>
      <c r="G254" s="144" t="str">
        <f t="shared" ref="G254:Z254" si="137">+IFERROR(G253/G247,"")</f>
        <v/>
      </c>
      <c r="H254" s="144" t="str">
        <f t="shared" si="137"/>
        <v/>
      </c>
      <c r="I254" s="145">
        <f t="shared" si="137"/>
        <v>0.92232813951903203</v>
      </c>
      <c r="J254" s="145">
        <f t="shared" si="137"/>
        <v>0.92018396749682496</v>
      </c>
      <c r="K254" s="145">
        <f t="shared" si="137"/>
        <v>0.91798586780096925</v>
      </c>
      <c r="L254" s="145">
        <f t="shared" si="137"/>
        <v>0.92280204655805687</v>
      </c>
      <c r="M254" s="145">
        <f t="shared" si="137"/>
        <v>0.92066983175384287</v>
      </c>
      <c r="N254" s="145">
        <f t="shared" si="137"/>
        <v>0.91848392721951144</v>
      </c>
      <c r="O254" s="145">
        <f t="shared" si="137"/>
        <v>0.91624327062552302</v>
      </c>
      <c r="P254" s="145">
        <f t="shared" si="137"/>
        <v>0.91394679479489394</v>
      </c>
      <c r="Q254" s="145">
        <f t="shared" si="137"/>
        <v>0.91897922895104922</v>
      </c>
      <c r="R254" s="145">
        <f t="shared" si="137"/>
        <v>0.91675095287918529</v>
      </c>
      <c r="S254" s="145">
        <f t="shared" si="137"/>
        <v>0.91446709744461729</v>
      </c>
      <c r="T254" s="145">
        <f t="shared" si="137"/>
        <v>0.91212659239624905</v>
      </c>
      <c r="U254" s="145">
        <f t="shared" si="137"/>
        <v>0.90972836445489591</v>
      </c>
      <c r="V254" s="145">
        <f t="shared" si="137"/>
        <v>0.91498454682565178</v>
      </c>
      <c r="W254" s="145">
        <f t="shared" si="137"/>
        <v>0.91265684875795694</v>
      </c>
      <c r="X254" s="145">
        <f t="shared" si="137"/>
        <v>0.91027166887657585</v>
      </c>
      <c r="Y254" s="145">
        <f t="shared" si="137"/>
        <v>0.90782793231715431</v>
      </c>
      <c r="Z254" s="145">
        <f t="shared" si="137"/>
        <v>0.90532456320970123</v>
      </c>
    </row>
    <row r="255" spans="2:26" ht="15.5">
      <c r="B255" s="143" t="s">
        <v>179</v>
      </c>
      <c r="C255" s="141"/>
      <c r="D255" s="141"/>
      <c r="E255" s="141"/>
      <c r="F255" s="142">
        <f>+F253/Assumptions!$O$134</f>
        <v>0</v>
      </c>
      <c r="G255" s="142">
        <f>+G253/Assumptions!$O$134</f>
        <v>0</v>
      </c>
      <c r="H255" s="142">
        <f>+H253/Assumptions!$O$134</f>
        <v>0</v>
      </c>
      <c r="I255" s="142">
        <f>+I253/Assumptions!$O$134</f>
        <v>23713425</v>
      </c>
      <c r="J255" s="142">
        <f>+J253/Assumptions!$O$134</f>
        <v>47426850</v>
      </c>
      <c r="K255" s="142">
        <f>+K253/Assumptions!$O$134</f>
        <v>47426850</v>
      </c>
      <c r="L255" s="142">
        <f>+L253/Assumptions!$O$134</f>
        <v>52169535</v>
      </c>
      <c r="M255" s="142">
        <f>+M253/Assumptions!$O$134</f>
        <v>52169535</v>
      </c>
      <c r="N255" s="142">
        <f>+N253/Assumptions!$O$134</f>
        <v>52169535</v>
      </c>
      <c r="O255" s="142">
        <f>+O253/Assumptions!$O$134</f>
        <v>52169535</v>
      </c>
      <c r="P255" s="142">
        <f>+P253/Assumptions!$O$134</f>
        <v>52169535</v>
      </c>
      <c r="Q255" s="142">
        <f>+Q253/Assumptions!$O$134</f>
        <v>57386488.500000015</v>
      </c>
      <c r="R255" s="142">
        <f>+R253/Assumptions!$O$134</f>
        <v>57386488.500000015</v>
      </c>
      <c r="S255" s="142">
        <f>+S253/Assumptions!$O$134</f>
        <v>57386488.500000015</v>
      </c>
      <c r="T255" s="142">
        <f>+T253/Assumptions!$O$134</f>
        <v>57386488.500000015</v>
      </c>
      <c r="U255" s="142">
        <f>+U253/Assumptions!$O$134</f>
        <v>57386488.500000015</v>
      </c>
      <c r="V255" s="142">
        <f>+V253/Assumptions!$O$134</f>
        <v>63125137.350000024</v>
      </c>
      <c r="W255" s="142">
        <f>+W253/Assumptions!$O$134</f>
        <v>63125137.350000024</v>
      </c>
      <c r="X255" s="142">
        <f>+X253/Assumptions!$O$134</f>
        <v>63125137.350000024</v>
      </c>
      <c r="Y255" s="142">
        <f>+Y253/Assumptions!$O$134</f>
        <v>63125137.350000024</v>
      </c>
      <c r="Z255" s="142">
        <f>+Z253/Assumptions!$O$134</f>
        <v>63125137.350000024</v>
      </c>
    </row>
    <row r="257" spans="2:26" ht="15.5">
      <c r="B257" s="148" t="s">
        <v>31</v>
      </c>
      <c r="F257" s="150">
        <f>+Assumptions!$G$22</f>
        <v>45291</v>
      </c>
      <c r="G257" s="150">
        <f>+EOMONTH(F257,12)</f>
        <v>45657</v>
      </c>
      <c r="H257" s="150">
        <f t="shared" ref="H257:Z257" si="138">+EOMONTH(G257,12)</f>
        <v>46022</v>
      </c>
      <c r="I257" s="150">
        <f t="shared" si="138"/>
        <v>46387</v>
      </c>
      <c r="J257" s="150">
        <f t="shared" si="138"/>
        <v>46752</v>
      </c>
      <c r="K257" s="150">
        <f t="shared" si="138"/>
        <v>47118</v>
      </c>
      <c r="L257" s="150">
        <f t="shared" si="138"/>
        <v>47483</v>
      </c>
      <c r="M257" s="150">
        <f t="shared" si="138"/>
        <v>47848</v>
      </c>
      <c r="N257" s="150">
        <f t="shared" si="138"/>
        <v>48213</v>
      </c>
      <c r="O257" s="150">
        <f t="shared" si="138"/>
        <v>48579</v>
      </c>
      <c r="P257" s="150">
        <f t="shared" si="138"/>
        <v>48944</v>
      </c>
      <c r="Q257" s="150">
        <f t="shared" si="138"/>
        <v>49309</v>
      </c>
      <c r="R257" s="150">
        <f t="shared" si="138"/>
        <v>49674</v>
      </c>
      <c r="S257" s="150">
        <f t="shared" si="138"/>
        <v>50040</v>
      </c>
      <c r="T257" s="150">
        <f t="shared" si="138"/>
        <v>50405</v>
      </c>
      <c r="U257" s="150">
        <f t="shared" si="138"/>
        <v>50770</v>
      </c>
      <c r="V257" s="150">
        <f t="shared" si="138"/>
        <v>51135</v>
      </c>
      <c r="W257" s="150">
        <f t="shared" si="138"/>
        <v>51501</v>
      </c>
      <c r="X257" s="150">
        <f t="shared" si="138"/>
        <v>51866</v>
      </c>
      <c r="Y257" s="150">
        <f t="shared" si="138"/>
        <v>52231</v>
      </c>
      <c r="Z257" s="150">
        <f t="shared" si="138"/>
        <v>52596</v>
      </c>
    </row>
    <row r="258" spans="2:26">
      <c r="B258" s="33" t="s">
        <v>313</v>
      </c>
      <c r="F258" s="34">
        <v>0</v>
      </c>
      <c r="G258" s="34">
        <f t="shared" ref="G258:Z258" si="139">+F261</f>
        <v>0</v>
      </c>
      <c r="H258" s="34">
        <f t="shared" si="139"/>
        <v>0</v>
      </c>
      <c r="I258" s="34">
        <f t="shared" si="139"/>
        <v>0</v>
      </c>
      <c r="J258" s="34">
        <f t="shared" si="139"/>
        <v>28456110</v>
      </c>
      <c r="K258" s="34">
        <f t="shared" si="139"/>
        <v>28456110</v>
      </c>
      <c r="L258" s="34">
        <f t="shared" si="139"/>
        <v>28456110</v>
      </c>
      <c r="M258" s="34">
        <f t="shared" si="139"/>
        <v>28456110</v>
      </c>
      <c r="N258" s="34">
        <f t="shared" si="139"/>
        <v>28456110</v>
      </c>
      <c r="O258" s="34">
        <f t="shared" si="139"/>
        <v>28456110</v>
      </c>
      <c r="P258" s="34">
        <f t="shared" si="139"/>
        <v>28456110</v>
      </c>
      <c r="Q258" s="34">
        <f t="shared" si="139"/>
        <v>28456110</v>
      </c>
      <c r="R258" s="34">
        <f t="shared" si="139"/>
        <v>28456110</v>
      </c>
      <c r="S258" s="34">
        <f t="shared" si="139"/>
        <v>28456110</v>
      </c>
      <c r="T258" s="34">
        <f t="shared" si="139"/>
        <v>28456110</v>
      </c>
      <c r="U258" s="34">
        <f t="shared" si="139"/>
        <v>28456110</v>
      </c>
      <c r="V258" s="34">
        <f t="shared" si="139"/>
        <v>28456110</v>
      </c>
      <c r="W258" s="34">
        <f t="shared" si="139"/>
        <v>28456110</v>
      </c>
      <c r="X258" s="34">
        <f t="shared" si="139"/>
        <v>28456110</v>
      </c>
      <c r="Y258" s="34">
        <f t="shared" si="139"/>
        <v>28456110</v>
      </c>
      <c r="Z258" s="34">
        <f t="shared" si="139"/>
        <v>28456110</v>
      </c>
    </row>
    <row r="259" spans="2:26">
      <c r="B259" s="33" t="s">
        <v>324</v>
      </c>
      <c r="F259" s="151">
        <f>+IF(YEAR(F$140)=YEAR(Assumptions!$G$26),'S&amp;U'!$S$19,0)</f>
        <v>0</v>
      </c>
      <c r="G259" s="151">
        <f>+IF(YEAR(G$140)=YEAR(Assumptions!$G$26),'S&amp;U'!$S$19,0)</f>
        <v>0</v>
      </c>
      <c r="H259" s="151">
        <f>+IF(YEAR(H$140)=YEAR(Assumptions!$G$26),'S&amp;U'!$S$19,0)</f>
        <v>0</v>
      </c>
      <c r="I259" s="151">
        <f>+IF(YEAR(I$140)=YEAR(Assumptions!$G$26),'S&amp;U'!$S$19,0)</f>
        <v>28456110</v>
      </c>
      <c r="J259" s="151">
        <f>+IF(YEAR(J$140)=YEAR(Assumptions!$G$26),'S&amp;U'!$S$19,0)</f>
        <v>0</v>
      </c>
      <c r="K259" s="151">
        <f>+IF(YEAR(K$140)=YEAR(Assumptions!$G$26),'S&amp;U'!$S$19,0)</f>
        <v>0</v>
      </c>
      <c r="L259" s="151">
        <f>+IF(YEAR(L$140)=YEAR(Assumptions!$G$26),'S&amp;U'!$S$19,0)</f>
        <v>0</v>
      </c>
      <c r="M259" s="151">
        <f>+IF(YEAR(M$140)=YEAR(Assumptions!$G$26),'S&amp;U'!$S$19,0)</f>
        <v>0</v>
      </c>
      <c r="N259" s="151">
        <f>+IF(YEAR(N$140)=YEAR(Assumptions!$G$26),'S&amp;U'!$S$19,0)</f>
        <v>0</v>
      </c>
      <c r="O259" s="151">
        <f>+IF(YEAR(O$140)=YEAR(Assumptions!$G$26),'S&amp;U'!$S$19,0)</f>
        <v>0</v>
      </c>
      <c r="P259" s="151">
        <f>+IF(YEAR(P$140)=YEAR(Assumptions!$G$26),'S&amp;U'!$S$19,0)</f>
        <v>0</v>
      </c>
      <c r="Q259" s="151">
        <f>+IF(YEAR(Q$140)=YEAR(Assumptions!$G$26),'S&amp;U'!$S$19,0)</f>
        <v>0</v>
      </c>
      <c r="R259" s="151">
        <f>+IF(YEAR(R$140)=YEAR(Assumptions!$G$26),'S&amp;U'!$S$19,0)</f>
        <v>0</v>
      </c>
      <c r="S259" s="151">
        <f>+IF(YEAR(S$140)=YEAR(Assumptions!$G$26),'S&amp;U'!$S$19,0)</f>
        <v>0</v>
      </c>
      <c r="T259" s="151">
        <f>+IF(YEAR(T$140)=YEAR(Assumptions!$G$26),'S&amp;U'!$S$19,0)</f>
        <v>0</v>
      </c>
      <c r="U259" s="151">
        <f>+IF(YEAR(U$140)=YEAR(Assumptions!$G$26),'S&amp;U'!$S$19,0)</f>
        <v>0</v>
      </c>
      <c r="V259" s="151">
        <f>+IF(YEAR(V$140)=YEAR(Assumptions!$G$26),'S&amp;U'!$S$19,0)</f>
        <v>0</v>
      </c>
      <c r="W259" s="151">
        <f>+IF(YEAR(W$140)=YEAR(Assumptions!$G$26),'S&amp;U'!$S$19,0)</f>
        <v>0</v>
      </c>
      <c r="X259" s="151">
        <f>+IF(YEAR(X$140)=YEAR(Assumptions!$G$26),'S&amp;U'!$S$19,0)</f>
        <v>0</v>
      </c>
      <c r="Y259" s="151">
        <f>+IF(YEAR(Y$140)=YEAR(Assumptions!$G$26),'S&amp;U'!$S$19,0)</f>
        <v>0</v>
      </c>
      <c r="Z259" s="151">
        <f>+IF(YEAR(Z$140)=YEAR(Assumptions!$G$26),'S&amp;U'!$S$19,0)</f>
        <v>0</v>
      </c>
    </row>
    <row r="260" spans="2:26">
      <c r="B260" s="33" t="s">
        <v>156</v>
      </c>
      <c r="F260" s="151">
        <v>0</v>
      </c>
      <c r="G260" s="151">
        <v>0</v>
      </c>
      <c r="H260" s="151">
        <v>0</v>
      </c>
      <c r="I260" s="151">
        <v>0</v>
      </c>
      <c r="J260" s="151">
        <v>0</v>
      </c>
      <c r="K260" s="151">
        <v>0</v>
      </c>
      <c r="L260" s="151">
        <v>0</v>
      </c>
      <c r="M260" s="151">
        <v>0</v>
      </c>
      <c r="N260" s="151">
        <v>0</v>
      </c>
      <c r="O260" s="151">
        <v>0</v>
      </c>
      <c r="P260" s="151">
        <v>0</v>
      </c>
      <c r="Q260" s="151">
        <v>0</v>
      </c>
      <c r="R260" s="151">
        <v>0</v>
      </c>
      <c r="S260" s="151">
        <v>0</v>
      </c>
      <c r="T260" s="151">
        <v>0</v>
      </c>
      <c r="U260" s="151">
        <v>0</v>
      </c>
      <c r="V260" s="151">
        <v>0</v>
      </c>
      <c r="W260" s="151">
        <v>0</v>
      </c>
      <c r="X260" s="151">
        <v>0</v>
      </c>
      <c r="Y260" s="151">
        <v>0</v>
      </c>
      <c r="Z260" s="151">
        <v>0</v>
      </c>
    </row>
    <row r="261" spans="2:26">
      <c r="B261" s="33" t="s">
        <v>315</v>
      </c>
      <c r="F261" s="151">
        <f t="shared" ref="F261:N261" si="140">+SUM(F258:F260)</f>
        <v>0</v>
      </c>
      <c r="G261" s="151">
        <f t="shared" si="140"/>
        <v>0</v>
      </c>
      <c r="H261" s="151">
        <f t="shared" si="140"/>
        <v>0</v>
      </c>
      <c r="I261" s="151">
        <f t="shared" si="140"/>
        <v>28456110</v>
      </c>
      <c r="J261" s="151">
        <f t="shared" si="140"/>
        <v>28456110</v>
      </c>
      <c r="K261" s="151">
        <f t="shared" si="140"/>
        <v>28456110</v>
      </c>
      <c r="L261" s="151">
        <f t="shared" si="140"/>
        <v>28456110</v>
      </c>
      <c r="M261" s="151">
        <f t="shared" si="140"/>
        <v>28456110</v>
      </c>
      <c r="N261" s="151">
        <f t="shared" si="140"/>
        <v>28456110</v>
      </c>
      <c r="O261" s="151">
        <f t="shared" ref="O261" si="141">+SUM(O258:O260)</f>
        <v>28456110</v>
      </c>
      <c r="P261" s="151">
        <f t="shared" ref="P261:Z261" si="142">+SUM(P258:P260)</f>
        <v>28456110</v>
      </c>
      <c r="Q261" s="151">
        <f t="shared" si="142"/>
        <v>28456110</v>
      </c>
      <c r="R261" s="151">
        <f t="shared" si="142"/>
        <v>28456110</v>
      </c>
      <c r="S261" s="151">
        <f t="shared" si="142"/>
        <v>28456110</v>
      </c>
      <c r="T261" s="151">
        <f t="shared" si="142"/>
        <v>28456110</v>
      </c>
      <c r="U261" s="151">
        <f t="shared" si="142"/>
        <v>28456110</v>
      </c>
      <c r="V261" s="151">
        <f t="shared" si="142"/>
        <v>28456110</v>
      </c>
      <c r="W261" s="151">
        <f t="shared" si="142"/>
        <v>28456110</v>
      </c>
      <c r="X261" s="151">
        <f t="shared" si="142"/>
        <v>28456110</v>
      </c>
      <c r="Y261" s="151">
        <f t="shared" si="142"/>
        <v>28456110</v>
      </c>
      <c r="Z261" s="151">
        <f t="shared" si="142"/>
        <v>28456110</v>
      </c>
    </row>
    <row r="263" spans="2:26">
      <c r="B263" s="41" t="s">
        <v>314</v>
      </c>
      <c r="F263" s="34">
        <f>+F261*Assumptions!$O$163</f>
        <v>0</v>
      </c>
      <c r="G263" s="34">
        <f>+G261*Assumptions!$O$163</f>
        <v>0</v>
      </c>
      <c r="H263" s="34">
        <f>+H261*Assumptions!$O$163</f>
        <v>0</v>
      </c>
      <c r="I263" s="34">
        <f>+I261*Assumptions!$O$163</f>
        <v>1707366.5999999999</v>
      </c>
      <c r="J263" s="34">
        <f>+J261*Assumptions!$O$163</f>
        <v>1707366.5999999999</v>
      </c>
      <c r="K263" s="34">
        <f>+K261*Assumptions!$O$163</f>
        <v>1707366.5999999999</v>
      </c>
      <c r="L263" s="34">
        <f>+L261*Assumptions!$O$163</f>
        <v>1707366.5999999999</v>
      </c>
      <c r="M263" s="34">
        <f>+M261*Assumptions!$O$163</f>
        <v>1707366.5999999999</v>
      </c>
      <c r="N263" s="34">
        <f>+N261*Assumptions!$O$163</f>
        <v>1707366.5999999999</v>
      </c>
      <c r="O263" s="34">
        <f>+O261*Assumptions!$O$163</f>
        <v>1707366.5999999999</v>
      </c>
      <c r="P263" s="34">
        <f>+P261*Assumptions!$O$163</f>
        <v>1707366.5999999999</v>
      </c>
      <c r="Q263" s="34">
        <f>+Q261*Assumptions!$O$163</f>
        <v>1707366.5999999999</v>
      </c>
      <c r="R263" s="34">
        <f>+R261*Assumptions!$O$163</f>
        <v>1707366.5999999999</v>
      </c>
      <c r="S263" s="34">
        <f>+S261*Assumptions!$O$163</f>
        <v>1707366.5999999999</v>
      </c>
      <c r="T263" s="34">
        <f>+T261*Assumptions!$O$163</f>
        <v>1707366.5999999999</v>
      </c>
      <c r="U263" s="34">
        <f>+U261*Assumptions!$O$163</f>
        <v>1707366.5999999999</v>
      </c>
      <c r="V263" s="34">
        <f>+V261*Assumptions!$O$163</f>
        <v>1707366.5999999999</v>
      </c>
      <c r="W263" s="34">
        <f>+W261*Assumptions!$O$163</f>
        <v>1707366.5999999999</v>
      </c>
      <c r="X263" s="34">
        <f>+X261*Assumptions!$O$163</f>
        <v>1707366.5999999999</v>
      </c>
      <c r="Y263" s="34">
        <f>+Y261*Assumptions!$O$163</f>
        <v>1707366.5999999999</v>
      </c>
      <c r="Z263" s="34">
        <f>+Z261*Assumptions!$O$163</f>
        <v>1707366.5999999999</v>
      </c>
    </row>
    <row r="264" spans="2:26">
      <c r="B264" s="137" t="s">
        <v>323</v>
      </c>
      <c r="C264" s="137"/>
      <c r="D264" s="137"/>
      <c r="E264" s="137"/>
      <c r="F264" s="129">
        <f t="shared" ref="F264:K264" si="143">+F263-F260</f>
        <v>0</v>
      </c>
      <c r="G264" s="129">
        <f t="shared" si="143"/>
        <v>0</v>
      </c>
      <c r="H264" s="129">
        <f t="shared" si="143"/>
        <v>0</v>
      </c>
      <c r="I264" s="129">
        <f t="shared" si="143"/>
        <v>1707366.5999999999</v>
      </c>
      <c r="J264" s="129">
        <f t="shared" si="143"/>
        <v>1707366.5999999999</v>
      </c>
      <c r="K264" s="129">
        <f t="shared" si="143"/>
        <v>1707366.5999999999</v>
      </c>
      <c r="L264" s="129">
        <f>+L263-L260</f>
        <v>1707366.5999999999</v>
      </c>
      <c r="M264" s="129">
        <f t="shared" ref="M264:Z264" si="144">+M263-M260</f>
        <v>1707366.5999999999</v>
      </c>
      <c r="N264" s="129">
        <f t="shared" si="144"/>
        <v>1707366.5999999999</v>
      </c>
      <c r="O264" s="129">
        <f t="shared" si="144"/>
        <v>1707366.5999999999</v>
      </c>
      <c r="P264" s="129">
        <f t="shared" si="144"/>
        <v>1707366.5999999999</v>
      </c>
      <c r="Q264" s="129">
        <f t="shared" si="144"/>
        <v>1707366.5999999999</v>
      </c>
      <c r="R264" s="129">
        <f t="shared" si="144"/>
        <v>1707366.5999999999</v>
      </c>
      <c r="S264" s="129">
        <f t="shared" si="144"/>
        <v>1707366.5999999999</v>
      </c>
      <c r="T264" s="129">
        <f t="shared" si="144"/>
        <v>1707366.5999999999</v>
      </c>
      <c r="U264" s="129">
        <f t="shared" si="144"/>
        <v>1707366.5999999999</v>
      </c>
      <c r="V264" s="129">
        <f t="shared" si="144"/>
        <v>1707366.5999999999</v>
      </c>
      <c r="W264" s="129">
        <f t="shared" si="144"/>
        <v>1707366.5999999999</v>
      </c>
      <c r="X264" s="129">
        <f t="shared" si="144"/>
        <v>1707366.5999999999</v>
      </c>
      <c r="Y264" s="129">
        <f t="shared" si="144"/>
        <v>1707366.5999999999</v>
      </c>
      <c r="Z264" s="129">
        <f t="shared" si="144"/>
        <v>1707366.5999999999</v>
      </c>
    </row>
    <row r="265" spans="2:26" ht="15.5">
      <c r="B265" s="146" t="s">
        <v>172</v>
      </c>
      <c r="F265" s="180" t="str">
        <f t="shared" ref="F265:J265" si="145">+IFERROR(F253/F264,"")</f>
        <v/>
      </c>
      <c r="G265" s="180" t="str">
        <f t="shared" si="145"/>
        <v/>
      </c>
      <c r="H265" s="180" t="str">
        <f t="shared" si="145"/>
        <v/>
      </c>
      <c r="I265" s="180">
        <f t="shared" si="145"/>
        <v>1.1111111111111112</v>
      </c>
      <c r="J265" s="180">
        <f t="shared" si="145"/>
        <v>2.2222222222222223</v>
      </c>
      <c r="K265" s="180">
        <f>+IFERROR(K253/K264,"")</f>
        <v>2.2222222222222223</v>
      </c>
      <c r="L265" s="180">
        <f t="shared" ref="L265:Z265" si="146">+IFERROR(L253/L264,"")</f>
        <v>2.4444444444444446</v>
      </c>
      <c r="M265" s="180">
        <f t="shared" si="146"/>
        <v>2.4444444444444446</v>
      </c>
      <c r="N265" s="180">
        <f t="shared" si="146"/>
        <v>2.4444444444444446</v>
      </c>
      <c r="O265" s="180">
        <f t="shared" si="146"/>
        <v>2.4444444444444446</v>
      </c>
      <c r="P265" s="180">
        <f t="shared" si="146"/>
        <v>2.4444444444444446</v>
      </c>
      <c r="Q265" s="180">
        <f t="shared" si="146"/>
        <v>2.6888888888888896</v>
      </c>
      <c r="R265" s="180">
        <f t="shared" si="146"/>
        <v>2.6888888888888896</v>
      </c>
      <c r="S265" s="180">
        <f t="shared" si="146"/>
        <v>2.6888888888888896</v>
      </c>
      <c r="T265" s="180">
        <f t="shared" si="146"/>
        <v>2.6888888888888896</v>
      </c>
      <c r="U265" s="180">
        <f t="shared" si="146"/>
        <v>2.6888888888888896</v>
      </c>
      <c r="V265" s="180">
        <f t="shared" si="146"/>
        <v>2.9577777777777792</v>
      </c>
      <c r="W265" s="180">
        <f t="shared" si="146"/>
        <v>2.9577777777777792</v>
      </c>
      <c r="X265" s="180">
        <f t="shared" si="146"/>
        <v>2.9577777777777792</v>
      </c>
      <c r="Y265" s="180">
        <f t="shared" si="146"/>
        <v>2.9577777777777792</v>
      </c>
      <c r="Z265" s="180">
        <f t="shared" si="146"/>
        <v>2.9577777777777792</v>
      </c>
    </row>
    <row r="267" spans="2:26">
      <c r="B267" s="41" t="s">
        <v>150</v>
      </c>
      <c r="F267" s="34">
        <f>+F259*Assumptions!$O$164</f>
        <v>0</v>
      </c>
      <c r="G267" s="34">
        <f>+G259*Assumptions!$O$164</f>
        <v>0</v>
      </c>
      <c r="H267" s="34">
        <f>+H259*Assumptions!$O$164</f>
        <v>0</v>
      </c>
      <c r="I267" s="34">
        <f>+I259*Assumptions!$O$164</f>
        <v>213420.82499999998</v>
      </c>
      <c r="J267" s="34">
        <f>+J259*Assumptions!$O$164</f>
        <v>0</v>
      </c>
      <c r="K267" s="34">
        <f>+K259*Assumptions!$O$164</f>
        <v>0</v>
      </c>
      <c r="L267" s="34">
        <f>+L259*Assumptions!$O$164</f>
        <v>0</v>
      </c>
      <c r="M267" s="34">
        <f>+M259*Assumptions!$O$164</f>
        <v>0</v>
      </c>
      <c r="N267" s="34">
        <f>+N259*Assumptions!$O$164</f>
        <v>0</v>
      </c>
      <c r="O267" s="34">
        <f>+O259*Assumptions!$O$164</f>
        <v>0</v>
      </c>
      <c r="P267" s="34">
        <f>+P259*Assumptions!$O$164</f>
        <v>0</v>
      </c>
      <c r="Q267" s="34">
        <f>+Q259*Assumptions!$O$164</f>
        <v>0</v>
      </c>
      <c r="R267" s="34">
        <f>+R259*Assumptions!$O$164</f>
        <v>0</v>
      </c>
      <c r="S267" s="34">
        <f>+S259*Assumptions!$O$164</f>
        <v>0</v>
      </c>
      <c r="T267" s="34">
        <f>+T259*Assumptions!$O$164</f>
        <v>0</v>
      </c>
      <c r="U267" s="34">
        <f>+U259*Assumptions!$O$164</f>
        <v>0</v>
      </c>
      <c r="V267" s="34">
        <f>+V259*Assumptions!$O$164</f>
        <v>0</v>
      </c>
      <c r="W267" s="34">
        <f>+W259*Assumptions!$O$164</f>
        <v>0</v>
      </c>
      <c r="X267" s="34">
        <f>+X259*Assumptions!$O$164</f>
        <v>0</v>
      </c>
      <c r="Y267" s="34">
        <f>+Y259*Assumptions!$O$164</f>
        <v>0</v>
      </c>
      <c r="Z267" s="34">
        <f>+Z259*Assumptions!$O$164</f>
        <v>0</v>
      </c>
    </row>
    <row r="269" spans="2:26">
      <c r="B269" s="137" t="s">
        <v>316</v>
      </c>
      <c r="C269" s="137"/>
      <c r="D269" s="137"/>
      <c r="E269" s="137"/>
      <c r="F269" s="129">
        <f>+F253-F264-F267</f>
        <v>0</v>
      </c>
      <c r="G269" s="129">
        <f t="shared" ref="G269:Z269" si="147">+G253-G264-G267</f>
        <v>0</v>
      </c>
      <c r="H269" s="129">
        <f t="shared" si="147"/>
        <v>0</v>
      </c>
      <c r="I269" s="129">
        <f t="shared" si="147"/>
        <v>-23713.424999999843</v>
      </c>
      <c r="J269" s="129">
        <f t="shared" si="147"/>
        <v>2086781.4000000001</v>
      </c>
      <c r="K269" s="129">
        <f t="shared" si="147"/>
        <v>2086781.4000000001</v>
      </c>
      <c r="L269" s="129">
        <f t="shared" si="147"/>
        <v>2466196.2000000002</v>
      </c>
      <c r="M269" s="129">
        <f t="shared" si="147"/>
        <v>2466196.2000000002</v>
      </c>
      <c r="N269" s="129">
        <f t="shared" si="147"/>
        <v>2466196.2000000002</v>
      </c>
      <c r="O269" s="129">
        <f t="shared" si="147"/>
        <v>2466196.2000000002</v>
      </c>
      <c r="P269" s="129">
        <f t="shared" si="147"/>
        <v>2466196.2000000002</v>
      </c>
      <c r="Q269" s="129">
        <f t="shared" si="147"/>
        <v>2883552.4800000014</v>
      </c>
      <c r="R269" s="129">
        <f t="shared" si="147"/>
        <v>2883552.4800000014</v>
      </c>
      <c r="S269" s="129">
        <f t="shared" si="147"/>
        <v>2883552.4800000014</v>
      </c>
      <c r="T269" s="129">
        <f t="shared" si="147"/>
        <v>2883552.4800000014</v>
      </c>
      <c r="U269" s="129">
        <f t="shared" si="147"/>
        <v>2883552.4800000014</v>
      </c>
      <c r="V269" s="129">
        <f t="shared" si="147"/>
        <v>3342644.3880000021</v>
      </c>
      <c r="W269" s="129">
        <f t="shared" si="147"/>
        <v>3342644.3880000021</v>
      </c>
      <c r="X269" s="129">
        <f t="shared" si="147"/>
        <v>3342644.3880000021</v>
      </c>
      <c r="Y269" s="129">
        <f t="shared" si="147"/>
        <v>3342644.3880000021</v>
      </c>
      <c r="Z269" s="129">
        <f t="shared" si="147"/>
        <v>3342644.3880000021</v>
      </c>
    </row>
    <row r="271" spans="2:26" ht="15.5">
      <c r="B271" s="148" t="s">
        <v>325</v>
      </c>
    </row>
    <row r="272" spans="2:26" ht="15.5">
      <c r="B272" s="148">
        <f>B226</f>
        <v>0</v>
      </c>
      <c r="C272" s="119"/>
      <c r="D272" s="119"/>
      <c r="E272" s="119"/>
      <c r="F272" s="48">
        <f t="shared" ref="F272:Z272" si="148">F226</f>
        <v>0</v>
      </c>
      <c r="G272" s="48">
        <f t="shared" si="148"/>
        <v>0</v>
      </c>
      <c r="H272" s="48">
        <f t="shared" si="148"/>
        <v>0</v>
      </c>
      <c r="I272" s="48">
        <f t="shared" si="148"/>
        <v>0</v>
      </c>
      <c r="J272" s="48">
        <f t="shared" si="148"/>
        <v>0</v>
      </c>
      <c r="K272" s="48">
        <f t="shared" si="148"/>
        <v>0</v>
      </c>
      <c r="L272" s="48">
        <f t="shared" si="148"/>
        <v>0</v>
      </c>
      <c r="M272" s="48">
        <f t="shared" si="148"/>
        <v>0</v>
      </c>
      <c r="N272" s="48">
        <f t="shared" si="148"/>
        <v>0</v>
      </c>
      <c r="O272" s="48">
        <f t="shared" si="148"/>
        <v>0</v>
      </c>
      <c r="P272" s="48">
        <f t="shared" si="148"/>
        <v>0</v>
      </c>
      <c r="Q272" s="48">
        <f t="shared" si="148"/>
        <v>0</v>
      </c>
      <c r="R272" s="48">
        <f t="shared" si="148"/>
        <v>0</v>
      </c>
      <c r="S272" s="48">
        <f t="shared" si="148"/>
        <v>0</v>
      </c>
      <c r="T272" s="48">
        <f t="shared" si="148"/>
        <v>0</v>
      </c>
      <c r="U272" s="48">
        <f t="shared" si="148"/>
        <v>0</v>
      </c>
      <c r="V272" s="48">
        <f t="shared" si="148"/>
        <v>0</v>
      </c>
      <c r="W272" s="48">
        <f t="shared" si="148"/>
        <v>0</v>
      </c>
      <c r="X272" s="48">
        <f t="shared" si="148"/>
        <v>0</v>
      </c>
      <c r="Y272" s="48">
        <f t="shared" si="148"/>
        <v>0</v>
      </c>
      <c r="Z272" s="48">
        <f t="shared" si="148"/>
        <v>0</v>
      </c>
    </row>
    <row r="273" spans="2:26">
      <c r="B273" s="33" t="s">
        <v>318</v>
      </c>
      <c r="F273" s="34">
        <f>+IF(YEAR(F$140)=YEAR(Assumptions!$G$30),F255,0)</f>
        <v>0</v>
      </c>
      <c r="G273" s="34">
        <f>+IF(YEAR(G$140)=YEAR(Assumptions!$G$30),G255,0)</f>
        <v>0</v>
      </c>
      <c r="H273" s="34">
        <f>+IF(YEAR(H$140)=YEAR(Assumptions!$G$30),H255,0)</f>
        <v>0</v>
      </c>
      <c r="I273" s="34">
        <f>+IF(YEAR(I$140)=YEAR(Assumptions!$G$30),I255,0)</f>
        <v>0</v>
      </c>
      <c r="J273" s="34">
        <f>+IF(YEAR(J$140)=YEAR(Assumptions!$G$30),J255,0)</f>
        <v>0</v>
      </c>
      <c r="K273" s="34">
        <f>+IF(YEAR(K$140)=YEAR(Assumptions!$G$30),K255,0)</f>
        <v>0</v>
      </c>
      <c r="L273" s="34">
        <f>+IF(YEAR(L$140)=YEAR(Assumptions!$G$30),L255,0)</f>
        <v>0</v>
      </c>
      <c r="M273" s="34">
        <f>+IF(YEAR(M$140)=YEAR(Assumptions!$G$30),M255,0)</f>
        <v>0</v>
      </c>
      <c r="N273" s="34">
        <f>+IF(YEAR(N$140)=YEAR(Assumptions!$G$30),N255,0)</f>
        <v>52169535</v>
      </c>
      <c r="O273" s="34">
        <f>+IF(YEAR(O$140)=YEAR(Assumptions!$G$30),O255,0)</f>
        <v>0</v>
      </c>
      <c r="P273" s="34">
        <f>+IF(YEAR(P$140)=YEAR(Assumptions!$G$30),P255,0)</f>
        <v>0</v>
      </c>
      <c r="Q273" s="34">
        <f>+IF(YEAR(Q$140)=YEAR(Assumptions!$G$30),Q255,0)</f>
        <v>0</v>
      </c>
      <c r="R273" s="34">
        <f>+IF(YEAR(R$140)=YEAR(Assumptions!$G$30),R255,0)</f>
        <v>0</v>
      </c>
      <c r="S273" s="34">
        <f>+IF(YEAR(S$140)=YEAR(Assumptions!$G$30),S255,0)</f>
        <v>0</v>
      </c>
      <c r="T273" s="34">
        <f>+IF(YEAR(T$140)=YEAR(Assumptions!$G$30),T255,0)</f>
        <v>0</v>
      </c>
      <c r="U273" s="34">
        <f>+IF(YEAR(U$140)=YEAR(Assumptions!$G$30),U255,0)</f>
        <v>0</v>
      </c>
      <c r="V273" s="34">
        <f>+IF(YEAR(V$140)=YEAR(Assumptions!$G$30),V255,0)</f>
        <v>0</v>
      </c>
      <c r="W273" s="34">
        <f>+IF(YEAR(W$140)=YEAR(Assumptions!$G$30),W255,0)</f>
        <v>0</v>
      </c>
      <c r="X273" s="34">
        <f>+IF(YEAR(X$140)=YEAR(Assumptions!$G$30),X255,0)</f>
        <v>0</v>
      </c>
      <c r="Y273" s="34">
        <f>+IF(YEAR(Y$140)=YEAR(Assumptions!$G$30),Y255,0)</f>
        <v>0</v>
      </c>
      <c r="Z273" s="34">
        <f>+IF(YEAR(Z$140)=YEAR(Assumptions!$G$30),Z255,0)</f>
        <v>0</v>
      </c>
    </row>
    <row r="274" spans="2:26">
      <c r="B274" s="33" t="s">
        <v>319</v>
      </c>
      <c r="F274" s="151">
        <f>-F273*Assumptions!$O$136</f>
        <v>0</v>
      </c>
      <c r="G274" s="151">
        <f>-G273*Assumptions!$O$136</f>
        <v>0</v>
      </c>
      <c r="H274" s="151">
        <f>-H273*Assumptions!$O$136</f>
        <v>0</v>
      </c>
      <c r="I274" s="151">
        <f>-I273*Assumptions!$O$136</f>
        <v>0</v>
      </c>
      <c r="J274" s="151">
        <f>-J273*Assumptions!$O$136</f>
        <v>0</v>
      </c>
      <c r="K274" s="151">
        <f>-K273*Assumptions!$O$136</f>
        <v>0</v>
      </c>
      <c r="L274" s="151">
        <f>-L273*Assumptions!$O$136</f>
        <v>0</v>
      </c>
      <c r="M274" s="151">
        <f>-M273*Assumptions!$O$136</f>
        <v>0</v>
      </c>
      <c r="N274" s="151">
        <f>-N273*Assumptions!$O$136</f>
        <v>-1043390.7000000001</v>
      </c>
      <c r="O274" s="151">
        <f>-O273*Assumptions!$O$136</f>
        <v>0</v>
      </c>
      <c r="P274" s="151">
        <f>-P273*Assumptions!$O$136</f>
        <v>0</v>
      </c>
      <c r="Q274" s="151">
        <f>-Q273*Assumptions!$O$136</f>
        <v>0</v>
      </c>
      <c r="R274" s="151">
        <f>-R273*Assumptions!$O$136</f>
        <v>0</v>
      </c>
      <c r="S274" s="151">
        <f>-S273*Assumptions!$O$136</f>
        <v>0</v>
      </c>
      <c r="T274" s="151">
        <f>-T273*Assumptions!$O$136</f>
        <v>0</v>
      </c>
      <c r="U274" s="151">
        <f>-U273*Assumptions!$O$136</f>
        <v>0</v>
      </c>
      <c r="V274" s="151">
        <f>-V273*Assumptions!$O$136</f>
        <v>0</v>
      </c>
      <c r="W274" s="151">
        <f>-W273*Assumptions!$O$136</f>
        <v>0</v>
      </c>
      <c r="X274" s="151">
        <f>-X273*Assumptions!$O$136</f>
        <v>0</v>
      </c>
      <c r="Y274" s="151">
        <f>-Y273*Assumptions!$O$136</f>
        <v>0</v>
      </c>
      <c r="Z274" s="151">
        <f>-Z273*Assumptions!$O$136</f>
        <v>0</v>
      </c>
    </row>
    <row r="275" spans="2:26">
      <c r="B275" s="33" t="s">
        <v>320</v>
      </c>
      <c r="F275" s="151">
        <f>+IF(YEAR(F$140)=YEAR(Assumptions!$G$30),-F261,0)</f>
        <v>0</v>
      </c>
      <c r="G275" s="151">
        <f>+IF(YEAR(G$140)=YEAR(Assumptions!$G$30),-G261,0)</f>
        <v>0</v>
      </c>
      <c r="H275" s="151">
        <f>+IF(YEAR(H$140)=YEAR(Assumptions!$G$30),-H261,0)</f>
        <v>0</v>
      </c>
      <c r="I275" s="151">
        <f>+IF(YEAR(I$140)=YEAR(Assumptions!$G$30),-I261,0)</f>
        <v>0</v>
      </c>
      <c r="J275" s="151">
        <f>+IF(YEAR(J$140)=YEAR(Assumptions!$G$30),-J261,0)</f>
        <v>0</v>
      </c>
      <c r="K275" s="151">
        <f>+IF(YEAR(K$140)=YEAR(Assumptions!$G$30),-K261,0)</f>
        <v>0</v>
      </c>
      <c r="L275" s="151">
        <f>+IF(YEAR(L$140)=YEAR(Assumptions!$G$30),-L261,0)</f>
        <v>0</v>
      </c>
      <c r="M275" s="151">
        <f>+IF(YEAR(M$140)=YEAR(Assumptions!$G$30),-M261,0)</f>
        <v>0</v>
      </c>
      <c r="N275" s="151">
        <f>+IF(YEAR(N$140)=YEAR(Assumptions!$G$30),-N261,0)</f>
        <v>-28456110</v>
      </c>
      <c r="O275" s="151">
        <f>+IF(YEAR(O$140)=YEAR(Assumptions!$G$30),-O261,0)</f>
        <v>0</v>
      </c>
      <c r="P275" s="151">
        <f>+IF(YEAR(P$140)=YEAR(Assumptions!$G$30),-P261,0)</f>
        <v>0</v>
      </c>
      <c r="Q275" s="151">
        <f>+IF(YEAR(Q$140)=YEAR(Assumptions!$G$30),-Q261,0)</f>
        <v>0</v>
      </c>
      <c r="R275" s="151">
        <f>+IF(YEAR(R$140)=YEAR(Assumptions!$G$30),-R261,0)</f>
        <v>0</v>
      </c>
      <c r="S275" s="151">
        <f>+IF(YEAR(S$140)=YEAR(Assumptions!$G$30),-S261,0)</f>
        <v>0</v>
      </c>
      <c r="T275" s="151">
        <f>+IF(YEAR(T$140)=YEAR(Assumptions!$G$30),-T261,0)</f>
        <v>0</v>
      </c>
      <c r="U275" s="151">
        <f>+IF(YEAR(U$140)=YEAR(Assumptions!$G$30),-U261,0)</f>
        <v>0</v>
      </c>
      <c r="V275" s="151">
        <f>+IF(YEAR(V$140)=YEAR(Assumptions!$G$30),-V261,0)</f>
        <v>0</v>
      </c>
      <c r="W275" s="151">
        <f>+IF(YEAR(W$140)=YEAR(Assumptions!$G$30),-W261,0)</f>
        <v>0</v>
      </c>
      <c r="X275" s="151">
        <f>+IF(YEAR(X$140)=YEAR(Assumptions!$G$30),-X261,0)</f>
        <v>0</v>
      </c>
      <c r="Y275" s="151">
        <f>+IF(YEAR(Y$140)=YEAR(Assumptions!$G$30),-Y261,0)</f>
        <v>0</v>
      </c>
      <c r="Z275" s="151">
        <f>+IF(YEAR(Z$140)=YEAR(Assumptions!$G$30),-Z261,0)</f>
        <v>0</v>
      </c>
    </row>
    <row r="276" spans="2:26">
      <c r="B276" s="137" t="s">
        <v>321</v>
      </c>
      <c r="C276" s="137"/>
      <c r="D276" s="137"/>
      <c r="E276" s="137"/>
      <c r="F276" s="129">
        <f t="shared" ref="F276" si="149">+SUM(F272:F275)</f>
        <v>0</v>
      </c>
      <c r="G276" s="129">
        <f>+SUM(G272:G275)</f>
        <v>0</v>
      </c>
      <c r="H276" s="129">
        <f t="shared" ref="H276:Z276" si="150">+SUM(H272:H275)</f>
        <v>0</v>
      </c>
      <c r="I276" s="129">
        <f>+SUM(I272:I275)</f>
        <v>0</v>
      </c>
      <c r="J276" s="129">
        <f t="shared" si="150"/>
        <v>0</v>
      </c>
      <c r="K276" s="129">
        <f t="shared" si="150"/>
        <v>0</v>
      </c>
      <c r="L276" s="129">
        <f t="shared" si="150"/>
        <v>0</v>
      </c>
      <c r="M276" s="129">
        <f t="shared" si="150"/>
        <v>0</v>
      </c>
      <c r="N276" s="129">
        <f t="shared" si="150"/>
        <v>22670034.299999997</v>
      </c>
      <c r="O276" s="129">
        <f t="shared" si="150"/>
        <v>0</v>
      </c>
      <c r="P276" s="129">
        <f t="shared" si="150"/>
        <v>0</v>
      </c>
      <c r="Q276" s="129">
        <f t="shared" si="150"/>
        <v>0</v>
      </c>
      <c r="R276" s="129">
        <f t="shared" si="150"/>
        <v>0</v>
      </c>
      <c r="S276" s="129">
        <f t="shared" si="150"/>
        <v>0</v>
      </c>
      <c r="T276" s="129">
        <f t="shared" si="150"/>
        <v>0</v>
      </c>
      <c r="U276" s="129">
        <f t="shared" si="150"/>
        <v>0</v>
      </c>
      <c r="V276" s="129">
        <f t="shared" si="150"/>
        <v>0</v>
      </c>
      <c r="W276" s="129">
        <f t="shared" si="150"/>
        <v>0</v>
      </c>
      <c r="X276" s="129">
        <f t="shared" si="150"/>
        <v>0</v>
      </c>
      <c r="Y276" s="129">
        <f t="shared" si="150"/>
        <v>0</v>
      </c>
      <c r="Z276" s="129">
        <f t="shared" si="150"/>
        <v>0</v>
      </c>
    </row>
    <row r="278" spans="2:26" ht="15.5">
      <c r="B278" s="138" t="s">
        <v>322</v>
      </c>
      <c r="C278" s="138"/>
      <c r="D278" s="138"/>
      <c r="E278" s="138"/>
      <c r="F278" s="139">
        <f>+IF(YEAR(F$140)&lt;=YEAR(Assumptions!$G$30),'Phase II Pro Forma'!F276+'Phase II Pro Forma'!F269,0)</f>
        <v>0</v>
      </c>
      <c r="G278" s="139">
        <f>+IF(YEAR(G$140)&lt;=YEAR(Assumptions!$G$30),'Phase II Pro Forma'!G276+'Phase II Pro Forma'!G269,0)</f>
        <v>0</v>
      </c>
      <c r="H278" s="139">
        <f>+IF(YEAR(H$140)&lt;=YEAR(Assumptions!$G$30),'Phase II Pro Forma'!H276+'Phase II Pro Forma'!H269,0)</f>
        <v>0</v>
      </c>
      <c r="I278" s="139">
        <f>+IF(YEAR(I$140)&lt;=YEAR(Assumptions!$G$30),'Phase II Pro Forma'!I276+'Phase II Pro Forma'!I269,0)</f>
        <v>-23713.424999999843</v>
      </c>
      <c r="J278" s="139">
        <f>+IF(YEAR(J$140)&lt;=YEAR(Assumptions!$G$30),'Phase II Pro Forma'!J276+'Phase II Pro Forma'!J269,0)</f>
        <v>2086781.4000000001</v>
      </c>
      <c r="K278" s="139">
        <f>+IF(YEAR(K$140)&lt;=YEAR(Assumptions!$G$30),'Phase II Pro Forma'!K276+'Phase II Pro Forma'!K269,0)</f>
        <v>2086781.4000000001</v>
      </c>
      <c r="L278" s="139">
        <f>+IF(YEAR(L$140)&lt;=YEAR(Assumptions!$G$30),'Phase II Pro Forma'!L276+'Phase II Pro Forma'!L269,0)</f>
        <v>2466196.2000000002</v>
      </c>
      <c r="M278" s="139">
        <f>+IF(YEAR(M$140)&lt;=YEAR(Assumptions!$G$30),'Phase II Pro Forma'!M276+'Phase II Pro Forma'!M269,0)</f>
        <v>2466196.2000000002</v>
      </c>
      <c r="N278" s="139">
        <f>+IF(YEAR(N$140)&lt;=YEAR(Assumptions!$G$30),'Phase II Pro Forma'!N276+'Phase II Pro Forma'!N269,0)</f>
        <v>25136230.499999996</v>
      </c>
      <c r="O278" s="139">
        <f>+IF(YEAR(O$140)&lt;=YEAR(Assumptions!$G$30),'Phase II Pro Forma'!O276+'Phase II Pro Forma'!O269,0)</f>
        <v>0</v>
      </c>
      <c r="P278" s="139">
        <f>+IF(YEAR(P$140)&lt;=YEAR(Assumptions!$G$30),'Phase II Pro Forma'!P276+'Phase II Pro Forma'!P269,0)</f>
        <v>0</v>
      </c>
      <c r="Q278" s="139">
        <f>+IF(YEAR(Q$140)&lt;=YEAR(Assumptions!$G$30),'Phase II Pro Forma'!Q276+'Phase II Pro Forma'!Q269,0)</f>
        <v>0</v>
      </c>
      <c r="R278" s="139">
        <f>+IF(YEAR(R$140)&lt;=YEAR(Assumptions!$G$30),'Phase II Pro Forma'!R276+'Phase II Pro Forma'!R269,0)</f>
        <v>0</v>
      </c>
      <c r="S278" s="139">
        <f>+IF(YEAR(S$140)&lt;=YEAR(Assumptions!$G$30),'Phase II Pro Forma'!S276+'Phase II Pro Forma'!S269,0)</f>
        <v>0</v>
      </c>
      <c r="T278" s="139">
        <f>+IF(YEAR(T$140)&lt;=YEAR(Assumptions!$G$30),'Phase II Pro Forma'!T276+'Phase II Pro Forma'!T269,0)</f>
        <v>0</v>
      </c>
      <c r="U278" s="139">
        <f>+IF(YEAR(U$140)&lt;=YEAR(Assumptions!$G$30),'Phase II Pro Forma'!U276+'Phase II Pro Forma'!U269,0)</f>
        <v>0</v>
      </c>
      <c r="V278" s="139">
        <f>+IF(YEAR(V$140)&lt;=YEAR(Assumptions!$G$30),'Phase II Pro Forma'!V276+'Phase II Pro Forma'!V269,0)</f>
        <v>0</v>
      </c>
      <c r="W278" s="139">
        <f>+IF(YEAR(W$140)&lt;=YEAR(Assumptions!$G$30),'Phase II Pro Forma'!W276+'Phase II Pro Forma'!W269,0)</f>
        <v>0</v>
      </c>
      <c r="X278" s="139">
        <f>+IF(YEAR(X$140)&lt;=YEAR(Assumptions!$G$30),'Phase II Pro Forma'!X276+'Phase II Pro Forma'!X269,0)</f>
        <v>0</v>
      </c>
      <c r="Y278" s="139">
        <f>+IF(YEAR(Y$140)&lt;=YEAR(Assumptions!$G$30),'Phase II Pro Forma'!Y276+'Phase II Pro Forma'!Y269,0)</f>
        <v>0</v>
      </c>
      <c r="Z278" s="139">
        <f>+IF(YEAR(Z$140)&lt;=YEAR(Assumptions!$G$30),'Phase II Pro Forma'!Z276+'Phase II Pro Forma'!Z269,0)</f>
        <v>0</v>
      </c>
    </row>
    <row r="280" spans="2:26" ht="15.5">
      <c r="B280" s="138" t="s">
        <v>338</v>
      </c>
      <c r="C280" s="138"/>
      <c r="D280" s="138"/>
      <c r="E280" s="138"/>
      <c r="F280" s="139">
        <f t="shared" ref="F280:Z280" ca="1" si="151">+F278+F232+F163</f>
        <v>0</v>
      </c>
      <c r="G280" s="139">
        <f t="shared" ca="1" si="151"/>
        <v>0</v>
      </c>
      <c r="H280" s="139">
        <f t="shared" ca="1" si="151"/>
        <v>0</v>
      </c>
      <c r="I280" s="139">
        <f ca="1">+I278+I232+I163</f>
        <v>-530335.46177452989</v>
      </c>
      <c r="J280" s="139">
        <f t="shared" ca="1" si="151"/>
        <v>7210092.1709204763</v>
      </c>
      <c r="K280" s="139">
        <f t="shared" ca="1" si="151"/>
        <v>7210092.1770137986</v>
      </c>
      <c r="L280" s="139">
        <f t="shared" ca="1" si="151"/>
        <v>8086265.7347756457</v>
      </c>
      <c r="M280" s="139">
        <f t="shared" ca="1" si="151"/>
        <v>8086265.7427317612</v>
      </c>
      <c r="N280" s="139">
        <f t="shared" ca="1" si="151"/>
        <v>83957852.067814276</v>
      </c>
      <c r="O280" s="139">
        <f t="shared" si="151"/>
        <v>0</v>
      </c>
      <c r="P280" s="139">
        <f t="shared" si="151"/>
        <v>0</v>
      </c>
      <c r="Q280" s="139">
        <f t="shared" si="151"/>
        <v>0</v>
      </c>
      <c r="R280" s="139">
        <f t="shared" si="151"/>
        <v>0</v>
      </c>
      <c r="S280" s="139">
        <f t="shared" si="151"/>
        <v>0</v>
      </c>
      <c r="T280" s="139">
        <f t="shared" si="151"/>
        <v>0</v>
      </c>
      <c r="U280" s="139">
        <f t="shared" si="151"/>
        <v>0</v>
      </c>
      <c r="V280" s="139">
        <f t="shared" si="151"/>
        <v>0</v>
      </c>
      <c r="W280" s="139">
        <f t="shared" si="151"/>
        <v>0</v>
      </c>
      <c r="X280" s="139">
        <f t="shared" si="151"/>
        <v>0</v>
      </c>
      <c r="Y280" s="139">
        <f t="shared" si="151"/>
        <v>0</v>
      </c>
      <c r="Z280" s="139">
        <f t="shared" si="151"/>
        <v>0</v>
      </c>
    </row>
    <row r="282" spans="2:26">
      <c r="B282" s="41" t="s">
        <v>423</v>
      </c>
      <c r="F282" s="34">
        <f ca="1">+F157+F303</f>
        <v>3131603.5455047339</v>
      </c>
      <c r="G282" s="34">
        <f t="shared" ref="G282:Z282" ca="1" si="152">+G157+G303</f>
        <v>52960302.500021346</v>
      </c>
      <c r="H282" s="34">
        <f t="shared" ca="1" si="152"/>
        <v>38598706.440464355</v>
      </c>
      <c r="I282" s="34">
        <f t="shared" ca="1" si="152"/>
        <v>-0.1442568302154541</v>
      </c>
      <c r="J282" s="34">
        <f t="shared" ca="1" si="152"/>
        <v>0</v>
      </c>
      <c r="K282" s="34">
        <f t="shared" ca="1" si="152"/>
        <v>0</v>
      </c>
      <c r="L282" s="34">
        <f t="shared" ca="1" si="152"/>
        <v>0</v>
      </c>
      <c r="M282" s="34">
        <f t="shared" ca="1" si="152"/>
        <v>0</v>
      </c>
      <c r="N282" s="34">
        <f t="shared" ca="1" si="152"/>
        <v>0</v>
      </c>
      <c r="O282" s="34">
        <f t="shared" ca="1" si="152"/>
        <v>0</v>
      </c>
      <c r="P282" s="34">
        <f t="shared" ca="1" si="152"/>
        <v>0</v>
      </c>
      <c r="Q282" s="34">
        <f t="shared" ca="1" si="152"/>
        <v>0</v>
      </c>
      <c r="R282" s="34">
        <f t="shared" ca="1" si="152"/>
        <v>0</v>
      </c>
      <c r="S282" s="34">
        <f t="shared" ca="1" si="152"/>
        <v>0</v>
      </c>
      <c r="T282" s="34">
        <f t="shared" ca="1" si="152"/>
        <v>0</v>
      </c>
      <c r="U282" s="34">
        <f t="shared" ca="1" si="152"/>
        <v>0</v>
      </c>
      <c r="V282" s="34">
        <f t="shared" ca="1" si="152"/>
        <v>0</v>
      </c>
      <c r="W282" s="34">
        <f t="shared" ca="1" si="152"/>
        <v>0</v>
      </c>
      <c r="X282" s="34">
        <f t="shared" ca="1" si="152"/>
        <v>0</v>
      </c>
      <c r="Y282" s="34">
        <f t="shared" ca="1" si="152"/>
        <v>0</v>
      </c>
      <c r="Z282" s="34">
        <f t="shared" ca="1" si="152"/>
        <v>0</v>
      </c>
    </row>
    <row r="283" spans="2:26">
      <c r="B283" s="41" t="s">
        <v>323</v>
      </c>
      <c r="F283" s="34">
        <f t="shared" ref="F283:Z283" ca="1" si="153">-F275+F264-F229+F218-F159+F147+F221+F150+F267</f>
        <v>0</v>
      </c>
      <c r="G283" s="34">
        <f t="shared" ca="1" si="153"/>
        <v>0</v>
      </c>
      <c r="H283" s="34">
        <f t="shared" ca="1" si="153"/>
        <v>0</v>
      </c>
      <c r="I283" s="34">
        <f t="shared" ca="1" si="153"/>
        <v>7394996.9466292718</v>
      </c>
      <c r="J283" s="34">
        <f t="shared" ca="1" si="153"/>
        <v>6519231.0982119348</v>
      </c>
      <c r="K283" s="34">
        <f t="shared" ca="1" si="153"/>
        <v>6519231.0982119348</v>
      </c>
      <c r="L283" s="34">
        <f t="shared" ca="1" si="153"/>
        <v>6519231.0982119348</v>
      </c>
      <c r="M283" s="34">
        <f t="shared" ca="1" si="153"/>
        <v>6519231.0982119348</v>
      </c>
      <c r="N283" s="34">
        <f t="shared" ca="1" si="153"/>
        <v>95365960.925928846</v>
      </c>
      <c r="O283" s="34">
        <f t="shared" ca="1" si="153"/>
        <v>6519231.0982119348</v>
      </c>
      <c r="P283" s="34">
        <f t="shared" ca="1" si="153"/>
        <v>6519231.0982119348</v>
      </c>
      <c r="Q283" s="34">
        <f t="shared" ca="1" si="153"/>
        <v>6519231.0982119348</v>
      </c>
      <c r="R283" s="34">
        <f t="shared" ca="1" si="153"/>
        <v>6519231.0982119348</v>
      </c>
      <c r="S283" s="34">
        <f t="shared" ca="1" si="153"/>
        <v>6519231.0982119348</v>
      </c>
      <c r="T283" s="34">
        <f t="shared" ca="1" si="153"/>
        <v>6519231.0982119348</v>
      </c>
      <c r="U283" s="34">
        <f t="shared" ca="1" si="153"/>
        <v>6519231.0982119348</v>
      </c>
      <c r="V283" s="34">
        <f t="shared" ca="1" si="153"/>
        <v>6519231.0982119348</v>
      </c>
      <c r="W283" s="34">
        <f t="shared" ca="1" si="153"/>
        <v>6519231.0982119339</v>
      </c>
      <c r="X283" s="34">
        <f t="shared" ca="1" si="153"/>
        <v>6519231.0982119348</v>
      </c>
      <c r="Y283" s="34">
        <f t="shared" ca="1" si="153"/>
        <v>6519231.0982119339</v>
      </c>
      <c r="Z283" s="34">
        <f t="shared" ca="1" si="153"/>
        <v>6519231.0982119348</v>
      </c>
    </row>
    <row r="285" spans="2:26" ht="15.5">
      <c r="B285" s="37" t="s">
        <v>328</v>
      </c>
      <c r="C285" s="38"/>
      <c r="D285" s="38"/>
      <c r="E285" s="38"/>
      <c r="F285" s="136"/>
      <c r="G285" s="136"/>
      <c r="H285" s="136"/>
      <c r="I285" s="136"/>
      <c r="J285" s="136"/>
      <c r="K285" s="136"/>
      <c r="L285" s="136"/>
      <c r="M285" s="136"/>
      <c r="N285" s="136"/>
      <c r="O285" s="136"/>
      <c r="P285" s="136"/>
      <c r="Q285" s="136"/>
      <c r="R285" s="136"/>
      <c r="S285" s="136"/>
      <c r="T285" s="136"/>
      <c r="U285" s="136"/>
      <c r="V285" s="136"/>
      <c r="W285" s="136"/>
      <c r="X285" s="136"/>
      <c r="Y285" s="136"/>
      <c r="Z285" s="136"/>
    </row>
    <row r="287" spans="2:26" ht="15.5">
      <c r="B287" s="148" t="s">
        <v>327</v>
      </c>
      <c r="F287" s="150">
        <f>+Assumptions!$G$22</f>
        <v>45291</v>
      </c>
      <c r="G287" s="150">
        <f>+EOMONTH(F287,12)</f>
        <v>45657</v>
      </c>
      <c r="H287" s="150">
        <f t="shared" ref="H287:Z287" si="154">+EOMONTH(G287,12)</f>
        <v>46022</v>
      </c>
      <c r="I287" s="150">
        <f t="shared" si="154"/>
        <v>46387</v>
      </c>
      <c r="J287" s="150">
        <f t="shared" si="154"/>
        <v>46752</v>
      </c>
      <c r="K287" s="150">
        <f t="shared" si="154"/>
        <v>47118</v>
      </c>
      <c r="L287" s="150">
        <f t="shared" si="154"/>
        <v>47483</v>
      </c>
      <c r="M287" s="150">
        <f t="shared" si="154"/>
        <v>47848</v>
      </c>
      <c r="N287" s="150">
        <f t="shared" si="154"/>
        <v>48213</v>
      </c>
      <c r="O287" s="150">
        <f t="shared" si="154"/>
        <v>48579</v>
      </c>
      <c r="P287" s="150">
        <f t="shared" si="154"/>
        <v>48944</v>
      </c>
      <c r="Q287" s="150">
        <f t="shared" si="154"/>
        <v>49309</v>
      </c>
      <c r="R287" s="150">
        <f t="shared" si="154"/>
        <v>49674</v>
      </c>
      <c r="S287" s="150">
        <f t="shared" si="154"/>
        <v>50040</v>
      </c>
      <c r="T287" s="150">
        <f t="shared" si="154"/>
        <v>50405</v>
      </c>
      <c r="U287" s="150">
        <f t="shared" si="154"/>
        <v>50770</v>
      </c>
      <c r="V287" s="150">
        <f t="shared" si="154"/>
        <v>51135</v>
      </c>
      <c r="W287" s="150">
        <f t="shared" si="154"/>
        <v>51501</v>
      </c>
      <c r="X287" s="150">
        <f t="shared" si="154"/>
        <v>51866</v>
      </c>
      <c r="Y287" s="150">
        <f t="shared" si="154"/>
        <v>52231</v>
      </c>
      <c r="Z287" s="150">
        <f t="shared" si="154"/>
        <v>52596</v>
      </c>
    </row>
    <row r="288" spans="2:26" ht="15.5">
      <c r="B288" s="33" t="s">
        <v>60</v>
      </c>
      <c r="D288" s="48">
        <f>+SUM(F288:Z288)</f>
        <v>81611947</v>
      </c>
      <c r="E288" s="48"/>
      <c r="F288" s="34">
        <f>+IF(AND(F$287&gt;=Assumptions!$G$22,F$287&lt;Assumptions!$G$24),'S&amp;U'!$I7/ROUNDUP(Assumptions!$G$23/12,0),IF(AND(F$287&gt;=Assumptions!$G$24,F$287&lt;Assumptions!$G$26),'S&amp;U'!$I39/ROUNDUP(Assumptions!$G$25/12,0),0))</f>
        <v>81611947</v>
      </c>
      <c r="G288" s="34">
        <f>+IF(AND(G$287&gt;=Assumptions!$G$22,G$287&lt;Assumptions!$G$24),'S&amp;U'!$I7/ROUNDUP(Assumptions!$G$23/12,0),IF(AND(G$287&gt;=Assumptions!$G$24,G$287&lt;Assumptions!$G$26),'S&amp;U'!$I39/ROUNDUP(Assumptions!$G$25/12,0),0))</f>
        <v>0</v>
      </c>
      <c r="H288" s="34">
        <f>+IF(AND(H$287&gt;=Assumptions!$G$22,H$287&lt;Assumptions!$G$24),'S&amp;U'!$I7/ROUNDUP(Assumptions!$G$23/12,0),IF(AND(H$287&gt;=Assumptions!$G$24,H$287&lt;Assumptions!$G$26),'S&amp;U'!$I39/ROUNDUP(Assumptions!$G$25/12,0),0))</f>
        <v>0</v>
      </c>
      <c r="I288" s="34">
        <f>+IF(AND(I$287&gt;=Assumptions!$G$22,I$287&lt;Assumptions!$G$24),'S&amp;U'!$I7/ROUNDUP(Assumptions!$G$23/12,0),IF(AND(I$287&gt;=Assumptions!$G$24,I$287&lt;Assumptions!$G$26),'S&amp;U'!$I39/ROUNDUP(Assumptions!$G$25/12,0),0))</f>
        <v>0</v>
      </c>
      <c r="J288" s="34">
        <f>+IF(AND(J$287&gt;=Assumptions!$G$22,J$287&lt;Assumptions!$G$24),'S&amp;U'!$I7/ROUNDUP(Assumptions!$G$23/12,0),IF(AND(J$287&gt;=Assumptions!$G$24,J$287&lt;Assumptions!$G$26),'S&amp;U'!$I39/ROUNDUP(Assumptions!$G$25/12,0),0))</f>
        <v>0</v>
      </c>
      <c r="K288" s="34">
        <f>+IF(AND(K$287&gt;=Assumptions!$G$22,K$287&lt;Assumptions!$G$24),'S&amp;U'!$I7/ROUNDUP(Assumptions!$G$23/12,0),IF(AND(K$287&gt;=Assumptions!$G$24,K$287&lt;Assumptions!$G$26),'S&amp;U'!$I39/ROUNDUP(Assumptions!$G$25/12,0),0))</f>
        <v>0</v>
      </c>
      <c r="L288" s="34">
        <f>+IF(AND(L$287&gt;=Assumptions!$G$22,L$287&lt;Assumptions!$G$24),'S&amp;U'!$I7/ROUNDUP(Assumptions!$G$23/12,0),IF(AND(L$287&gt;=Assumptions!$G$24,L$287&lt;Assumptions!$G$26),'S&amp;U'!$I39/ROUNDUP(Assumptions!$G$25/12,0),0))</f>
        <v>0</v>
      </c>
      <c r="M288" s="34">
        <f>+IF(AND(M$287&gt;=Assumptions!$G$22,M$287&lt;Assumptions!$G$24),'S&amp;U'!$I7/ROUNDUP(Assumptions!$G$23/12,0),IF(AND(M$287&gt;=Assumptions!$G$24,M$287&lt;Assumptions!$G$26),'S&amp;U'!$I39/ROUNDUP(Assumptions!$G$25/12,0),0))</f>
        <v>0</v>
      </c>
      <c r="N288" s="34">
        <f>+IF(AND(N$287&gt;=Assumptions!$G$22,N$287&lt;Assumptions!$G$24),'S&amp;U'!$I7/ROUNDUP(Assumptions!$G$23/12,0),IF(AND(N$287&gt;=Assumptions!$G$24,N$287&lt;Assumptions!$G$26),'S&amp;U'!$I39/ROUNDUP(Assumptions!$G$25/12,0),0))</f>
        <v>0</v>
      </c>
      <c r="O288" s="34">
        <f>+IF(AND(O$287&gt;=Assumptions!$G$22,O$287&lt;Assumptions!$G$24),'S&amp;U'!$I7/ROUNDUP(Assumptions!$G$23/12,0),IF(AND(O$287&gt;=Assumptions!$G$24,O$287&lt;Assumptions!$G$26),'S&amp;U'!$I39/ROUNDUP(Assumptions!$G$25/12,0),0))</f>
        <v>0</v>
      </c>
      <c r="P288" s="34">
        <f>+IF(AND(P$287&gt;=Assumptions!$G$22,P$287&lt;Assumptions!$G$24),'S&amp;U'!$I7/ROUNDUP(Assumptions!$G$23/12,0),IF(AND(P$287&gt;=Assumptions!$G$24,P$287&lt;Assumptions!$G$26),'S&amp;U'!$I39/ROUNDUP(Assumptions!$G$25/12,0),0))</f>
        <v>0</v>
      </c>
      <c r="Q288" s="34">
        <f>+IF(AND(Q$287&gt;=Assumptions!$G$22,Q$287&lt;Assumptions!$G$24),'S&amp;U'!$I7/ROUNDUP(Assumptions!$G$23/12,0),IF(AND(Q$287&gt;=Assumptions!$G$24,Q$287&lt;Assumptions!$G$26),'S&amp;U'!$I39/ROUNDUP(Assumptions!$G$25/12,0),0))</f>
        <v>0</v>
      </c>
      <c r="R288" s="34">
        <f>+IF(AND(R$287&gt;=Assumptions!$G$22,R$287&lt;Assumptions!$G$24),'S&amp;U'!$I7/ROUNDUP(Assumptions!$G$23/12,0),IF(AND(R$287&gt;=Assumptions!$G$24,R$287&lt;Assumptions!$G$26),'S&amp;U'!$I39/ROUNDUP(Assumptions!$G$25/12,0),0))</f>
        <v>0</v>
      </c>
      <c r="S288" s="34">
        <f>+IF(AND(S$287&gt;=Assumptions!$G$22,S$287&lt;Assumptions!$G$24),'S&amp;U'!$I7/ROUNDUP(Assumptions!$G$23/12,0),IF(AND(S$287&gt;=Assumptions!$G$24,S$287&lt;Assumptions!$G$26),'S&amp;U'!$I39/ROUNDUP(Assumptions!$G$25/12,0),0))</f>
        <v>0</v>
      </c>
      <c r="T288" s="34">
        <f>+IF(AND(T$287&gt;=Assumptions!$G$22,T$287&lt;Assumptions!$G$24),'S&amp;U'!$I7/ROUNDUP(Assumptions!$G$23/12,0),IF(AND(T$287&gt;=Assumptions!$G$24,T$287&lt;Assumptions!$G$26),'S&amp;U'!$I39/ROUNDUP(Assumptions!$G$25/12,0),0))</f>
        <v>0</v>
      </c>
      <c r="U288" s="34">
        <f>+IF(AND(U$287&gt;=Assumptions!$G$22,U$287&lt;Assumptions!$G$24),'S&amp;U'!$I7/ROUNDUP(Assumptions!$G$23/12,0),IF(AND(U$287&gt;=Assumptions!$G$24,U$287&lt;Assumptions!$G$26),'S&amp;U'!$I39/ROUNDUP(Assumptions!$G$25/12,0),0))</f>
        <v>0</v>
      </c>
      <c r="V288" s="34">
        <f>+IF(AND(V$287&gt;=Assumptions!$G$22,V$287&lt;Assumptions!$G$24),'S&amp;U'!$I7/ROUNDUP(Assumptions!$G$23/12,0),IF(AND(V$287&gt;=Assumptions!$G$24,V$287&lt;Assumptions!$G$26),'S&amp;U'!$I39/ROUNDUP(Assumptions!$G$25/12,0),0))</f>
        <v>0</v>
      </c>
      <c r="W288" s="34">
        <f>+IF(AND(W$287&gt;=Assumptions!$G$22,W$287&lt;Assumptions!$G$24),'S&amp;U'!$I7/ROUNDUP(Assumptions!$G$23/12,0),IF(AND(W$287&gt;=Assumptions!$G$24,W$287&lt;Assumptions!$G$26),'S&amp;U'!$I39/ROUNDUP(Assumptions!$G$25/12,0),0))</f>
        <v>0</v>
      </c>
      <c r="X288" s="34">
        <f>+IF(AND(X$287&gt;=Assumptions!$G$22,X$287&lt;Assumptions!$G$24),'S&amp;U'!$I7/ROUNDUP(Assumptions!$G$23/12,0),IF(AND(X$287&gt;=Assumptions!$G$24,X$287&lt;Assumptions!$G$26),'S&amp;U'!$I39/ROUNDUP(Assumptions!$G$25/12,0),0))</f>
        <v>0</v>
      </c>
      <c r="Y288" s="34">
        <f>+IF(AND(Y$287&gt;=Assumptions!$G$22,Y$287&lt;Assumptions!$G$24),'S&amp;U'!$I7/ROUNDUP(Assumptions!$G$23/12,0),IF(AND(Y$287&gt;=Assumptions!$G$24,Y$287&lt;Assumptions!$G$26),'S&amp;U'!$I39/ROUNDUP(Assumptions!$G$25/12,0),0))</f>
        <v>0</v>
      </c>
      <c r="Z288" s="34">
        <f>+IF(AND(Z$287&gt;=Assumptions!$G$22,Z$287&lt;Assumptions!$G$24),'S&amp;U'!$I7/ROUNDUP(Assumptions!$G$23/12,0),IF(AND(Z$287&gt;=Assumptions!$G$24,Z$287&lt;Assumptions!$G$26),'S&amp;U'!$I39/ROUNDUP(Assumptions!$G$25/12,0),0))</f>
        <v>0</v>
      </c>
    </row>
    <row r="289" spans="1:26" ht="15.5">
      <c r="B289" s="33" t="s">
        <v>8</v>
      </c>
      <c r="D289" s="48">
        <f t="shared" ref="D289:D294" si="155">+SUM(F289:Z289)</f>
        <v>13924805.425531914</v>
      </c>
      <c r="E289" s="48"/>
      <c r="F289" s="151">
        <f>+IF(AND(F$287&gt;=Assumptions!$G$22,F$287&lt;Assumptions!$G$24),'S&amp;U'!$I8/ROUNDUP(Assumptions!$G$23/12,0),IF(AND(F$287&gt;=Assumptions!$G$24,F$287&lt;Assumptions!$G$26),'S&amp;U'!$I40/ROUNDUP(Assumptions!$G$25/12,0),0))</f>
        <v>13924805.425531914</v>
      </c>
      <c r="G289" s="151">
        <f>+IF(AND(G$287&gt;=Assumptions!$G$22,G$287&lt;Assumptions!$G$24),'S&amp;U'!$I8/ROUNDUP(Assumptions!$G$23/12,0),IF(AND(G$287&gt;=Assumptions!$G$24,G$287&lt;Assumptions!$G$26),'S&amp;U'!$I40/ROUNDUP(Assumptions!$G$25/12,0),0))</f>
        <v>0</v>
      </c>
      <c r="H289" s="151">
        <f>+IF(AND(H$287&gt;=Assumptions!$G$22,H$287&lt;Assumptions!$G$24),'S&amp;U'!$I8/ROUNDUP(Assumptions!$G$23/12,0),IF(AND(H$287&gt;=Assumptions!$G$24,H$287&lt;Assumptions!$G$26),'S&amp;U'!$I40/ROUNDUP(Assumptions!$G$25/12,0),0))</f>
        <v>0</v>
      </c>
      <c r="I289" s="151">
        <f>+IF(AND(I$287&gt;=Assumptions!$G$22,I$287&lt;Assumptions!$G$24),'S&amp;U'!$I8/ROUNDUP(Assumptions!$G$23/12,0),IF(AND(I$287&gt;=Assumptions!$G$24,I$287&lt;Assumptions!$G$26),'S&amp;U'!$I40/ROUNDUP(Assumptions!$G$25/12,0),0))</f>
        <v>0</v>
      </c>
      <c r="J289" s="151">
        <f>+IF(AND(J$287&gt;=Assumptions!$G$22,J$287&lt;Assumptions!$G$24),'S&amp;U'!$I8/ROUNDUP(Assumptions!$G$23/12,0),IF(AND(J$287&gt;=Assumptions!$G$24,J$287&lt;Assumptions!$G$26),'S&amp;U'!$I40/ROUNDUP(Assumptions!$G$25/12,0),0))</f>
        <v>0</v>
      </c>
      <c r="K289" s="151">
        <f>+IF(AND(K$287&gt;=Assumptions!$G$22,K$287&lt;Assumptions!$G$24),'S&amp;U'!$I8/ROUNDUP(Assumptions!$G$23/12,0),IF(AND(K$287&gt;=Assumptions!$G$24,K$287&lt;Assumptions!$G$26),'S&amp;U'!$I40/ROUNDUP(Assumptions!$G$25/12,0),0))</f>
        <v>0</v>
      </c>
      <c r="L289" s="151">
        <f>+IF(AND(L$287&gt;=Assumptions!$G$22,L$287&lt;Assumptions!$G$24),'S&amp;U'!$I8/ROUNDUP(Assumptions!$G$23/12,0),IF(AND(L$287&gt;=Assumptions!$G$24,L$287&lt;Assumptions!$G$26),'S&amp;U'!$I40/ROUNDUP(Assumptions!$G$25/12,0),0))</f>
        <v>0</v>
      </c>
      <c r="M289" s="151">
        <f>+IF(AND(M$287&gt;=Assumptions!$G$22,M$287&lt;Assumptions!$G$24),'S&amp;U'!$I8/ROUNDUP(Assumptions!$G$23/12,0),IF(AND(M$287&gt;=Assumptions!$G$24,M$287&lt;Assumptions!$G$26),'S&amp;U'!$I40/ROUNDUP(Assumptions!$G$25/12,0),0))</f>
        <v>0</v>
      </c>
      <c r="N289" s="151">
        <f>+IF(AND(N$287&gt;=Assumptions!$G$22,N$287&lt;Assumptions!$G$24),'S&amp;U'!$I8/ROUNDUP(Assumptions!$G$23/12,0),IF(AND(N$287&gt;=Assumptions!$G$24,N$287&lt;Assumptions!$G$26),'S&amp;U'!$I40/ROUNDUP(Assumptions!$G$25/12,0),0))</f>
        <v>0</v>
      </c>
      <c r="O289" s="151">
        <f>+IF(AND(O$287&gt;=Assumptions!$G$22,O$287&lt;Assumptions!$G$24),'S&amp;U'!$I8/ROUNDUP(Assumptions!$G$23/12,0),IF(AND(O$287&gt;=Assumptions!$G$24,O$287&lt;Assumptions!$G$26),'S&amp;U'!$I40/ROUNDUP(Assumptions!$G$25/12,0),0))</f>
        <v>0</v>
      </c>
      <c r="P289" s="151">
        <f>+IF(AND(P$287&gt;=Assumptions!$G$22,P$287&lt;Assumptions!$G$24),'S&amp;U'!$I8/ROUNDUP(Assumptions!$G$23/12,0),IF(AND(P$287&gt;=Assumptions!$G$24,P$287&lt;Assumptions!$G$26),'S&amp;U'!$I40/ROUNDUP(Assumptions!$G$25/12,0),0))</f>
        <v>0</v>
      </c>
      <c r="Q289" s="151">
        <f>+IF(AND(Q$287&gt;=Assumptions!$G$22,Q$287&lt;Assumptions!$G$24),'S&amp;U'!$I8/ROUNDUP(Assumptions!$G$23/12,0),IF(AND(Q$287&gt;=Assumptions!$G$24,Q$287&lt;Assumptions!$G$26),'S&amp;U'!$I40/ROUNDUP(Assumptions!$G$25/12,0),0))</f>
        <v>0</v>
      </c>
      <c r="R289" s="151">
        <f>+IF(AND(R$287&gt;=Assumptions!$G$22,R$287&lt;Assumptions!$G$24),'S&amp;U'!$I8/ROUNDUP(Assumptions!$G$23/12,0),IF(AND(R$287&gt;=Assumptions!$G$24,R$287&lt;Assumptions!$G$26),'S&amp;U'!$I40/ROUNDUP(Assumptions!$G$25/12,0),0))</f>
        <v>0</v>
      </c>
      <c r="S289" s="151">
        <f>+IF(AND(S$287&gt;=Assumptions!$G$22,S$287&lt;Assumptions!$G$24),'S&amp;U'!$I8/ROUNDUP(Assumptions!$G$23/12,0),IF(AND(S$287&gt;=Assumptions!$G$24,S$287&lt;Assumptions!$G$26),'S&amp;U'!$I40/ROUNDUP(Assumptions!$G$25/12,0),0))</f>
        <v>0</v>
      </c>
      <c r="T289" s="151">
        <f>+IF(AND(T$287&gt;=Assumptions!$G$22,T$287&lt;Assumptions!$G$24),'S&amp;U'!$I8/ROUNDUP(Assumptions!$G$23/12,0),IF(AND(T$287&gt;=Assumptions!$G$24,T$287&lt;Assumptions!$G$26),'S&amp;U'!$I40/ROUNDUP(Assumptions!$G$25/12,0),0))</f>
        <v>0</v>
      </c>
      <c r="U289" s="151">
        <f>+IF(AND(U$287&gt;=Assumptions!$G$22,U$287&lt;Assumptions!$G$24),'S&amp;U'!$I8/ROUNDUP(Assumptions!$G$23/12,0),IF(AND(U$287&gt;=Assumptions!$G$24,U$287&lt;Assumptions!$G$26),'S&amp;U'!$I40/ROUNDUP(Assumptions!$G$25/12,0),0))</f>
        <v>0</v>
      </c>
      <c r="V289" s="151">
        <f>+IF(AND(V$287&gt;=Assumptions!$G$22,V$287&lt;Assumptions!$G$24),'S&amp;U'!$I8/ROUNDUP(Assumptions!$G$23/12,0),IF(AND(V$287&gt;=Assumptions!$G$24,V$287&lt;Assumptions!$G$26),'S&amp;U'!$I40/ROUNDUP(Assumptions!$G$25/12,0),0))</f>
        <v>0</v>
      </c>
      <c r="W289" s="151">
        <f>+IF(AND(W$287&gt;=Assumptions!$G$22,W$287&lt;Assumptions!$G$24),'S&amp;U'!$I8/ROUNDUP(Assumptions!$G$23/12,0),IF(AND(W$287&gt;=Assumptions!$G$24,W$287&lt;Assumptions!$G$26),'S&amp;U'!$I40/ROUNDUP(Assumptions!$G$25/12,0),0))</f>
        <v>0</v>
      </c>
      <c r="X289" s="151">
        <f>+IF(AND(X$287&gt;=Assumptions!$G$22,X$287&lt;Assumptions!$G$24),'S&amp;U'!$I8/ROUNDUP(Assumptions!$G$23/12,0),IF(AND(X$287&gt;=Assumptions!$G$24,X$287&lt;Assumptions!$G$26),'S&amp;U'!$I40/ROUNDUP(Assumptions!$G$25/12,0),0))</f>
        <v>0</v>
      </c>
      <c r="Y289" s="151">
        <f>+IF(AND(Y$287&gt;=Assumptions!$G$22,Y$287&lt;Assumptions!$G$24),'S&amp;U'!$I8/ROUNDUP(Assumptions!$G$23/12,0),IF(AND(Y$287&gt;=Assumptions!$G$24,Y$287&lt;Assumptions!$G$26),'S&amp;U'!$I40/ROUNDUP(Assumptions!$G$25/12,0),0))</f>
        <v>0</v>
      </c>
      <c r="Z289" s="151">
        <f>+IF(AND(Z$287&gt;=Assumptions!$G$22,Z$287&lt;Assumptions!$G$24),'S&amp;U'!$I8/ROUNDUP(Assumptions!$G$23/12,0),IF(AND(Z$287&gt;=Assumptions!$G$24,Z$287&lt;Assumptions!$G$26),'S&amp;U'!$I40/ROUNDUP(Assumptions!$G$25/12,0),0))</f>
        <v>0</v>
      </c>
    </row>
    <row r="290" spans="1:26" ht="15.5">
      <c r="B290" s="33" t="s">
        <v>56</v>
      </c>
      <c r="D290" s="48">
        <f t="shared" si="155"/>
        <v>86638131.338622525</v>
      </c>
      <c r="E290" s="48"/>
      <c r="F290" s="151">
        <f>+IF(AND(F$287&gt;=Assumptions!$G$22,F$287&lt;Assumptions!$G$24),'S&amp;U'!$I9/ROUNDUP(Assumptions!$G$23/12,0),IF(AND(F$287&gt;=Assumptions!$G$24,F$287&lt;Assumptions!$G$26),'S&amp;U'!$I41/ROUNDUP(Assumptions!$G$25/12,0),0))</f>
        <v>40000</v>
      </c>
      <c r="G290" s="151">
        <f>+IF(AND(G$287&gt;=Assumptions!$G$22,G$287&lt;Assumptions!$G$24),'S&amp;U'!$I9/ROUNDUP(Assumptions!$G$23/12,0),IF(AND(G$287&gt;=Assumptions!$G$24,G$287&lt;Assumptions!$G$26),'S&amp;U'!$I41/ROUNDUP(Assumptions!$G$25/12,0),0))</f>
        <v>43299065.669311263</v>
      </c>
      <c r="H290" s="151">
        <f>+IF(AND(H$287&gt;=Assumptions!$G$22,H$287&lt;Assumptions!$G$24),'S&amp;U'!$I9/ROUNDUP(Assumptions!$G$23/12,0),IF(AND(H$287&gt;=Assumptions!$G$24,H$287&lt;Assumptions!$G$26),'S&amp;U'!$I41/ROUNDUP(Assumptions!$G$25/12,0),0))</f>
        <v>43299065.669311263</v>
      </c>
      <c r="I290" s="151">
        <f>+IF(AND(I$287&gt;=Assumptions!$G$22,I$287&lt;Assumptions!$G$24),'S&amp;U'!$I9/ROUNDUP(Assumptions!$G$23/12,0),IF(AND(I$287&gt;=Assumptions!$G$24,I$287&lt;Assumptions!$G$26),'S&amp;U'!$I41/ROUNDUP(Assumptions!$G$25/12,0),0))</f>
        <v>0</v>
      </c>
      <c r="J290" s="151">
        <f>+IF(AND(J$287&gt;=Assumptions!$G$22,J$287&lt;Assumptions!$G$24),'S&amp;U'!$I9/ROUNDUP(Assumptions!$G$23/12,0),IF(AND(J$287&gt;=Assumptions!$G$24,J$287&lt;Assumptions!$G$26),'S&amp;U'!$I41/ROUNDUP(Assumptions!$G$25/12,0),0))</f>
        <v>0</v>
      </c>
      <c r="K290" s="151">
        <f>+IF(AND(K$287&gt;=Assumptions!$G$22,K$287&lt;Assumptions!$G$24),'S&amp;U'!$I9/ROUNDUP(Assumptions!$G$23/12,0),IF(AND(K$287&gt;=Assumptions!$G$24,K$287&lt;Assumptions!$G$26),'S&amp;U'!$I41/ROUNDUP(Assumptions!$G$25/12,0),0))</f>
        <v>0</v>
      </c>
      <c r="L290" s="151">
        <f>+IF(AND(L$287&gt;=Assumptions!$G$22,L$287&lt;Assumptions!$G$24),'S&amp;U'!$I9/ROUNDUP(Assumptions!$G$23/12,0),IF(AND(L$287&gt;=Assumptions!$G$24,L$287&lt;Assumptions!$G$26),'S&amp;U'!$I41/ROUNDUP(Assumptions!$G$25/12,0),0))</f>
        <v>0</v>
      </c>
      <c r="M290" s="151">
        <f>+IF(AND(M$287&gt;=Assumptions!$G$22,M$287&lt;Assumptions!$G$24),'S&amp;U'!$I9/ROUNDUP(Assumptions!$G$23/12,0),IF(AND(M$287&gt;=Assumptions!$G$24,M$287&lt;Assumptions!$G$26),'S&amp;U'!$I41/ROUNDUP(Assumptions!$G$25/12,0),0))</f>
        <v>0</v>
      </c>
      <c r="N290" s="151">
        <f>+IF(AND(N$287&gt;=Assumptions!$G$22,N$287&lt;Assumptions!$G$24),'S&amp;U'!$I9/ROUNDUP(Assumptions!$G$23/12,0),IF(AND(N$287&gt;=Assumptions!$G$24,N$287&lt;Assumptions!$G$26),'S&amp;U'!$I41/ROUNDUP(Assumptions!$G$25/12,0),0))</f>
        <v>0</v>
      </c>
      <c r="O290" s="151">
        <f>+IF(AND(O$287&gt;=Assumptions!$G$22,O$287&lt;Assumptions!$G$24),'S&amp;U'!$I9/ROUNDUP(Assumptions!$G$23/12,0),IF(AND(O$287&gt;=Assumptions!$G$24,O$287&lt;Assumptions!$G$26),'S&amp;U'!$I41/ROUNDUP(Assumptions!$G$25/12,0),0))</f>
        <v>0</v>
      </c>
      <c r="P290" s="151">
        <f>+IF(AND(P$287&gt;=Assumptions!$G$22,P$287&lt;Assumptions!$G$24),'S&amp;U'!$I9/ROUNDUP(Assumptions!$G$23/12,0),IF(AND(P$287&gt;=Assumptions!$G$24,P$287&lt;Assumptions!$G$26),'S&amp;U'!$I41/ROUNDUP(Assumptions!$G$25/12,0),0))</f>
        <v>0</v>
      </c>
      <c r="Q290" s="151">
        <f>+IF(AND(Q$287&gt;=Assumptions!$G$22,Q$287&lt;Assumptions!$G$24),'S&amp;U'!$I9/ROUNDUP(Assumptions!$G$23/12,0),IF(AND(Q$287&gt;=Assumptions!$G$24,Q$287&lt;Assumptions!$G$26),'S&amp;U'!$I41/ROUNDUP(Assumptions!$G$25/12,0),0))</f>
        <v>0</v>
      </c>
      <c r="R290" s="151">
        <f>+IF(AND(R$287&gt;=Assumptions!$G$22,R$287&lt;Assumptions!$G$24),'S&amp;U'!$I9/ROUNDUP(Assumptions!$G$23/12,0),IF(AND(R$287&gt;=Assumptions!$G$24,R$287&lt;Assumptions!$G$26),'S&amp;U'!$I41/ROUNDUP(Assumptions!$G$25/12,0),0))</f>
        <v>0</v>
      </c>
      <c r="S290" s="151">
        <f>+IF(AND(S$287&gt;=Assumptions!$G$22,S$287&lt;Assumptions!$G$24),'S&amp;U'!$I9/ROUNDUP(Assumptions!$G$23/12,0),IF(AND(S$287&gt;=Assumptions!$G$24,S$287&lt;Assumptions!$G$26),'S&amp;U'!$I41/ROUNDUP(Assumptions!$G$25/12,0),0))</f>
        <v>0</v>
      </c>
      <c r="T290" s="151">
        <f>+IF(AND(T$287&gt;=Assumptions!$G$22,T$287&lt;Assumptions!$G$24),'S&amp;U'!$I9/ROUNDUP(Assumptions!$G$23/12,0),IF(AND(T$287&gt;=Assumptions!$G$24,T$287&lt;Assumptions!$G$26),'S&amp;U'!$I41/ROUNDUP(Assumptions!$G$25/12,0),0))</f>
        <v>0</v>
      </c>
      <c r="U290" s="151">
        <f>+IF(AND(U$287&gt;=Assumptions!$G$22,U$287&lt;Assumptions!$G$24),'S&amp;U'!$I9/ROUNDUP(Assumptions!$G$23/12,0),IF(AND(U$287&gt;=Assumptions!$G$24,U$287&lt;Assumptions!$G$26),'S&amp;U'!$I41/ROUNDUP(Assumptions!$G$25/12,0),0))</f>
        <v>0</v>
      </c>
      <c r="V290" s="151">
        <f>+IF(AND(V$287&gt;=Assumptions!$G$22,V$287&lt;Assumptions!$G$24),'S&amp;U'!$I9/ROUNDUP(Assumptions!$G$23/12,0),IF(AND(V$287&gt;=Assumptions!$G$24,V$287&lt;Assumptions!$G$26),'S&amp;U'!$I41/ROUNDUP(Assumptions!$G$25/12,0),0))</f>
        <v>0</v>
      </c>
      <c r="W290" s="151">
        <f>+IF(AND(W$287&gt;=Assumptions!$G$22,W$287&lt;Assumptions!$G$24),'S&amp;U'!$I9/ROUNDUP(Assumptions!$G$23/12,0),IF(AND(W$287&gt;=Assumptions!$G$24,W$287&lt;Assumptions!$G$26),'S&amp;U'!$I41/ROUNDUP(Assumptions!$G$25/12,0),0))</f>
        <v>0</v>
      </c>
      <c r="X290" s="151">
        <f>+IF(AND(X$287&gt;=Assumptions!$G$22,X$287&lt;Assumptions!$G$24),'S&amp;U'!$I9/ROUNDUP(Assumptions!$G$23/12,0),IF(AND(X$287&gt;=Assumptions!$G$24,X$287&lt;Assumptions!$G$26),'S&amp;U'!$I41/ROUNDUP(Assumptions!$G$25/12,0),0))</f>
        <v>0</v>
      </c>
      <c r="Y290" s="151">
        <f>+IF(AND(Y$287&gt;=Assumptions!$G$22,Y$287&lt;Assumptions!$G$24),'S&amp;U'!$I9/ROUNDUP(Assumptions!$G$23/12,0),IF(AND(Y$287&gt;=Assumptions!$G$24,Y$287&lt;Assumptions!$G$26),'S&amp;U'!$I41/ROUNDUP(Assumptions!$G$25/12,0),0))</f>
        <v>0</v>
      </c>
      <c r="Z290" s="151">
        <f>+IF(AND(Z$287&gt;=Assumptions!$G$22,Z$287&lt;Assumptions!$G$24),'S&amp;U'!$I9/ROUNDUP(Assumptions!$G$23/12,0),IF(AND(Z$287&gt;=Assumptions!$G$24,Z$287&lt;Assumptions!$G$26),'S&amp;U'!$I41/ROUNDUP(Assumptions!$G$25/12,0),0))</f>
        <v>0</v>
      </c>
    </row>
    <row r="291" spans="1:26" ht="15.5">
      <c r="B291" s="33" t="s">
        <v>57</v>
      </c>
      <c r="D291" s="48">
        <f t="shared" si="155"/>
        <v>12453546.08706864</v>
      </c>
      <c r="E291" s="48"/>
      <c r="F291" s="151">
        <f>+IF(AND(F$287&gt;=Assumptions!$G$22,F$287&lt;Assumptions!$G$24),'S&amp;U'!$I10/ROUNDUP(Assumptions!$G$23/12,0),IF(AND(F$287&gt;=Assumptions!$G$24,F$287&lt;Assumptions!$G$26),'S&amp;U'!$I42/ROUNDUP(Assumptions!$G$25/12,0),0))</f>
        <v>4473480.1146556279</v>
      </c>
      <c r="G291" s="151">
        <f>+IF(AND(G$287&gt;=Assumptions!$G$22,G$287&lt;Assumptions!$G$24),'S&amp;U'!$I10/ROUNDUP(Assumptions!$G$23/12,0),IF(AND(G$287&gt;=Assumptions!$G$24,G$287&lt;Assumptions!$G$26),'S&amp;U'!$I42/ROUNDUP(Assumptions!$G$25/12,0),0))</f>
        <v>3990032.9862065059</v>
      </c>
      <c r="H291" s="151">
        <f>+IF(AND(H$287&gt;=Assumptions!$G$22,H$287&lt;Assumptions!$G$24),'S&amp;U'!$I10/ROUNDUP(Assumptions!$G$23/12,0),IF(AND(H$287&gt;=Assumptions!$G$24,H$287&lt;Assumptions!$G$26),'S&amp;U'!$I42/ROUNDUP(Assumptions!$G$25/12,0),0))</f>
        <v>3990032.9862065059</v>
      </c>
      <c r="I291" s="151">
        <f>+IF(AND(I$287&gt;=Assumptions!$G$22,I$287&lt;Assumptions!$G$24),'S&amp;U'!$I10/ROUNDUP(Assumptions!$G$23/12,0),IF(AND(I$287&gt;=Assumptions!$G$24,I$287&lt;Assumptions!$G$26),'S&amp;U'!$I42/ROUNDUP(Assumptions!$G$25/12,0),0))</f>
        <v>0</v>
      </c>
      <c r="J291" s="151">
        <f>+IF(AND(J$287&gt;=Assumptions!$G$22,J$287&lt;Assumptions!$G$24),'S&amp;U'!$I10/ROUNDUP(Assumptions!$G$23/12,0),IF(AND(J$287&gt;=Assumptions!$G$24,J$287&lt;Assumptions!$G$26),'S&amp;U'!$I42/ROUNDUP(Assumptions!$G$25/12,0),0))</f>
        <v>0</v>
      </c>
      <c r="K291" s="151">
        <f>+IF(AND(K$287&gt;=Assumptions!$G$22,K$287&lt;Assumptions!$G$24),'S&amp;U'!$I10/ROUNDUP(Assumptions!$G$23/12,0),IF(AND(K$287&gt;=Assumptions!$G$24,K$287&lt;Assumptions!$G$26),'S&amp;U'!$I42/ROUNDUP(Assumptions!$G$25/12,0),0))</f>
        <v>0</v>
      </c>
      <c r="L291" s="151">
        <f>+IF(AND(L$287&gt;=Assumptions!$G$22,L$287&lt;Assumptions!$G$24),'S&amp;U'!$I10/ROUNDUP(Assumptions!$G$23/12,0),IF(AND(L$287&gt;=Assumptions!$G$24,L$287&lt;Assumptions!$G$26),'S&amp;U'!$I42/ROUNDUP(Assumptions!$G$25/12,0),0))</f>
        <v>0</v>
      </c>
      <c r="M291" s="151">
        <f>+IF(AND(M$287&gt;=Assumptions!$G$22,M$287&lt;Assumptions!$G$24),'S&amp;U'!$I10/ROUNDUP(Assumptions!$G$23/12,0),IF(AND(M$287&gt;=Assumptions!$G$24,M$287&lt;Assumptions!$G$26),'S&amp;U'!$I42/ROUNDUP(Assumptions!$G$25/12,0),0))</f>
        <v>0</v>
      </c>
      <c r="N291" s="151">
        <f>+IF(AND(N$287&gt;=Assumptions!$G$22,N$287&lt;Assumptions!$G$24),'S&amp;U'!$I10/ROUNDUP(Assumptions!$G$23/12,0),IF(AND(N$287&gt;=Assumptions!$G$24,N$287&lt;Assumptions!$G$26),'S&amp;U'!$I42/ROUNDUP(Assumptions!$G$25/12,0),0))</f>
        <v>0</v>
      </c>
      <c r="O291" s="151">
        <f>+IF(AND(O$287&gt;=Assumptions!$G$22,O$287&lt;Assumptions!$G$24),'S&amp;U'!$I10/ROUNDUP(Assumptions!$G$23/12,0),IF(AND(O$287&gt;=Assumptions!$G$24,O$287&lt;Assumptions!$G$26),'S&amp;U'!$I42/ROUNDUP(Assumptions!$G$25/12,0),0))</f>
        <v>0</v>
      </c>
      <c r="P291" s="151">
        <f>+IF(AND(P$287&gt;=Assumptions!$G$22,P$287&lt;Assumptions!$G$24),'S&amp;U'!$I10/ROUNDUP(Assumptions!$G$23/12,0),IF(AND(P$287&gt;=Assumptions!$G$24,P$287&lt;Assumptions!$G$26),'S&amp;U'!$I42/ROUNDUP(Assumptions!$G$25/12,0),0))</f>
        <v>0</v>
      </c>
      <c r="Q291" s="151">
        <f>+IF(AND(Q$287&gt;=Assumptions!$G$22,Q$287&lt;Assumptions!$G$24),'S&amp;U'!$I10/ROUNDUP(Assumptions!$G$23/12,0),IF(AND(Q$287&gt;=Assumptions!$G$24,Q$287&lt;Assumptions!$G$26),'S&amp;U'!$I42/ROUNDUP(Assumptions!$G$25/12,0),0))</f>
        <v>0</v>
      </c>
      <c r="R291" s="151">
        <f>+IF(AND(R$287&gt;=Assumptions!$G$22,R$287&lt;Assumptions!$G$24),'S&amp;U'!$I10/ROUNDUP(Assumptions!$G$23/12,0),IF(AND(R$287&gt;=Assumptions!$G$24,R$287&lt;Assumptions!$G$26),'S&amp;U'!$I42/ROUNDUP(Assumptions!$G$25/12,0),0))</f>
        <v>0</v>
      </c>
      <c r="S291" s="151">
        <f>+IF(AND(S$287&gt;=Assumptions!$G$22,S$287&lt;Assumptions!$G$24),'S&amp;U'!$I10/ROUNDUP(Assumptions!$G$23/12,0),IF(AND(S$287&gt;=Assumptions!$G$24,S$287&lt;Assumptions!$G$26),'S&amp;U'!$I42/ROUNDUP(Assumptions!$G$25/12,0),0))</f>
        <v>0</v>
      </c>
      <c r="T291" s="151">
        <f>+IF(AND(T$287&gt;=Assumptions!$G$22,T$287&lt;Assumptions!$G$24),'S&amp;U'!$I10/ROUNDUP(Assumptions!$G$23/12,0),IF(AND(T$287&gt;=Assumptions!$G$24,T$287&lt;Assumptions!$G$26),'S&amp;U'!$I42/ROUNDUP(Assumptions!$G$25/12,0),0))</f>
        <v>0</v>
      </c>
      <c r="U291" s="151">
        <f>+IF(AND(U$287&gt;=Assumptions!$G$22,U$287&lt;Assumptions!$G$24),'S&amp;U'!$I10/ROUNDUP(Assumptions!$G$23/12,0),IF(AND(U$287&gt;=Assumptions!$G$24,U$287&lt;Assumptions!$G$26),'S&amp;U'!$I42/ROUNDUP(Assumptions!$G$25/12,0),0))</f>
        <v>0</v>
      </c>
      <c r="V291" s="151">
        <f>+IF(AND(V$287&gt;=Assumptions!$G$22,V$287&lt;Assumptions!$G$24),'S&amp;U'!$I10/ROUNDUP(Assumptions!$G$23/12,0),IF(AND(V$287&gt;=Assumptions!$G$24,V$287&lt;Assumptions!$G$26),'S&amp;U'!$I42/ROUNDUP(Assumptions!$G$25/12,0),0))</f>
        <v>0</v>
      </c>
      <c r="W291" s="151">
        <f>+IF(AND(W$287&gt;=Assumptions!$G$22,W$287&lt;Assumptions!$G$24),'S&amp;U'!$I10/ROUNDUP(Assumptions!$G$23/12,0),IF(AND(W$287&gt;=Assumptions!$G$24,W$287&lt;Assumptions!$G$26),'S&amp;U'!$I42/ROUNDUP(Assumptions!$G$25/12,0),0))</f>
        <v>0</v>
      </c>
      <c r="X291" s="151">
        <f>+IF(AND(X$287&gt;=Assumptions!$G$22,X$287&lt;Assumptions!$G$24),'S&amp;U'!$I10/ROUNDUP(Assumptions!$G$23/12,0),IF(AND(X$287&gt;=Assumptions!$G$24,X$287&lt;Assumptions!$G$26),'S&amp;U'!$I42/ROUNDUP(Assumptions!$G$25/12,0),0))</f>
        <v>0</v>
      </c>
      <c r="Y291" s="151">
        <f>+IF(AND(Y$287&gt;=Assumptions!$G$22,Y$287&lt;Assumptions!$G$24),'S&amp;U'!$I10/ROUNDUP(Assumptions!$G$23/12,0),IF(AND(Y$287&gt;=Assumptions!$G$24,Y$287&lt;Assumptions!$G$26),'S&amp;U'!$I42/ROUNDUP(Assumptions!$G$25/12,0),0))</f>
        <v>0</v>
      </c>
      <c r="Z291" s="151">
        <f>+IF(AND(Z$287&gt;=Assumptions!$G$22,Z$287&lt;Assumptions!$G$24),'S&amp;U'!$I10/ROUNDUP(Assumptions!$G$23/12,0),IF(AND(Z$287&gt;=Assumptions!$G$24,Z$287&lt;Assumptions!$G$26),'S&amp;U'!$I42/ROUNDUP(Assumptions!$G$25/12,0),0))</f>
        <v>0</v>
      </c>
    </row>
    <row r="292" spans="1:26" ht="15.5">
      <c r="B292" s="33" t="s">
        <v>79</v>
      </c>
      <c r="D292" s="48">
        <f t="shared" ca="1" si="155"/>
        <v>9438811.0305340122</v>
      </c>
      <c r="E292" s="48"/>
      <c r="F292" s="151">
        <f>+IF(AND(F$287&gt;=Assumptions!$G$22,F$287&lt;Assumptions!$G$24),'S&amp;U'!$I11/ROUNDUP(Assumptions!$G$23/12,0),IF(AND(F$287&gt;=Assumptions!$G$24,F$287&lt;Assumptions!$G$26),'S&amp;U'!$I43/ROUNDUP(Assumptions!$G$25/12,0),0))</f>
        <v>0</v>
      </c>
      <c r="G292" s="151">
        <f ca="1">+IF(AND(G$287&gt;=Assumptions!$G$22,G$287&lt;Assumptions!$G$24),'S&amp;U'!$I11/ROUNDUP(Assumptions!$G$23/12,0),IF(AND(G$287&gt;=Assumptions!$G$24,G$287&lt;Assumptions!$G$26),'S&amp;U'!$I43/ROUNDUP(Assumptions!$G$25/12,0),0))</f>
        <v>4719405.5152670052</v>
      </c>
      <c r="H292" s="151">
        <f ca="1">+IF(AND(H$287&gt;=Assumptions!$G$22,H$287&lt;Assumptions!$G$24),'S&amp;U'!$I11/ROUNDUP(Assumptions!$G$23/12,0),IF(AND(H$287&gt;=Assumptions!$G$24,H$287&lt;Assumptions!$G$26),'S&amp;U'!$I43/ROUNDUP(Assumptions!$G$25/12,0),0))</f>
        <v>4719405.5152670052</v>
      </c>
      <c r="I292" s="151">
        <f>+IF(AND(I$287&gt;=Assumptions!$G$22,I$287&lt;Assumptions!$G$24),'S&amp;U'!$I11/ROUNDUP(Assumptions!$G$23/12,0),IF(AND(I$287&gt;=Assumptions!$G$24,I$287&lt;Assumptions!$G$26),'S&amp;U'!$I43/ROUNDUP(Assumptions!$G$25/12,0),0))</f>
        <v>0</v>
      </c>
      <c r="J292" s="151">
        <f>+IF(AND(J$287&gt;=Assumptions!$G$22,J$287&lt;Assumptions!$G$24),'S&amp;U'!$I11/ROUNDUP(Assumptions!$G$23/12,0),IF(AND(J$287&gt;=Assumptions!$G$24,J$287&lt;Assumptions!$G$26),'S&amp;U'!$I43/ROUNDUP(Assumptions!$G$25/12,0),0))</f>
        <v>0</v>
      </c>
      <c r="K292" s="151">
        <f>+IF(AND(K$287&gt;=Assumptions!$G$22,K$287&lt;Assumptions!$G$24),'S&amp;U'!$I11/ROUNDUP(Assumptions!$G$23/12,0),IF(AND(K$287&gt;=Assumptions!$G$24,K$287&lt;Assumptions!$G$26),'S&amp;U'!$I43/ROUNDUP(Assumptions!$G$25/12,0),0))</f>
        <v>0</v>
      </c>
      <c r="L292" s="151">
        <f>+IF(AND(L$287&gt;=Assumptions!$G$22,L$287&lt;Assumptions!$G$24),'S&amp;U'!$I11/ROUNDUP(Assumptions!$G$23/12,0),IF(AND(L$287&gt;=Assumptions!$G$24,L$287&lt;Assumptions!$G$26),'S&amp;U'!$I43/ROUNDUP(Assumptions!$G$25/12,0),0))</f>
        <v>0</v>
      </c>
      <c r="M292" s="151">
        <f>+IF(AND(M$287&gt;=Assumptions!$G$22,M$287&lt;Assumptions!$G$24),'S&amp;U'!$I11/ROUNDUP(Assumptions!$G$23/12,0),IF(AND(M$287&gt;=Assumptions!$G$24,M$287&lt;Assumptions!$G$26),'S&amp;U'!$I43/ROUNDUP(Assumptions!$G$25/12,0),0))</f>
        <v>0</v>
      </c>
      <c r="N292" s="151">
        <f>+IF(AND(N$287&gt;=Assumptions!$G$22,N$287&lt;Assumptions!$G$24),'S&amp;U'!$I11/ROUNDUP(Assumptions!$G$23/12,0),IF(AND(N$287&gt;=Assumptions!$G$24,N$287&lt;Assumptions!$G$26),'S&amp;U'!$I43/ROUNDUP(Assumptions!$G$25/12,0),0))</f>
        <v>0</v>
      </c>
      <c r="O292" s="151">
        <f>+IF(AND(O$287&gt;=Assumptions!$G$22,O$287&lt;Assumptions!$G$24),'S&amp;U'!$I11/ROUNDUP(Assumptions!$G$23/12,0),IF(AND(O$287&gt;=Assumptions!$G$24,O$287&lt;Assumptions!$G$26),'S&amp;U'!$I43/ROUNDUP(Assumptions!$G$25/12,0),0))</f>
        <v>0</v>
      </c>
      <c r="P292" s="151">
        <f>+IF(AND(P$287&gt;=Assumptions!$G$22,P$287&lt;Assumptions!$G$24),'S&amp;U'!$I11/ROUNDUP(Assumptions!$G$23/12,0),IF(AND(P$287&gt;=Assumptions!$G$24,P$287&lt;Assumptions!$G$26),'S&amp;U'!$I43/ROUNDUP(Assumptions!$G$25/12,0),0))</f>
        <v>0</v>
      </c>
      <c r="Q292" s="151">
        <f>+IF(AND(Q$287&gt;=Assumptions!$G$22,Q$287&lt;Assumptions!$G$24),'S&amp;U'!$I11/ROUNDUP(Assumptions!$G$23/12,0),IF(AND(Q$287&gt;=Assumptions!$G$24,Q$287&lt;Assumptions!$G$26),'S&amp;U'!$I43/ROUNDUP(Assumptions!$G$25/12,0),0))</f>
        <v>0</v>
      </c>
      <c r="R292" s="151">
        <f>+IF(AND(R$287&gt;=Assumptions!$G$22,R$287&lt;Assumptions!$G$24),'S&amp;U'!$I11/ROUNDUP(Assumptions!$G$23/12,0),IF(AND(R$287&gt;=Assumptions!$G$24,R$287&lt;Assumptions!$G$26),'S&amp;U'!$I43/ROUNDUP(Assumptions!$G$25/12,0),0))</f>
        <v>0</v>
      </c>
      <c r="S292" s="151">
        <f>+IF(AND(S$287&gt;=Assumptions!$G$22,S$287&lt;Assumptions!$G$24),'S&amp;U'!$I11/ROUNDUP(Assumptions!$G$23/12,0),IF(AND(S$287&gt;=Assumptions!$G$24,S$287&lt;Assumptions!$G$26),'S&amp;U'!$I43/ROUNDUP(Assumptions!$G$25/12,0),0))</f>
        <v>0</v>
      </c>
      <c r="T292" s="151">
        <f>+IF(AND(T$287&gt;=Assumptions!$G$22,T$287&lt;Assumptions!$G$24),'S&amp;U'!$I11/ROUNDUP(Assumptions!$G$23/12,0),IF(AND(T$287&gt;=Assumptions!$G$24,T$287&lt;Assumptions!$G$26),'S&amp;U'!$I43/ROUNDUP(Assumptions!$G$25/12,0),0))</f>
        <v>0</v>
      </c>
      <c r="U292" s="151">
        <f>+IF(AND(U$287&gt;=Assumptions!$G$22,U$287&lt;Assumptions!$G$24),'S&amp;U'!$I11/ROUNDUP(Assumptions!$G$23/12,0),IF(AND(U$287&gt;=Assumptions!$G$24,U$287&lt;Assumptions!$G$26),'S&amp;U'!$I43/ROUNDUP(Assumptions!$G$25/12,0),0))</f>
        <v>0</v>
      </c>
      <c r="V292" s="151">
        <f>+IF(AND(V$287&gt;=Assumptions!$G$22,V$287&lt;Assumptions!$G$24),'S&amp;U'!$I11/ROUNDUP(Assumptions!$G$23/12,0),IF(AND(V$287&gt;=Assumptions!$G$24,V$287&lt;Assumptions!$G$26),'S&amp;U'!$I43/ROUNDUP(Assumptions!$G$25/12,0),0))</f>
        <v>0</v>
      </c>
      <c r="W292" s="151">
        <f>+IF(AND(W$287&gt;=Assumptions!$G$22,W$287&lt;Assumptions!$G$24),'S&amp;U'!$I11/ROUNDUP(Assumptions!$G$23/12,0),IF(AND(W$287&gt;=Assumptions!$G$24,W$287&lt;Assumptions!$G$26),'S&amp;U'!$I43/ROUNDUP(Assumptions!$G$25/12,0),0))</f>
        <v>0</v>
      </c>
      <c r="X292" s="151">
        <f>+IF(AND(X$287&gt;=Assumptions!$G$22,X$287&lt;Assumptions!$G$24),'S&amp;U'!$I11/ROUNDUP(Assumptions!$G$23/12,0),IF(AND(X$287&gt;=Assumptions!$G$24,X$287&lt;Assumptions!$G$26),'S&amp;U'!$I43/ROUNDUP(Assumptions!$G$25/12,0),0))</f>
        <v>0</v>
      </c>
      <c r="Y292" s="151">
        <f>+IF(AND(Y$287&gt;=Assumptions!$G$22,Y$287&lt;Assumptions!$G$24),'S&amp;U'!$I11/ROUNDUP(Assumptions!$G$23/12,0),IF(AND(Y$287&gt;=Assumptions!$G$24,Y$287&lt;Assumptions!$G$26),'S&amp;U'!$I43/ROUNDUP(Assumptions!$G$25/12,0),0))</f>
        <v>0</v>
      </c>
      <c r="Z292" s="151">
        <f>+IF(AND(Z$287&gt;=Assumptions!$G$22,Z$287&lt;Assumptions!$G$24),'S&amp;U'!$I11/ROUNDUP(Assumptions!$G$23/12,0),IF(AND(Z$287&gt;=Assumptions!$G$24,Z$287&lt;Assumptions!$G$26),'S&amp;U'!$I43/ROUNDUP(Assumptions!$G$25/12,0),0))</f>
        <v>0</v>
      </c>
    </row>
    <row r="293" spans="1:26" ht="15.5">
      <c r="B293" s="33" t="s">
        <v>82</v>
      </c>
      <c r="D293" s="48">
        <f t="shared" si="155"/>
        <v>255489.46132555051</v>
      </c>
      <c r="E293" s="48"/>
      <c r="F293" s="151">
        <f>+IF(AND(F$287&gt;=Assumptions!$G$22,F$287&lt;Assumptions!$G$24),'S&amp;U'!$I12/ROUNDUP(Assumptions!$G$23/12,0),IF(AND(F$287&gt;=Assumptions!$G$24,F$287&lt;Assumptions!$G$26),'S&amp;U'!$I44/ROUNDUP(Assumptions!$G$25/12,0),0))</f>
        <v>0</v>
      </c>
      <c r="G293" s="151">
        <f>+IF(AND(G$287&gt;=Assumptions!$G$22,G$287&lt;Assumptions!$G$24),'S&amp;U'!$I12/ROUNDUP(Assumptions!$G$23/12,0),IF(AND(G$287&gt;=Assumptions!$G$24,G$287&lt;Assumptions!$G$26),'S&amp;U'!$I44/ROUNDUP(Assumptions!$G$25/12,0),0))</f>
        <v>127744.73066277526</v>
      </c>
      <c r="H293" s="151">
        <f>+IF(AND(H$287&gt;=Assumptions!$G$22,H$287&lt;Assumptions!$G$24),'S&amp;U'!$I12/ROUNDUP(Assumptions!$G$23/12,0),IF(AND(H$287&gt;=Assumptions!$G$24,H$287&lt;Assumptions!$G$26),'S&amp;U'!$I44/ROUNDUP(Assumptions!$G$25/12,0),0))</f>
        <v>127744.73066277526</v>
      </c>
      <c r="I293" s="151">
        <f>+IF(AND(I$287&gt;=Assumptions!$G$22,I$287&lt;Assumptions!$G$24),'S&amp;U'!$I12/ROUNDUP(Assumptions!$G$23/12,0),IF(AND(I$287&gt;=Assumptions!$G$24,I$287&lt;Assumptions!$G$26),'S&amp;U'!$I44/ROUNDUP(Assumptions!$G$25/12,0),0))</f>
        <v>0</v>
      </c>
      <c r="J293" s="151">
        <f>+IF(AND(J$287&gt;=Assumptions!$G$22,J$287&lt;Assumptions!$G$24),'S&amp;U'!$I12/ROUNDUP(Assumptions!$G$23/12,0),IF(AND(J$287&gt;=Assumptions!$G$24,J$287&lt;Assumptions!$G$26),'S&amp;U'!$I44/ROUNDUP(Assumptions!$G$25/12,0),0))</f>
        <v>0</v>
      </c>
      <c r="K293" s="151">
        <f>+IF(AND(K$287&gt;=Assumptions!$G$22,K$287&lt;Assumptions!$G$24),'S&amp;U'!$I12/ROUNDUP(Assumptions!$G$23/12,0),IF(AND(K$287&gt;=Assumptions!$G$24,K$287&lt;Assumptions!$G$26),'S&amp;U'!$I44/ROUNDUP(Assumptions!$G$25/12,0),0))</f>
        <v>0</v>
      </c>
      <c r="L293" s="151">
        <f>+IF(AND(L$287&gt;=Assumptions!$G$22,L$287&lt;Assumptions!$G$24),'S&amp;U'!$I12/ROUNDUP(Assumptions!$G$23/12,0),IF(AND(L$287&gt;=Assumptions!$G$24,L$287&lt;Assumptions!$G$26),'S&amp;U'!$I44/ROUNDUP(Assumptions!$G$25/12,0),0))</f>
        <v>0</v>
      </c>
      <c r="M293" s="151">
        <f>+IF(AND(M$287&gt;=Assumptions!$G$22,M$287&lt;Assumptions!$G$24),'S&amp;U'!$I12/ROUNDUP(Assumptions!$G$23/12,0),IF(AND(M$287&gt;=Assumptions!$G$24,M$287&lt;Assumptions!$G$26),'S&amp;U'!$I44/ROUNDUP(Assumptions!$G$25/12,0),0))</f>
        <v>0</v>
      </c>
      <c r="N293" s="151">
        <f>+IF(AND(N$287&gt;=Assumptions!$G$22,N$287&lt;Assumptions!$G$24),'S&amp;U'!$I12/ROUNDUP(Assumptions!$G$23/12,0),IF(AND(N$287&gt;=Assumptions!$G$24,N$287&lt;Assumptions!$G$26),'S&amp;U'!$I44/ROUNDUP(Assumptions!$G$25/12,0),0))</f>
        <v>0</v>
      </c>
      <c r="O293" s="151">
        <f>+IF(AND(O$287&gt;=Assumptions!$G$22,O$287&lt;Assumptions!$G$24),'S&amp;U'!$I12/ROUNDUP(Assumptions!$G$23/12,0),IF(AND(O$287&gt;=Assumptions!$G$24,O$287&lt;Assumptions!$G$26),'S&amp;U'!$I44/ROUNDUP(Assumptions!$G$25/12,0),0))</f>
        <v>0</v>
      </c>
      <c r="P293" s="151">
        <f>+IF(AND(P$287&gt;=Assumptions!$G$22,P$287&lt;Assumptions!$G$24),'S&amp;U'!$I12/ROUNDUP(Assumptions!$G$23/12,0),IF(AND(P$287&gt;=Assumptions!$G$24,P$287&lt;Assumptions!$G$26),'S&amp;U'!$I44/ROUNDUP(Assumptions!$G$25/12,0),0))</f>
        <v>0</v>
      </c>
      <c r="Q293" s="151">
        <f>+IF(AND(Q$287&gt;=Assumptions!$G$22,Q$287&lt;Assumptions!$G$24),'S&amp;U'!$I12/ROUNDUP(Assumptions!$G$23/12,0),IF(AND(Q$287&gt;=Assumptions!$G$24,Q$287&lt;Assumptions!$G$26),'S&amp;U'!$I44/ROUNDUP(Assumptions!$G$25/12,0),0))</f>
        <v>0</v>
      </c>
      <c r="R293" s="151">
        <f>+IF(AND(R$287&gt;=Assumptions!$G$22,R$287&lt;Assumptions!$G$24),'S&amp;U'!$I12/ROUNDUP(Assumptions!$G$23/12,0),IF(AND(R$287&gt;=Assumptions!$G$24,R$287&lt;Assumptions!$G$26),'S&amp;U'!$I44/ROUNDUP(Assumptions!$G$25/12,0),0))</f>
        <v>0</v>
      </c>
      <c r="S293" s="151">
        <f>+IF(AND(S$287&gt;=Assumptions!$G$22,S$287&lt;Assumptions!$G$24),'S&amp;U'!$I12/ROUNDUP(Assumptions!$G$23/12,0),IF(AND(S$287&gt;=Assumptions!$G$24,S$287&lt;Assumptions!$G$26),'S&amp;U'!$I44/ROUNDUP(Assumptions!$G$25/12,0),0))</f>
        <v>0</v>
      </c>
      <c r="T293" s="151">
        <f>+IF(AND(T$287&gt;=Assumptions!$G$22,T$287&lt;Assumptions!$G$24),'S&amp;U'!$I12/ROUNDUP(Assumptions!$G$23/12,0),IF(AND(T$287&gt;=Assumptions!$G$24,T$287&lt;Assumptions!$G$26),'S&amp;U'!$I44/ROUNDUP(Assumptions!$G$25/12,0),0))</f>
        <v>0</v>
      </c>
      <c r="U293" s="151">
        <f>+IF(AND(U$287&gt;=Assumptions!$G$22,U$287&lt;Assumptions!$G$24),'S&amp;U'!$I12/ROUNDUP(Assumptions!$G$23/12,0),IF(AND(U$287&gt;=Assumptions!$G$24,U$287&lt;Assumptions!$G$26),'S&amp;U'!$I44/ROUNDUP(Assumptions!$G$25/12,0),0))</f>
        <v>0</v>
      </c>
      <c r="V293" s="151">
        <f>+IF(AND(V$287&gt;=Assumptions!$G$22,V$287&lt;Assumptions!$G$24),'S&amp;U'!$I12/ROUNDUP(Assumptions!$G$23/12,0),IF(AND(V$287&gt;=Assumptions!$G$24,V$287&lt;Assumptions!$G$26),'S&amp;U'!$I44/ROUNDUP(Assumptions!$G$25/12,0),0))</f>
        <v>0</v>
      </c>
      <c r="W293" s="151">
        <f>+IF(AND(W$287&gt;=Assumptions!$G$22,W$287&lt;Assumptions!$G$24),'S&amp;U'!$I12/ROUNDUP(Assumptions!$G$23/12,0),IF(AND(W$287&gt;=Assumptions!$G$24,W$287&lt;Assumptions!$G$26),'S&amp;U'!$I44/ROUNDUP(Assumptions!$G$25/12,0),0))</f>
        <v>0</v>
      </c>
      <c r="X293" s="151">
        <f>+IF(AND(X$287&gt;=Assumptions!$G$22,X$287&lt;Assumptions!$G$24),'S&amp;U'!$I12/ROUNDUP(Assumptions!$G$23/12,0),IF(AND(X$287&gt;=Assumptions!$G$24,X$287&lt;Assumptions!$G$26),'S&amp;U'!$I44/ROUNDUP(Assumptions!$G$25/12,0),0))</f>
        <v>0</v>
      </c>
      <c r="Y293" s="151">
        <f>+IF(AND(Y$287&gt;=Assumptions!$G$22,Y$287&lt;Assumptions!$G$24),'S&amp;U'!$I12/ROUNDUP(Assumptions!$G$23/12,0),IF(AND(Y$287&gt;=Assumptions!$G$24,Y$287&lt;Assumptions!$G$26),'S&amp;U'!$I44/ROUNDUP(Assumptions!$G$25/12,0),0))</f>
        <v>0</v>
      </c>
      <c r="Z293" s="151">
        <f>+IF(AND(Z$287&gt;=Assumptions!$G$22,Z$287&lt;Assumptions!$G$24),'S&amp;U'!$I12/ROUNDUP(Assumptions!$G$23/12,0),IF(AND(Z$287&gt;=Assumptions!$G$24,Z$287&lt;Assumptions!$G$26),'S&amp;U'!$I44/ROUNDUP(Assumptions!$G$25/12,0),0))</f>
        <v>0</v>
      </c>
    </row>
    <row r="294" spans="1:26" ht="15.5">
      <c r="B294" s="33" t="s">
        <v>59</v>
      </c>
      <c r="D294" s="48">
        <f t="shared" si="155"/>
        <v>3398159.169376459</v>
      </c>
      <c r="E294" s="48"/>
      <c r="F294" s="151">
        <f>+IF(AND(F$287&gt;=Assumptions!$G$22,F$287&lt;Assumptions!$G$24),'S&amp;U'!$I13/ROUNDUP(Assumptions!$G$23/12,0),IF(AND(F$287&gt;=Assumptions!$G$24,F$287&lt;Assumptions!$G$28),'S&amp;U'!$I45/ROUNDUP((Assumptions!$G$25+Assumptions!$G$27)/12,0),0))</f>
        <v>101944.77508129374</v>
      </c>
      <c r="G294" s="151">
        <f>+IF(AND(G$287&gt;=Assumptions!$G$22,G$287&lt;Assumptions!$G$24),'S&amp;U'!$I13/ROUNDUP(Assumptions!$G$23/12,0),IF(AND(G$287&gt;=Assumptions!$G$24,G$287&lt;Assumptions!$G$28),'S&amp;U'!$I45/ROUNDUP((Assumptions!$G$25+Assumptions!$G$27)/12,0),0))</f>
        <v>824053.59857379121</v>
      </c>
      <c r="H294" s="151">
        <f>+IF(AND(H$287&gt;=Assumptions!$G$22,H$287&lt;Assumptions!$G$24),'S&amp;U'!$I13/ROUNDUP(Assumptions!$G$23/12,0),IF(AND(H$287&gt;=Assumptions!$G$24,H$287&lt;Assumptions!$G$28),'S&amp;U'!$I45/ROUNDUP((Assumptions!$G$25+Assumptions!$G$27)/12,0),0))</f>
        <v>824053.59857379121</v>
      </c>
      <c r="I294" s="151">
        <f>+IF(AND(I$287&gt;=Assumptions!$G$22,I$287&lt;Assumptions!$G$24),'S&amp;U'!$I13/ROUNDUP(Assumptions!$G$23/12,0),IF(AND(I$287&gt;=Assumptions!$G$24,I$287&lt;Assumptions!$G$28),'S&amp;U'!$I45/ROUNDUP((Assumptions!$G$25+Assumptions!$G$27)/12,0),0))</f>
        <v>824053.59857379121</v>
      </c>
      <c r="J294" s="151">
        <f>+IF(AND(J$287&gt;=Assumptions!$G$22,J$287&lt;Assumptions!$G$24),'S&amp;U'!$I13/ROUNDUP(Assumptions!$G$23/12,0),IF(AND(J$287&gt;=Assumptions!$G$24,J$287&lt;Assumptions!$G$28),'S&amp;U'!$I45/ROUNDUP((Assumptions!$G$25+Assumptions!$G$27)/12,0),0))</f>
        <v>824053.59857379121</v>
      </c>
      <c r="K294" s="151">
        <f>+IF(AND(K$287&gt;=Assumptions!$G$22,K$287&lt;Assumptions!$G$24),'S&amp;U'!$I13/ROUNDUP(Assumptions!$G$23/12,0),IF(AND(K$287&gt;=Assumptions!$G$24,K$287&lt;Assumptions!$G$28),'S&amp;U'!$I45/ROUNDUP((Assumptions!$G$25+Assumptions!$G$27)/12,0),0))</f>
        <v>0</v>
      </c>
      <c r="L294" s="151">
        <f>+IF(AND(L$287&gt;=Assumptions!$G$22,L$287&lt;Assumptions!$G$24),'S&amp;U'!$I13/ROUNDUP(Assumptions!$G$23/12,0),IF(AND(L$287&gt;=Assumptions!$G$24,L$287&lt;Assumptions!$G$28),'S&amp;U'!$I45/ROUNDUP((Assumptions!$G$25+Assumptions!$G$27)/12,0),0))</f>
        <v>0</v>
      </c>
      <c r="M294" s="151">
        <f>+IF(AND(M$287&gt;=Assumptions!$G$22,M$287&lt;Assumptions!$G$24),'S&amp;U'!$I13/ROUNDUP(Assumptions!$G$23/12,0),IF(AND(M$287&gt;=Assumptions!$G$24,M$287&lt;Assumptions!$G$28),'S&amp;U'!$I45/ROUNDUP((Assumptions!$G$25+Assumptions!$G$27)/12,0),0))</f>
        <v>0</v>
      </c>
      <c r="N294" s="151">
        <f>+IF(AND(N$287&gt;=Assumptions!$G$22,N$287&lt;Assumptions!$G$24),'S&amp;U'!$I13/ROUNDUP(Assumptions!$G$23/12,0),IF(AND(N$287&gt;=Assumptions!$G$24,N$287&lt;Assumptions!$G$28),'S&amp;U'!$I45/ROUNDUP((Assumptions!$G$25+Assumptions!$G$27)/12,0),0))</f>
        <v>0</v>
      </c>
      <c r="O294" s="151">
        <f>+IF(AND(O$287&gt;=Assumptions!$G$22,O$287&lt;Assumptions!$G$24),'S&amp;U'!$I13/ROUNDUP(Assumptions!$G$23/12,0),IF(AND(O$287&gt;=Assumptions!$G$24,O$287&lt;Assumptions!$G$28),'S&amp;U'!$I45/ROUNDUP((Assumptions!$G$25+Assumptions!$G$27)/12,0),0))</f>
        <v>0</v>
      </c>
      <c r="P294" s="151">
        <f>+IF(AND(P$287&gt;=Assumptions!$G$22,P$287&lt;Assumptions!$G$24),'S&amp;U'!$I13/ROUNDUP(Assumptions!$G$23/12,0),IF(AND(P$287&gt;=Assumptions!$G$24,P$287&lt;Assumptions!$G$28),'S&amp;U'!$I45/ROUNDUP((Assumptions!$G$25+Assumptions!$G$27)/12,0),0))</f>
        <v>0</v>
      </c>
      <c r="Q294" s="151">
        <f>+IF(AND(Q$287&gt;=Assumptions!$G$22,Q$287&lt;Assumptions!$G$24),'S&amp;U'!$I13/ROUNDUP(Assumptions!$G$23/12,0),IF(AND(Q$287&gt;=Assumptions!$G$24,Q$287&lt;Assumptions!$G$28),'S&amp;U'!$I45/ROUNDUP((Assumptions!$G$25+Assumptions!$G$27)/12,0),0))</f>
        <v>0</v>
      </c>
      <c r="R294" s="151">
        <f>+IF(AND(R$287&gt;=Assumptions!$G$22,R$287&lt;Assumptions!$G$24),'S&amp;U'!$I13/ROUNDUP(Assumptions!$G$23/12,0),IF(AND(R$287&gt;=Assumptions!$G$24,R$287&lt;Assumptions!$G$28),'S&amp;U'!$I45/ROUNDUP((Assumptions!$G$25+Assumptions!$G$27)/12,0),0))</f>
        <v>0</v>
      </c>
      <c r="S294" s="151">
        <f>+IF(AND(S$287&gt;=Assumptions!$G$22,S$287&lt;Assumptions!$G$24),'S&amp;U'!$I13/ROUNDUP(Assumptions!$G$23/12,0),IF(AND(S$287&gt;=Assumptions!$G$24,S$287&lt;Assumptions!$G$28),'S&amp;U'!$I45/ROUNDUP((Assumptions!$G$25+Assumptions!$G$27)/12,0),0))</f>
        <v>0</v>
      </c>
      <c r="T294" s="151">
        <f>+IF(AND(T$287&gt;=Assumptions!$G$22,T$287&lt;Assumptions!$G$24),'S&amp;U'!$I13/ROUNDUP(Assumptions!$G$23/12,0),IF(AND(T$287&gt;=Assumptions!$G$24,T$287&lt;Assumptions!$G$28),'S&amp;U'!$I45/ROUNDUP((Assumptions!$G$25+Assumptions!$G$27)/12,0),0))</f>
        <v>0</v>
      </c>
      <c r="U294" s="151">
        <f>+IF(AND(U$287&gt;=Assumptions!$G$22,U$287&lt;Assumptions!$G$24),'S&amp;U'!$I13/ROUNDUP(Assumptions!$G$23/12,0),IF(AND(U$287&gt;=Assumptions!$G$24,U$287&lt;Assumptions!$G$28),'S&amp;U'!$I45/ROUNDUP((Assumptions!$G$25+Assumptions!$G$27)/12,0),0))</f>
        <v>0</v>
      </c>
      <c r="V294" s="151">
        <f>+IF(AND(V$287&gt;=Assumptions!$G$22,V$287&lt;Assumptions!$G$24),'S&amp;U'!$I13/ROUNDUP(Assumptions!$G$23/12,0),IF(AND(V$287&gt;=Assumptions!$G$24,V$287&lt;Assumptions!$G$28),'S&amp;U'!$I45/ROUNDUP((Assumptions!$G$25+Assumptions!$G$27)/12,0),0))</f>
        <v>0</v>
      </c>
      <c r="W294" s="151">
        <f>+IF(AND(W$287&gt;=Assumptions!$G$22,W$287&lt;Assumptions!$G$24),'S&amp;U'!$I13/ROUNDUP(Assumptions!$G$23/12,0),IF(AND(W$287&gt;=Assumptions!$G$24,W$287&lt;Assumptions!$G$28),'S&amp;U'!$I45/ROUNDUP((Assumptions!$G$25+Assumptions!$G$27)/12,0),0))</f>
        <v>0</v>
      </c>
      <c r="X294" s="151">
        <f>+IF(AND(X$287&gt;=Assumptions!$G$22,X$287&lt;Assumptions!$G$24),'S&amp;U'!$I13/ROUNDUP(Assumptions!$G$23/12,0),IF(AND(X$287&gt;=Assumptions!$G$24,X$287&lt;Assumptions!$G$28),'S&amp;U'!$I45/ROUNDUP((Assumptions!$G$25+Assumptions!$G$27)/12,0),0))</f>
        <v>0</v>
      </c>
      <c r="Y294" s="151">
        <f>+IF(AND(Y$287&gt;=Assumptions!$G$22,Y$287&lt;Assumptions!$G$24),'S&amp;U'!$I13/ROUNDUP(Assumptions!$G$23/12,0),IF(AND(Y$287&gt;=Assumptions!$G$24,Y$287&lt;Assumptions!$G$28),'S&amp;U'!$I45/ROUNDUP((Assumptions!$G$25+Assumptions!$G$27)/12,0),0))</f>
        <v>0</v>
      </c>
      <c r="Z294" s="151">
        <f>+IF(AND(Z$287&gt;=Assumptions!$G$22,Z$287&lt;Assumptions!$G$24),'S&amp;U'!$I13/ROUNDUP(Assumptions!$G$23/12,0),IF(AND(Z$287&gt;=Assumptions!$G$24,Z$287&lt;Assumptions!$G$28),'S&amp;U'!$I45/ROUNDUP((Assumptions!$G$25+Assumptions!$G$27)/12,0),0))</f>
        <v>0</v>
      </c>
    </row>
    <row r="295" spans="1:26" ht="15.5">
      <c r="B295" s="138" t="s">
        <v>20</v>
      </c>
      <c r="C295" s="138"/>
      <c r="D295" s="139">
        <f ca="1">+SUM(F295:Z295)</f>
        <v>207720889.51245913</v>
      </c>
      <c r="E295" s="139"/>
      <c r="F295" s="139">
        <f>+SUM(F288:F294)</f>
        <v>100152177.31526883</v>
      </c>
      <c r="G295" s="139">
        <f t="shared" ref="G295:Z295" ca="1" si="156">+SUM(G288:G294)</f>
        <v>52960302.500021346</v>
      </c>
      <c r="H295" s="139">
        <f t="shared" ca="1" si="156"/>
        <v>52960302.500021346</v>
      </c>
      <c r="I295" s="139">
        <f t="shared" si="156"/>
        <v>824053.59857379121</v>
      </c>
      <c r="J295" s="139">
        <f t="shared" si="156"/>
        <v>824053.59857379121</v>
      </c>
      <c r="K295" s="139">
        <f t="shared" si="156"/>
        <v>0</v>
      </c>
      <c r="L295" s="139">
        <f t="shared" si="156"/>
        <v>0</v>
      </c>
      <c r="M295" s="139">
        <f t="shared" si="156"/>
        <v>0</v>
      </c>
      <c r="N295" s="139">
        <f t="shared" si="156"/>
        <v>0</v>
      </c>
      <c r="O295" s="139">
        <f t="shared" si="156"/>
        <v>0</v>
      </c>
      <c r="P295" s="139">
        <f t="shared" si="156"/>
        <v>0</v>
      </c>
      <c r="Q295" s="139">
        <f t="shared" si="156"/>
        <v>0</v>
      </c>
      <c r="R295" s="139">
        <f t="shared" si="156"/>
        <v>0</v>
      </c>
      <c r="S295" s="139">
        <f t="shared" si="156"/>
        <v>0</v>
      </c>
      <c r="T295" s="139">
        <f t="shared" si="156"/>
        <v>0</v>
      </c>
      <c r="U295" s="139">
        <f t="shared" si="156"/>
        <v>0</v>
      </c>
      <c r="V295" s="139">
        <f t="shared" si="156"/>
        <v>0</v>
      </c>
      <c r="W295" s="139">
        <f t="shared" si="156"/>
        <v>0</v>
      </c>
      <c r="X295" s="139">
        <f t="shared" si="156"/>
        <v>0</v>
      </c>
      <c r="Y295" s="139">
        <f t="shared" si="156"/>
        <v>0</v>
      </c>
      <c r="Z295" s="139">
        <f t="shared" si="156"/>
        <v>0</v>
      </c>
    </row>
    <row r="297" spans="1:26" ht="15.5">
      <c r="B297" s="148" t="s">
        <v>329</v>
      </c>
      <c r="F297" s="150">
        <f>+Assumptions!$G$22</f>
        <v>45291</v>
      </c>
      <c r="G297" s="150">
        <f>+EOMONTH(F297,12)</f>
        <v>45657</v>
      </c>
      <c r="H297" s="150">
        <f t="shared" ref="H297:Z297" si="157">+EOMONTH(G297,12)</f>
        <v>46022</v>
      </c>
      <c r="I297" s="150">
        <f t="shared" si="157"/>
        <v>46387</v>
      </c>
      <c r="J297" s="150">
        <f t="shared" si="157"/>
        <v>46752</v>
      </c>
      <c r="K297" s="150">
        <f t="shared" si="157"/>
        <v>47118</v>
      </c>
      <c r="L297" s="150">
        <f t="shared" si="157"/>
        <v>47483</v>
      </c>
      <c r="M297" s="150">
        <f t="shared" si="157"/>
        <v>47848</v>
      </c>
      <c r="N297" s="150">
        <f t="shared" si="157"/>
        <v>48213</v>
      </c>
      <c r="O297" s="150">
        <f t="shared" si="157"/>
        <v>48579</v>
      </c>
      <c r="P297" s="150">
        <f t="shared" si="157"/>
        <v>48944</v>
      </c>
      <c r="Q297" s="150">
        <f t="shared" si="157"/>
        <v>49309</v>
      </c>
      <c r="R297" s="150">
        <f t="shared" si="157"/>
        <v>49674</v>
      </c>
      <c r="S297" s="150">
        <f t="shared" si="157"/>
        <v>50040</v>
      </c>
      <c r="T297" s="150">
        <f t="shared" si="157"/>
        <v>50405</v>
      </c>
      <c r="U297" s="150">
        <f t="shared" si="157"/>
        <v>50770</v>
      </c>
      <c r="V297" s="150">
        <f t="shared" si="157"/>
        <v>51135</v>
      </c>
      <c r="W297" s="150">
        <f t="shared" si="157"/>
        <v>51501</v>
      </c>
      <c r="X297" s="150">
        <f t="shared" si="157"/>
        <v>51866</v>
      </c>
      <c r="Y297" s="150">
        <f t="shared" si="157"/>
        <v>52231</v>
      </c>
      <c r="Z297" s="150">
        <f t="shared" si="157"/>
        <v>52596</v>
      </c>
    </row>
    <row r="298" spans="1:26" ht="15.5">
      <c r="A298" s="108"/>
      <c r="B298" s="33" t="s">
        <v>29</v>
      </c>
      <c r="D298" s="48">
        <f t="shared" ref="D298:D305" ca="1" si="158">+SUM(F298:Z298)</f>
        <v>64517857.38131699</v>
      </c>
      <c r="E298" s="48"/>
      <c r="F298" s="34">
        <f ca="1">+MIN('S&amp;U'!$I23-SUM('Phase II Pro Forma'!$E298:E298),'Phase II Pro Forma'!F$295)</f>
        <v>64517857.38131696</v>
      </c>
      <c r="G298" s="34">
        <f ca="1">+MIN('S&amp;U'!$I23-SUM('Phase II Pro Forma'!$E298:F298),'Phase II Pro Forma'!G$295)</f>
        <v>0</v>
      </c>
      <c r="H298" s="34">
        <f ca="1">+MIN('S&amp;U'!$I23-SUM('Phase II Pro Forma'!$E298:G298),'Phase II Pro Forma'!H$295)</f>
        <v>0</v>
      </c>
      <c r="I298" s="34">
        <f ca="1">+MIN('S&amp;U'!$I23-SUM('Phase II Pro Forma'!$E298:H298),'Phase II Pro Forma'!I$295)</f>
        <v>0</v>
      </c>
      <c r="J298" s="34">
        <f ca="1">+MIN('S&amp;U'!$I23-SUM('Phase II Pro Forma'!$E298:I298),'Phase II Pro Forma'!J$295)</f>
        <v>0</v>
      </c>
      <c r="K298" s="34">
        <f ca="1">+MIN('S&amp;U'!$I23-SUM('Phase II Pro Forma'!$E298:J298),'Phase II Pro Forma'!K$295)</f>
        <v>0</v>
      </c>
      <c r="L298" s="34">
        <f ca="1">+MIN('S&amp;U'!$I23-SUM('Phase II Pro Forma'!$E298:K298),'Phase II Pro Forma'!L$295)</f>
        <v>0</v>
      </c>
      <c r="M298" s="34">
        <f ca="1">+MIN('S&amp;U'!$I23-SUM('Phase II Pro Forma'!$E298:L298),'Phase II Pro Forma'!M$295)</f>
        <v>0</v>
      </c>
      <c r="N298" s="34">
        <f ca="1">+MIN('S&amp;U'!$I23-SUM('Phase II Pro Forma'!$E298:M298),'Phase II Pro Forma'!N$295)</f>
        <v>0</v>
      </c>
      <c r="O298" s="34">
        <f ca="1">+MIN('S&amp;U'!$I23-SUM('Phase II Pro Forma'!$E298:N298),'Phase II Pro Forma'!O$295)</f>
        <v>0</v>
      </c>
      <c r="P298" s="34">
        <f ca="1">+MIN('S&amp;U'!$I23-SUM('Phase II Pro Forma'!$E298:O298),'Phase II Pro Forma'!P$295)</f>
        <v>0</v>
      </c>
      <c r="Q298" s="34">
        <f ca="1">+MIN('S&amp;U'!$I23-SUM('Phase II Pro Forma'!$E298:P298),'Phase II Pro Forma'!Q$295)</f>
        <v>0</v>
      </c>
      <c r="R298" s="34">
        <f ca="1">+MIN('S&amp;U'!$I23-SUM('Phase II Pro Forma'!$E298:Q298),'Phase II Pro Forma'!R$295)</f>
        <v>0</v>
      </c>
      <c r="S298" s="34">
        <f ca="1">+MIN('S&amp;U'!$I23-SUM('Phase II Pro Forma'!$E298:R298),'Phase II Pro Forma'!S$295)</f>
        <v>0</v>
      </c>
      <c r="T298" s="34">
        <f ca="1">+MIN('S&amp;U'!$I23-SUM('Phase II Pro Forma'!$E298:S298),'Phase II Pro Forma'!T$295)</f>
        <v>0</v>
      </c>
      <c r="U298" s="34">
        <f ca="1">+MIN('S&amp;U'!$I23-SUM('Phase II Pro Forma'!$E298:T298),'Phase II Pro Forma'!U$295)</f>
        <v>0</v>
      </c>
      <c r="V298" s="34">
        <f ca="1">+MIN('S&amp;U'!$I23-SUM('Phase II Pro Forma'!$E298:U298),'Phase II Pro Forma'!V$295)</f>
        <v>0</v>
      </c>
      <c r="W298" s="34">
        <f ca="1">+MIN('S&amp;U'!$I23-SUM('Phase II Pro Forma'!$E298:V298),'Phase II Pro Forma'!W$295)</f>
        <v>0</v>
      </c>
      <c r="X298" s="34">
        <f ca="1">+MIN('S&amp;U'!$I23-SUM('Phase II Pro Forma'!$E298:W298),'Phase II Pro Forma'!X$295)</f>
        <v>0</v>
      </c>
      <c r="Y298" s="34">
        <f ca="1">+MIN('S&amp;U'!$I23-SUM('Phase II Pro Forma'!$E298:X298),'Phase II Pro Forma'!Y$295)</f>
        <v>0</v>
      </c>
      <c r="Z298" s="34">
        <f ca="1">+MIN('S&amp;U'!$I23-SUM('Phase II Pro Forma'!$E298:Y298),'Phase II Pro Forma'!Z$295)</f>
        <v>0</v>
      </c>
    </row>
    <row r="299" spans="1:26" ht="15.5">
      <c r="B299" s="33" t="s">
        <v>840</v>
      </c>
      <c r="D299" s="48">
        <f t="shared" ca="1" si="158"/>
        <v>0</v>
      </c>
      <c r="E299" s="48"/>
      <c r="F299" s="151">
        <f ca="1">+MIN('S&amp;U'!$I19-SUM('Phase II Pro Forma'!$E299:E299),'Phase II Pro Forma'!F$295-SUM(F$298:F298))</f>
        <v>0</v>
      </c>
      <c r="G299" s="151">
        <f ca="1">+MIN('S&amp;U'!$I19-SUM('Phase II Pro Forma'!$E299:F299),'Phase II Pro Forma'!G$295-SUM(G$298:G298))</f>
        <v>0</v>
      </c>
      <c r="H299" s="151">
        <f ca="1">+MIN('S&amp;U'!$I19-SUM('Phase II Pro Forma'!$E299:G299),'Phase II Pro Forma'!H$295-SUM(H$298:H298))</f>
        <v>0</v>
      </c>
      <c r="I299" s="151">
        <f ca="1">+MIN('S&amp;U'!$I19-SUM('Phase II Pro Forma'!$E299:H299),'Phase II Pro Forma'!I$295-SUM(I$298:I298))</f>
        <v>0</v>
      </c>
      <c r="J299" s="151">
        <f ca="1">+MIN('S&amp;U'!$I19-SUM('Phase II Pro Forma'!$E299:I299),'Phase II Pro Forma'!J$295-SUM(J$298:J298))</f>
        <v>0</v>
      </c>
      <c r="K299" s="151">
        <f ca="1">+MIN('S&amp;U'!$I19-SUM('Phase II Pro Forma'!$E299:J299),'Phase II Pro Forma'!K$295-SUM(K$298:K298))</f>
        <v>0</v>
      </c>
      <c r="L299" s="151">
        <f ca="1">+MIN('S&amp;U'!$I19-SUM('Phase II Pro Forma'!$E299:K299),'Phase II Pro Forma'!L$295-SUM(L$298:L298))</f>
        <v>0</v>
      </c>
      <c r="M299" s="151">
        <f ca="1">+MIN('S&amp;U'!$I19-SUM('Phase II Pro Forma'!$E299:L299),'Phase II Pro Forma'!M$295-SUM(M$298:M298))</f>
        <v>0</v>
      </c>
      <c r="N299" s="151">
        <f ca="1">+MIN('S&amp;U'!$I19-SUM('Phase II Pro Forma'!$E299:M299),'Phase II Pro Forma'!N$295-SUM(N$298:N298))</f>
        <v>0</v>
      </c>
      <c r="O299" s="151">
        <f ca="1">+MIN('S&amp;U'!$I19-SUM('Phase II Pro Forma'!$E299:N299),'Phase II Pro Forma'!O$295-SUM(O$298:O298))</f>
        <v>0</v>
      </c>
      <c r="P299" s="151">
        <f ca="1">+MIN('S&amp;U'!$I19-SUM('Phase II Pro Forma'!$E299:O299),'Phase II Pro Forma'!P$295-SUM(P$298:P298))</f>
        <v>0</v>
      </c>
      <c r="Q299" s="151">
        <f ca="1">+MIN('S&amp;U'!$I19-SUM('Phase II Pro Forma'!$E299:P299),'Phase II Pro Forma'!Q$295-SUM(Q$298:Q298))</f>
        <v>0</v>
      </c>
      <c r="R299" s="151">
        <f ca="1">+MIN('S&amp;U'!$I19-SUM('Phase II Pro Forma'!$E299:Q299),'Phase II Pro Forma'!R$295-SUM(R$298:R298))</f>
        <v>0</v>
      </c>
      <c r="S299" s="151">
        <f ca="1">+MIN('S&amp;U'!$I19-SUM('Phase II Pro Forma'!$E299:R299),'Phase II Pro Forma'!S$295-SUM(S$298:S298))</f>
        <v>0</v>
      </c>
      <c r="T299" s="151">
        <f ca="1">+MIN('S&amp;U'!$I19-SUM('Phase II Pro Forma'!$E299:S299),'Phase II Pro Forma'!T$295-SUM(T$298:T298))</f>
        <v>0</v>
      </c>
      <c r="U299" s="151">
        <f ca="1">+MIN('S&amp;U'!$I19-SUM('Phase II Pro Forma'!$E299:T299),'Phase II Pro Forma'!U$295-SUM(U$298:U298))</f>
        <v>0</v>
      </c>
      <c r="V299" s="151">
        <f ca="1">+MIN('S&amp;U'!$I19-SUM('Phase II Pro Forma'!$E299:U299),'Phase II Pro Forma'!V$295-SUM(V$298:V298))</f>
        <v>0</v>
      </c>
      <c r="W299" s="151">
        <f ca="1">+MIN('S&amp;U'!$I19-SUM('Phase II Pro Forma'!$E299:V299),'Phase II Pro Forma'!W$295-SUM(W$298:W298))</f>
        <v>0</v>
      </c>
      <c r="X299" s="151">
        <f ca="1">+MIN('S&amp;U'!$I19-SUM('Phase II Pro Forma'!$E299:W299),'Phase II Pro Forma'!X$295-SUM(X$298:X298))</f>
        <v>0</v>
      </c>
      <c r="Y299" s="151">
        <f ca="1">+MIN('S&amp;U'!$I19-SUM('Phase II Pro Forma'!$E299:X299),'Phase II Pro Forma'!Y$295-SUM(Y$298:Y298))</f>
        <v>0</v>
      </c>
      <c r="Z299" s="151">
        <f ca="1">+MIN('S&amp;U'!$I19-SUM('Phase II Pro Forma'!$E299:Y299),'Phase II Pro Forma'!Z$295-SUM(Z$298:Z298))</f>
        <v>0</v>
      </c>
    </row>
    <row r="300" spans="1:26" ht="15.5">
      <c r="B300" s="33" t="s">
        <v>98</v>
      </c>
      <c r="D300" s="48">
        <f t="shared" ca="1" si="158"/>
        <v>32087500</v>
      </c>
      <c r="E300" s="48"/>
      <c r="F300" s="151">
        <f ca="1">+MIN('S&amp;U'!$I20-SUM('Phase II Pro Forma'!$E300:E300),'Phase II Pro Forma'!F$295-SUM(F$298:F299))</f>
        <v>32087500</v>
      </c>
      <c r="G300" s="151">
        <f ca="1">+MIN('S&amp;U'!$I20-SUM('Phase II Pro Forma'!$E300:F300),'Phase II Pro Forma'!G$295-SUM(G$298:G299))</f>
        <v>0</v>
      </c>
      <c r="H300" s="151">
        <f ca="1">+MIN('S&amp;U'!$I20-SUM('Phase II Pro Forma'!$E300:G300),'Phase II Pro Forma'!H$295-SUM(H$298:H299))</f>
        <v>0</v>
      </c>
      <c r="I300" s="151">
        <f ca="1">+MIN('S&amp;U'!$I20-SUM('Phase II Pro Forma'!$E300:H300),'Phase II Pro Forma'!I$295-SUM(I$298:I299))</f>
        <v>0</v>
      </c>
      <c r="J300" s="151">
        <f ca="1">+MIN('S&amp;U'!$I20-SUM('Phase II Pro Forma'!$E300:I300),'Phase II Pro Forma'!J$295-SUM(J$298:J299))</f>
        <v>0</v>
      </c>
      <c r="K300" s="151">
        <f ca="1">+MIN('S&amp;U'!$I20-SUM('Phase II Pro Forma'!$E300:J300),'Phase II Pro Forma'!K$295-SUM(K$298:K299))</f>
        <v>0</v>
      </c>
      <c r="L300" s="151">
        <f ca="1">+MIN('S&amp;U'!$I20-SUM('Phase II Pro Forma'!$E300:K300),'Phase II Pro Forma'!L$295-SUM(L$298:L299))</f>
        <v>0</v>
      </c>
      <c r="M300" s="151">
        <f ca="1">+MIN('S&amp;U'!$I20-SUM('Phase II Pro Forma'!$E300:L300),'Phase II Pro Forma'!M$295-SUM(M$298:M299))</f>
        <v>0</v>
      </c>
      <c r="N300" s="151">
        <f ca="1">+MIN('S&amp;U'!$I20-SUM('Phase II Pro Forma'!$E300:M300),'Phase II Pro Forma'!N$295-SUM(N$298:N299))</f>
        <v>0</v>
      </c>
      <c r="O300" s="151">
        <f ca="1">+MIN('S&amp;U'!$I20-SUM('Phase II Pro Forma'!$E300:N300),'Phase II Pro Forma'!O$295-SUM(O$298:O299))</f>
        <v>0</v>
      </c>
      <c r="P300" s="151">
        <f ca="1">+MIN('S&amp;U'!$I20-SUM('Phase II Pro Forma'!$E300:O300),'Phase II Pro Forma'!P$295-SUM(P$298:P299))</f>
        <v>0</v>
      </c>
      <c r="Q300" s="151">
        <f ca="1">+MIN('S&amp;U'!$I20-SUM('Phase II Pro Forma'!$E300:P300),'Phase II Pro Forma'!Q$295-SUM(Q$298:Q299))</f>
        <v>0</v>
      </c>
      <c r="R300" s="151">
        <f ca="1">+MIN('S&amp;U'!$I20-SUM('Phase II Pro Forma'!$E300:Q300),'Phase II Pro Forma'!R$295-SUM(R$298:R299))</f>
        <v>0</v>
      </c>
      <c r="S300" s="151">
        <f ca="1">+MIN('S&amp;U'!$I20-SUM('Phase II Pro Forma'!$E300:R300),'Phase II Pro Forma'!S$295-SUM(S$298:S299))</f>
        <v>0</v>
      </c>
      <c r="T300" s="151">
        <f ca="1">+MIN('S&amp;U'!$I20-SUM('Phase II Pro Forma'!$E300:S300),'Phase II Pro Forma'!T$295-SUM(T$298:T299))</f>
        <v>0</v>
      </c>
      <c r="U300" s="151">
        <f ca="1">+MIN('S&amp;U'!$I20-SUM('Phase II Pro Forma'!$E300:T300),'Phase II Pro Forma'!U$295-SUM(U$298:U299))</f>
        <v>0</v>
      </c>
      <c r="V300" s="151">
        <f ca="1">+MIN('S&amp;U'!$I20-SUM('Phase II Pro Forma'!$E300:U300),'Phase II Pro Forma'!V$295-SUM(V$298:V299))</f>
        <v>0</v>
      </c>
      <c r="W300" s="151">
        <f ca="1">+MIN('S&amp;U'!$I20-SUM('Phase II Pro Forma'!$E300:V300),'Phase II Pro Forma'!W$295-SUM(W$298:W299))</f>
        <v>0</v>
      </c>
      <c r="X300" s="151">
        <f ca="1">+MIN('S&amp;U'!$I20-SUM('Phase II Pro Forma'!$E300:W300),'Phase II Pro Forma'!X$295-SUM(X$298:X299))</f>
        <v>0</v>
      </c>
      <c r="Y300" s="151">
        <f ca="1">+MIN('S&amp;U'!$I20-SUM('Phase II Pro Forma'!$E300:X300),'Phase II Pro Forma'!Y$295-SUM(Y$298:Y299))</f>
        <v>0</v>
      </c>
      <c r="Z300" s="151">
        <f ca="1">+MIN('S&amp;U'!$I20-SUM('Phase II Pro Forma'!$E300:Y300),'Phase II Pro Forma'!Z$295-SUM(Z$298:Z299))</f>
        <v>0</v>
      </c>
    </row>
    <row r="301" spans="1:26" ht="15.5">
      <c r="B301" s="33" t="s">
        <v>99</v>
      </c>
      <c r="D301" s="48">
        <f t="shared" ca="1" si="158"/>
        <v>415216.38844709995</v>
      </c>
      <c r="E301" s="48"/>
      <c r="F301" s="151">
        <f ca="1">+MIN('S&amp;U'!$I21-SUM('Phase II Pro Forma'!$E301:E301),'Phase II Pro Forma'!F$295-SUM(F$298:F300))</f>
        <v>415216.38844709995</v>
      </c>
      <c r="G301" s="151">
        <f ca="1">+MIN('S&amp;U'!$I21-SUM('Phase II Pro Forma'!$E301:F301),'Phase II Pro Forma'!G$295-SUM(G$298:G300))</f>
        <v>0</v>
      </c>
      <c r="H301" s="151">
        <f ca="1">+MIN('S&amp;U'!$I21-SUM('Phase II Pro Forma'!$E301:G301),'Phase II Pro Forma'!H$295-SUM(H$298:H300))</f>
        <v>0</v>
      </c>
      <c r="I301" s="151">
        <f ca="1">+MIN('S&amp;U'!$I21-SUM('Phase II Pro Forma'!$E301:H301),'Phase II Pro Forma'!I$295-SUM(I$298:I300))</f>
        <v>0</v>
      </c>
      <c r="J301" s="151">
        <f ca="1">+MIN('S&amp;U'!$I21-SUM('Phase II Pro Forma'!$E301:I301),'Phase II Pro Forma'!J$295-SUM(J$298:J300))</f>
        <v>0</v>
      </c>
      <c r="K301" s="151">
        <f ca="1">+MIN('S&amp;U'!$I21-SUM('Phase II Pro Forma'!$E301:J301),'Phase II Pro Forma'!K$295-SUM(K$298:K300))</f>
        <v>0</v>
      </c>
      <c r="L301" s="151">
        <f ca="1">+MIN('S&amp;U'!$I21-SUM('Phase II Pro Forma'!$E301:K301),'Phase II Pro Forma'!L$295-SUM(L$298:L300))</f>
        <v>0</v>
      </c>
      <c r="M301" s="151">
        <f ca="1">+MIN('S&amp;U'!$I21-SUM('Phase II Pro Forma'!$E301:L301),'Phase II Pro Forma'!M$295-SUM(M$298:M300))</f>
        <v>0</v>
      </c>
      <c r="N301" s="151">
        <f ca="1">+MIN('S&amp;U'!$I21-SUM('Phase II Pro Forma'!$E301:M301),'Phase II Pro Forma'!N$295-SUM(N$298:N300))</f>
        <v>0</v>
      </c>
      <c r="O301" s="151">
        <f ca="1">+MIN('S&amp;U'!$I21-SUM('Phase II Pro Forma'!$E301:N301),'Phase II Pro Forma'!O$295-SUM(O$298:O300))</f>
        <v>0</v>
      </c>
      <c r="P301" s="151">
        <f ca="1">+MIN('S&amp;U'!$I21-SUM('Phase II Pro Forma'!$E301:O301),'Phase II Pro Forma'!P$295-SUM(P$298:P300))</f>
        <v>0</v>
      </c>
      <c r="Q301" s="151">
        <f ca="1">+MIN('S&amp;U'!$I21-SUM('Phase II Pro Forma'!$E301:P301),'Phase II Pro Forma'!Q$295-SUM(Q$298:Q300))</f>
        <v>0</v>
      </c>
      <c r="R301" s="151">
        <f ca="1">+MIN('S&amp;U'!$I21-SUM('Phase II Pro Forma'!$E301:Q301),'Phase II Pro Forma'!R$295-SUM(R$298:R300))</f>
        <v>0</v>
      </c>
      <c r="S301" s="151">
        <f ca="1">+MIN('S&amp;U'!$I21-SUM('Phase II Pro Forma'!$E301:R301),'Phase II Pro Forma'!S$295-SUM(S$298:S300))</f>
        <v>0</v>
      </c>
      <c r="T301" s="151">
        <f ca="1">+MIN('S&amp;U'!$I21-SUM('Phase II Pro Forma'!$E301:S301),'Phase II Pro Forma'!T$295-SUM(T$298:T300))</f>
        <v>0</v>
      </c>
      <c r="U301" s="151">
        <f ca="1">+MIN('S&amp;U'!$I21-SUM('Phase II Pro Forma'!$E301:T301),'Phase II Pro Forma'!U$295-SUM(U$298:U300))</f>
        <v>0</v>
      </c>
      <c r="V301" s="151">
        <f ca="1">+MIN('S&amp;U'!$I21-SUM('Phase II Pro Forma'!$E301:U301),'Phase II Pro Forma'!V$295-SUM(V$298:V300))</f>
        <v>0</v>
      </c>
      <c r="W301" s="151">
        <f ca="1">+MIN('S&amp;U'!$I21-SUM('Phase II Pro Forma'!$E301:V301),'Phase II Pro Forma'!W$295-SUM(W$298:W300))</f>
        <v>0</v>
      </c>
      <c r="X301" s="151">
        <f ca="1">+MIN('S&amp;U'!$I21-SUM('Phase II Pro Forma'!$E301:W301),'Phase II Pro Forma'!X$295-SUM(X$298:X300))</f>
        <v>0</v>
      </c>
      <c r="Y301" s="151">
        <f ca="1">+MIN('S&amp;U'!$I21-SUM('Phase II Pro Forma'!$E301:X301),'Phase II Pro Forma'!Y$295-SUM(Y$298:Y300))</f>
        <v>0</v>
      </c>
      <c r="Z301" s="151">
        <f ca="1">+MIN('S&amp;U'!$I21-SUM('Phase II Pro Forma'!$E301:Y301),'Phase II Pro Forma'!Z$295-SUM(Z$298:Z300))</f>
        <v>0</v>
      </c>
    </row>
    <row r="302" spans="1:26" ht="15.5">
      <c r="B302" s="33" t="s">
        <v>564</v>
      </c>
      <c r="D302" s="48">
        <f t="shared" ref="D302" ca="1" si="159">+SUM(F302:Z302)</f>
        <v>0</v>
      </c>
      <c r="E302" s="48"/>
      <c r="F302" s="151">
        <f ca="1">+MIN('S&amp;U'!$I22-SUM('Phase II Pro Forma'!$E302:E302),'Phase II Pro Forma'!F$295-SUM(F$298:F301))</f>
        <v>0</v>
      </c>
      <c r="G302" s="151">
        <f ca="1">+MIN('S&amp;U'!$I22-SUM('Phase II Pro Forma'!$E302:F302),'Phase II Pro Forma'!G$295-SUM(G$298:G301))</f>
        <v>0</v>
      </c>
      <c r="H302" s="151">
        <f ca="1">+MIN('S&amp;U'!$I22-SUM('Phase II Pro Forma'!$E302:G302),'Phase II Pro Forma'!H$295-SUM(H$298:H301))</f>
        <v>0</v>
      </c>
      <c r="I302" s="151">
        <f ca="1">+MIN('S&amp;U'!$I22-SUM('Phase II Pro Forma'!$E302:H302),'Phase II Pro Forma'!I$295-SUM(I$298:I301))</f>
        <v>0</v>
      </c>
      <c r="J302" s="151">
        <f ca="1">+MIN('S&amp;U'!$I22-SUM('Phase II Pro Forma'!$E302:I302),'Phase II Pro Forma'!J$295-SUM(J$298:J301))</f>
        <v>0</v>
      </c>
      <c r="K302" s="151">
        <f ca="1">+MIN('S&amp;U'!$I22-SUM('Phase II Pro Forma'!$E302:J302),'Phase II Pro Forma'!K$295-SUM(K$298:K301))</f>
        <v>0</v>
      </c>
      <c r="L302" s="151">
        <f ca="1">+MIN('S&amp;U'!$I22-SUM('Phase II Pro Forma'!$E302:K302),'Phase II Pro Forma'!L$295-SUM(L$298:L301))</f>
        <v>0</v>
      </c>
      <c r="M302" s="151">
        <f ca="1">+MIN('S&amp;U'!$I22-SUM('Phase II Pro Forma'!$E302:L302),'Phase II Pro Forma'!M$295-SUM(M$298:M301))</f>
        <v>0</v>
      </c>
      <c r="N302" s="151">
        <f ca="1">+MIN('S&amp;U'!$I22-SUM('Phase II Pro Forma'!$E302:M302),'Phase II Pro Forma'!N$295-SUM(N$298:N301))</f>
        <v>0</v>
      </c>
      <c r="O302" s="151">
        <f ca="1">+MIN('S&amp;U'!$I22-SUM('Phase II Pro Forma'!$E302:N302),'Phase II Pro Forma'!O$295-SUM(O$298:O301))</f>
        <v>0</v>
      </c>
      <c r="P302" s="151">
        <f ca="1">+MIN('S&amp;U'!$I22-SUM('Phase II Pro Forma'!$E302:O302),'Phase II Pro Forma'!P$295-SUM(P$298:P301))</f>
        <v>0</v>
      </c>
      <c r="Q302" s="151">
        <f ca="1">+MIN('S&amp;U'!$I22-SUM('Phase II Pro Forma'!$E302:P302),'Phase II Pro Forma'!Q$295-SUM(Q$298:Q301))</f>
        <v>0</v>
      </c>
      <c r="R302" s="151">
        <f ca="1">+MIN('S&amp;U'!$I22-SUM('Phase II Pro Forma'!$E302:Q302),'Phase II Pro Forma'!R$295-SUM(R$298:R301))</f>
        <v>0</v>
      </c>
      <c r="S302" s="151">
        <f ca="1">+MIN('S&amp;U'!$I22-SUM('Phase II Pro Forma'!$E302:R302),'Phase II Pro Forma'!S$295-SUM(S$298:S301))</f>
        <v>0</v>
      </c>
      <c r="T302" s="151">
        <f ca="1">+MIN('S&amp;U'!$I22-SUM('Phase II Pro Forma'!$E302:S302),'Phase II Pro Forma'!T$295-SUM(T$298:T301))</f>
        <v>0</v>
      </c>
      <c r="U302" s="151">
        <f ca="1">+MIN('S&amp;U'!$I22-SUM('Phase II Pro Forma'!$E302:T302),'Phase II Pro Forma'!U$295-SUM(U$298:U301))</f>
        <v>0</v>
      </c>
      <c r="V302" s="151">
        <f ca="1">+MIN('S&amp;U'!$I22-SUM('Phase II Pro Forma'!$E302:U302),'Phase II Pro Forma'!V$295-SUM(V$298:V301))</f>
        <v>0</v>
      </c>
      <c r="W302" s="151">
        <f ca="1">+MIN('S&amp;U'!$I22-SUM('Phase II Pro Forma'!$E302:V302),'Phase II Pro Forma'!W$295-SUM(W$298:W301))</f>
        <v>0</v>
      </c>
      <c r="X302" s="151">
        <f ca="1">+MIN('S&amp;U'!$I22-SUM('Phase II Pro Forma'!$E302:W302),'Phase II Pro Forma'!X$295-SUM(X$298:X301))</f>
        <v>0</v>
      </c>
      <c r="Y302" s="151">
        <f ca="1">+MIN('S&amp;U'!$I22-SUM('Phase II Pro Forma'!$E302:X302),'Phase II Pro Forma'!Y$295-SUM(Y$298:Y301))</f>
        <v>0</v>
      </c>
      <c r="Z302" s="151">
        <f ca="1">+MIN('S&amp;U'!$I22-SUM('Phase II Pro Forma'!$E302:Y302),'Phase II Pro Forma'!Z$295-SUM(Z$298:Z301))</f>
        <v>0</v>
      </c>
    </row>
    <row r="303" spans="1:26" ht="15.5">
      <c r="A303" s="108"/>
      <c r="B303" s="33" t="s">
        <v>312</v>
      </c>
      <c r="D303" s="48">
        <f t="shared" ca="1" si="158"/>
        <v>94690612.485990435</v>
      </c>
      <c r="E303" s="48"/>
      <c r="F303" s="151">
        <f ca="1">+MIN('S&amp;U'!$I17-SUM('Phase II Pro Forma'!$E303:E303),'Phase II Pro Forma'!F$295-SUM(F$298:F302))</f>
        <v>3131603.5455047637</v>
      </c>
      <c r="G303" s="151">
        <f ca="1">+MIN('S&amp;U'!$I17-SUM('Phase II Pro Forma'!$E303:F303),'Phase II Pro Forma'!G$295-SUM(G$298:G302))</f>
        <v>52960302.500021346</v>
      </c>
      <c r="H303" s="151">
        <f ca="1">+MIN('S&amp;U'!$I17-SUM('Phase II Pro Forma'!$E303:G303),'Phase II Pro Forma'!H$295-SUM(H$298:H302))</f>
        <v>38598706.44046437</v>
      </c>
      <c r="I303" s="151">
        <f ca="1">+MIN('S&amp;U'!$I17-SUM('Phase II Pro Forma'!$E303:H303),'Phase II Pro Forma'!I$295-SUM(I$298:I302))</f>
        <v>0</v>
      </c>
      <c r="J303" s="151">
        <f ca="1">+MIN('S&amp;U'!$I17-SUM('Phase II Pro Forma'!$E303:I303),'Phase II Pro Forma'!J$295-SUM(J$298:J302))</f>
        <v>0</v>
      </c>
      <c r="K303" s="151">
        <f ca="1">+MIN('S&amp;U'!$I17-SUM('Phase II Pro Forma'!$E303:J303),'Phase II Pro Forma'!K$295-SUM(K$298:K302))</f>
        <v>0</v>
      </c>
      <c r="L303" s="151">
        <f ca="1">+MIN('S&amp;U'!$I17-SUM('Phase II Pro Forma'!$E303:K303),'Phase II Pro Forma'!L$295-SUM(L$298:L302))</f>
        <v>0</v>
      </c>
      <c r="M303" s="151">
        <f ca="1">+MIN('S&amp;U'!$I17-SUM('Phase II Pro Forma'!$E303:L303),'Phase II Pro Forma'!M$295-SUM(M$298:M302))</f>
        <v>0</v>
      </c>
      <c r="N303" s="151">
        <f ca="1">+MIN('S&amp;U'!$I17-SUM('Phase II Pro Forma'!$E303:M303),'Phase II Pro Forma'!N$295-SUM(N$298:N302))</f>
        <v>0</v>
      </c>
      <c r="O303" s="151">
        <f ca="1">+MIN('S&amp;U'!$I17-SUM('Phase II Pro Forma'!$E303:N303),'Phase II Pro Forma'!O$295-SUM(O$298:O302))</f>
        <v>0</v>
      </c>
      <c r="P303" s="151">
        <f ca="1">+MIN('S&amp;U'!$I17-SUM('Phase II Pro Forma'!$E303:O303),'Phase II Pro Forma'!P$295-SUM(P$298:P302))</f>
        <v>0</v>
      </c>
      <c r="Q303" s="151">
        <f ca="1">+MIN('S&amp;U'!$I17-SUM('Phase II Pro Forma'!$E303:P303),'Phase II Pro Forma'!Q$295-SUM(Q$298:Q302))</f>
        <v>0</v>
      </c>
      <c r="R303" s="151">
        <f ca="1">+MIN('S&amp;U'!$I17-SUM('Phase II Pro Forma'!$E303:Q303),'Phase II Pro Forma'!R$295-SUM(R$298:R302))</f>
        <v>0</v>
      </c>
      <c r="S303" s="151">
        <f ca="1">+MIN('S&amp;U'!$I17-SUM('Phase II Pro Forma'!$E303:R303),'Phase II Pro Forma'!S$295-SUM(S$298:S302))</f>
        <v>0</v>
      </c>
      <c r="T303" s="151">
        <f ca="1">+MIN('S&amp;U'!$I17-SUM('Phase II Pro Forma'!$E303:S303),'Phase II Pro Forma'!T$295-SUM(T$298:T302))</f>
        <v>0</v>
      </c>
      <c r="U303" s="151">
        <f ca="1">+MIN('S&amp;U'!$I17-SUM('Phase II Pro Forma'!$E303:T303),'Phase II Pro Forma'!U$295-SUM(U$298:U302))</f>
        <v>0</v>
      </c>
      <c r="V303" s="151">
        <f ca="1">+MIN('S&amp;U'!$I17-SUM('Phase II Pro Forma'!$E303:U303),'Phase II Pro Forma'!V$295-SUM(V$298:V302))</f>
        <v>0</v>
      </c>
      <c r="W303" s="151">
        <f ca="1">+MIN('S&amp;U'!$I17-SUM('Phase II Pro Forma'!$E303:V303),'Phase II Pro Forma'!W$295-SUM(W$298:W302))</f>
        <v>0</v>
      </c>
      <c r="X303" s="151">
        <f ca="1">+MIN('S&amp;U'!$I17-SUM('Phase II Pro Forma'!$E303:W303),'Phase II Pro Forma'!X$295-SUM(X$298:X302))</f>
        <v>0</v>
      </c>
      <c r="Y303" s="151">
        <f ca="1">+MIN('S&amp;U'!$I17-SUM('Phase II Pro Forma'!$E303:X303),'Phase II Pro Forma'!Y$295-SUM(Y$298:Y302))</f>
        <v>0</v>
      </c>
      <c r="Z303" s="151">
        <f ca="1">+MIN('S&amp;U'!$I17-SUM('Phase II Pro Forma'!$E303:Y303),'Phase II Pro Forma'!Z$295-SUM(Z$298:Z302))</f>
        <v>0</v>
      </c>
    </row>
    <row r="304" spans="1:26" ht="15.5">
      <c r="A304" s="108"/>
      <c r="B304" s="33" t="s">
        <v>97</v>
      </c>
      <c r="D304" s="48">
        <f t="shared" ca="1" si="158"/>
        <v>16009703.256704569</v>
      </c>
      <c r="E304" s="48"/>
      <c r="F304" s="151">
        <f ca="1">+MIN('S&amp;U'!$I18-SUM('Phase II Pro Forma'!$E304:E304),'Phase II Pro Forma'!F$295-SUM(F$298:F303))</f>
        <v>0</v>
      </c>
      <c r="G304" s="151">
        <f ca="1">+MIN('S&amp;U'!$I18-SUM('Phase II Pro Forma'!$E304:F304),'Phase II Pro Forma'!G$295-SUM(G$298:G303))</f>
        <v>0</v>
      </c>
      <c r="H304" s="151">
        <f ca="1">+MIN('S&amp;U'!$I18-SUM('Phase II Pro Forma'!$E304:G304),'Phase II Pro Forma'!H$295-SUM(H$298:H303))</f>
        <v>14361596.059556976</v>
      </c>
      <c r="I304" s="151">
        <f ca="1">+MIN('S&amp;U'!$I18-SUM('Phase II Pro Forma'!$E304:H304),'Phase II Pro Forma'!I$295-SUM(I$298:I303))</f>
        <v>824053.59857379121</v>
      </c>
      <c r="J304" s="151">
        <f ca="1">+MIN('S&amp;U'!$I18-SUM('Phase II Pro Forma'!$E304:I304),'Phase II Pro Forma'!J$295-SUM(J$298:J303))</f>
        <v>824053.59857378528</v>
      </c>
      <c r="K304" s="151">
        <f ca="1">+MIN('S&amp;U'!$I18-SUM('Phase II Pro Forma'!$E304:J304),'Phase II Pro Forma'!K$295-SUM(K$298:K303))</f>
        <v>0</v>
      </c>
      <c r="L304" s="151">
        <f ca="1">+MIN('S&amp;U'!$I18-SUM('Phase II Pro Forma'!$E304:K304),'Phase II Pro Forma'!L$295-SUM(L$298:L303))</f>
        <v>0</v>
      </c>
      <c r="M304" s="151">
        <f ca="1">+MIN('S&amp;U'!$I18-SUM('Phase II Pro Forma'!$E304:L304),'Phase II Pro Forma'!M$295-SUM(M$298:M303))</f>
        <v>0</v>
      </c>
      <c r="N304" s="151">
        <f ca="1">+MIN('S&amp;U'!$I18-SUM('Phase II Pro Forma'!$E304:M304),'Phase II Pro Forma'!N$295-SUM(N$298:N303))</f>
        <v>0</v>
      </c>
      <c r="O304" s="151">
        <f ca="1">+MIN('S&amp;U'!$I18-SUM('Phase II Pro Forma'!$E304:N304),'Phase II Pro Forma'!O$295-SUM(O$298:O303))</f>
        <v>0</v>
      </c>
      <c r="P304" s="151">
        <f ca="1">+MIN('S&amp;U'!$I18-SUM('Phase II Pro Forma'!$E304:O304),'Phase II Pro Forma'!P$295-SUM(P$298:P303))</f>
        <v>0</v>
      </c>
      <c r="Q304" s="151">
        <f ca="1">+MIN('S&amp;U'!$I18-SUM('Phase II Pro Forma'!$E304:P304),'Phase II Pro Forma'!Q$295-SUM(Q$298:Q303))</f>
        <v>0</v>
      </c>
      <c r="R304" s="151">
        <f ca="1">+MIN('S&amp;U'!$I18-SUM('Phase II Pro Forma'!$E304:Q304),'Phase II Pro Forma'!R$295-SUM(R$298:R303))</f>
        <v>0</v>
      </c>
      <c r="S304" s="151">
        <f ca="1">+MIN('S&amp;U'!$I18-SUM('Phase II Pro Forma'!$E304:R304),'Phase II Pro Forma'!S$295-SUM(S$298:S303))</f>
        <v>0</v>
      </c>
      <c r="T304" s="151">
        <f ca="1">+MIN('S&amp;U'!$I18-SUM('Phase II Pro Forma'!$E304:S304),'Phase II Pro Forma'!T$295-SUM(T$298:T303))</f>
        <v>0</v>
      </c>
      <c r="U304" s="151">
        <f ca="1">+MIN('S&amp;U'!$I18-SUM('Phase II Pro Forma'!$E304:T304),'Phase II Pro Forma'!U$295-SUM(U$298:U303))</f>
        <v>0</v>
      </c>
      <c r="V304" s="151">
        <f ca="1">+MIN('S&amp;U'!$I18-SUM('Phase II Pro Forma'!$E304:U304),'Phase II Pro Forma'!V$295-SUM(V$298:V303))</f>
        <v>0</v>
      </c>
      <c r="W304" s="151">
        <f ca="1">+MIN('S&amp;U'!$I18-SUM('Phase II Pro Forma'!$E304:V304),'Phase II Pro Forma'!W$295-SUM(W$298:W303))</f>
        <v>0</v>
      </c>
      <c r="X304" s="151">
        <f ca="1">+MIN('S&amp;U'!$I18-SUM('Phase II Pro Forma'!$E304:W304),'Phase II Pro Forma'!X$295-SUM(X$298:X303))</f>
        <v>0</v>
      </c>
      <c r="Y304" s="151">
        <f ca="1">+MIN('S&amp;U'!$I18-SUM('Phase II Pro Forma'!$E304:X304),'Phase II Pro Forma'!Y$295-SUM(Y$298:Y303))</f>
        <v>0</v>
      </c>
      <c r="Z304" s="151">
        <f ca="1">+MIN('S&amp;U'!$I18-SUM('Phase II Pro Forma'!$E304:Y304),'Phase II Pro Forma'!Z$295-SUM(Z$298:Z303))</f>
        <v>0</v>
      </c>
    </row>
    <row r="305" spans="2:26" ht="15.5">
      <c r="B305" s="138" t="s">
        <v>359</v>
      </c>
      <c r="C305" s="138"/>
      <c r="D305" s="139">
        <f t="shared" ca="1" si="158"/>
        <v>207720889.5124591</v>
      </c>
      <c r="E305" s="139"/>
      <c r="F305" s="139">
        <f t="shared" ref="F305:Z305" ca="1" si="160">+SUM(F298:F304)</f>
        <v>100152177.31526883</v>
      </c>
      <c r="G305" s="139">
        <f t="shared" ca="1" si="160"/>
        <v>52960302.500021346</v>
      </c>
      <c r="H305" s="139">
        <f t="shared" ca="1" si="160"/>
        <v>52960302.500021346</v>
      </c>
      <c r="I305" s="139">
        <f ca="1">+SUM(I298:I304)</f>
        <v>824053.59857379121</v>
      </c>
      <c r="J305" s="139">
        <f t="shared" ca="1" si="160"/>
        <v>824053.59857378528</v>
      </c>
      <c r="K305" s="139">
        <f t="shared" ca="1" si="160"/>
        <v>0</v>
      </c>
      <c r="L305" s="139">
        <f t="shared" ca="1" si="160"/>
        <v>0</v>
      </c>
      <c r="M305" s="139">
        <f t="shared" ca="1" si="160"/>
        <v>0</v>
      </c>
      <c r="N305" s="139">
        <f t="shared" ca="1" si="160"/>
        <v>0</v>
      </c>
      <c r="O305" s="139">
        <f t="shared" ca="1" si="160"/>
        <v>0</v>
      </c>
      <c r="P305" s="139">
        <f t="shared" ca="1" si="160"/>
        <v>0</v>
      </c>
      <c r="Q305" s="139">
        <f t="shared" ca="1" si="160"/>
        <v>0</v>
      </c>
      <c r="R305" s="139">
        <f t="shared" ca="1" si="160"/>
        <v>0</v>
      </c>
      <c r="S305" s="139">
        <f t="shared" ca="1" si="160"/>
        <v>0</v>
      </c>
      <c r="T305" s="139">
        <f t="shared" ca="1" si="160"/>
        <v>0</v>
      </c>
      <c r="U305" s="139">
        <f t="shared" ca="1" si="160"/>
        <v>0</v>
      </c>
      <c r="V305" s="139">
        <f t="shared" ca="1" si="160"/>
        <v>0</v>
      </c>
      <c r="W305" s="139">
        <f t="shared" ca="1" si="160"/>
        <v>0</v>
      </c>
      <c r="X305" s="139">
        <f t="shared" ca="1" si="160"/>
        <v>0</v>
      </c>
      <c r="Y305" s="139">
        <f t="shared" ca="1" si="160"/>
        <v>0</v>
      </c>
      <c r="Z305" s="139">
        <f t="shared" ca="1" si="160"/>
        <v>0</v>
      </c>
    </row>
    <row r="307" spans="2:26" ht="15.5">
      <c r="B307" s="33" t="s">
        <v>419</v>
      </c>
      <c r="D307" s="48">
        <f t="shared" ref="D307" ca="1" si="161">+SUM(F307:Z307)</f>
        <v>48512419.645151667</v>
      </c>
      <c r="F307" s="42">
        <f ca="1">+SUM(F299:F301,F304)</f>
        <v>32502716.388447098</v>
      </c>
      <c r="G307" s="42">
        <f t="shared" ref="G307:Z307" ca="1" si="162">+SUM(G299:G301,G304)</f>
        <v>0</v>
      </c>
      <c r="H307" s="42">
        <f t="shared" ca="1" si="162"/>
        <v>14361596.059556976</v>
      </c>
      <c r="I307" s="42">
        <f t="shared" ca="1" si="162"/>
        <v>824053.59857379121</v>
      </c>
      <c r="J307" s="42">
        <f t="shared" ca="1" si="162"/>
        <v>824053.59857378528</v>
      </c>
      <c r="K307" s="42">
        <f t="shared" ca="1" si="162"/>
        <v>0</v>
      </c>
      <c r="L307" s="42">
        <f t="shared" ca="1" si="162"/>
        <v>0</v>
      </c>
      <c r="M307" s="42">
        <f t="shared" ca="1" si="162"/>
        <v>0</v>
      </c>
      <c r="N307" s="42">
        <f t="shared" ca="1" si="162"/>
        <v>0</v>
      </c>
      <c r="O307" s="42">
        <f t="shared" ca="1" si="162"/>
        <v>0</v>
      </c>
      <c r="P307" s="42">
        <f t="shared" ca="1" si="162"/>
        <v>0</v>
      </c>
      <c r="Q307" s="42">
        <f t="shared" ca="1" si="162"/>
        <v>0</v>
      </c>
      <c r="R307" s="42">
        <f t="shared" ca="1" si="162"/>
        <v>0</v>
      </c>
      <c r="S307" s="42">
        <f t="shared" ca="1" si="162"/>
        <v>0</v>
      </c>
      <c r="T307" s="42">
        <f t="shared" ca="1" si="162"/>
        <v>0</v>
      </c>
      <c r="U307" s="42">
        <f t="shared" ca="1" si="162"/>
        <v>0</v>
      </c>
      <c r="V307" s="42">
        <f t="shared" ca="1" si="162"/>
        <v>0</v>
      </c>
      <c r="W307" s="42">
        <f t="shared" ca="1" si="162"/>
        <v>0</v>
      </c>
      <c r="X307" s="42">
        <f t="shared" ca="1" si="162"/>
        <v>0</v>
      </c>
      <c r="Y307" s="42">
        <f t="shared" ca="1" si="162"/>
        <v>0</v>
      </c>
      <c r="Z307" s="42">
        <f t="shared" ca="1" si="162"/>
        <v>0</v>
      </c>
    </row>
    <row r="309" spans="2:26" ht="15.5">
      <c r="B309" s="148" t="s">
        <v>330</v>
      </c>
    </row>
    <row r="310" spans="2:26" ht="15.5">
      <c r="B310" s="815" t="str">
        <f>B328</f>
        <v>Pads (Net of sale costs)</v>
      </c>
      <c r="C310" s="816"/>
      <c r="D310" s="811">
        <f>+SUM(F310:Z310)</f>
        <v>65237394.974527918</v>
      </c>
      <c r="E310" s="816"/>
      <c r="F310" s="813">
        <f t="shared" ref="F310:Z310" si="163">F328</f>
        <v>0</v>
      </c>
      <c r="G310" s="813">
        <f t="shared" si="163"/>
        <v>65237394.974527918</v>
      </c>
      <c r="H310" s="813">
        <f t="shared" si="163"/>
        <v>0</v>
      </c>
      <c r="I310" s="813">
        <f t="shared" si="163"/>
        <v>0</v>
      </c>
      <c r="J310" s="813">
        <f t="shared" si="163"/>
        <v>0</v>
      </c>
      <c r="K310" s="813">
        <f t="shared" si="163"/>
        <v>0</v>
      </c>
      <c r="L310" s="813">
        <f t="shared" si="163"/>
        <v>0</v>
      </c>
      <c r="M310" s="813">
        <f t="shared" si="163"/>
        <v>0</v>
      </c>
      <c r="N310" s="813">
        <f t="shared" si="163"/>
        <v>0</v>
      </c>
      <c r="O310" s="813">
        <f t="shared" si="163"/>
        <v>0</v>
      </c>
      <c r="P310" s="813">
        <f t="shared" si="163"/>
        <v>0</v>
      </c>
      <c r="Q310" s="813">
        <f t="shared" si="163"/>
        <v>0</v>
      </c>
      <c r="R310" s="813">
        <f t="shared" si="163"/>
        <v>0</v>
      </c>
      <c r="S310" s="813">
        <f t="shared" si="163"/>
        <v>0</v>
      </c>
      <c r="T310" s="813">
        <f t="shared" si="163"/>
        <v>0</v>
      </c>
      <c r="U310" s="813">
        <f t="shared" si="163"/>
        <v>0</v>
      </c>
      <c r="V310" s="813">
        <f t="shared" si="163"/>
        <v>0</v>
      </c>
      <c r="W310" s="813">
        <f t="shared" si="163"/>
        <v>0</v>
      </c>
      <c r="X310" s="813">
        <f t="shared" si="163"/>
        <v>0</v>
      </c>
      <c r="Y310" s="813">
        <f t="shared" si="163"/>
        <v>0</v>
      </c>
      <c r="Z310" s="813">
        <f t="shared" si="163"/>
        <v>0</v>
      </c>
    </row>
    <row r="311" spans="2:26" ht="15.5">
      <c r="B311" s="33" t="s">
        <v>331</v>
      </c>
      <c r="D311" s="48">
        <f ca="1">+SUM(F311:Z311)</f>
        <v>-64517857.38131699</v>
      </c>
      <c r="E311" s="48"/>
      <c r="F311" s="34">
        <f t="shared" ref="F311:Z311" ca="1" si="164">-F298</f>
        <v>-64517857.38131696</v>
      </c>
      <c r="G311" s="34">
        <f t="shared" ca="1" si="164"/>
        <v>0</v>
      </c>
      <c r="H311" s="34">
        <f t="shared" ca="1" si="164"/>
        <v>0</v>
      </c>
      <c r="I311" s="34">
        <f t="shared" ca="1" si="164"/>
        <v>0</v>
      </c>
      <c r="J311" s="34">
        <f t="shared" ca="1" si="164"/>
        <v>0</v>
      </c>
      <c r="K311" s="34">
        <f t="shared" ca="1" si="164"/>
        <v>0</v>
      </c>
      <c r="L311" s="34">
        <f t="shared" ca="1" si="164"/>
        <v>0</v>
      </c>
      <c r="M311" s="34">
        <f t="shared" ca="1" si="164"/>
        <v>0</v>
      </c>
      <c r="N311" s="34">
        <f t="shared" ca="1" si="164"/>
        <v>0</v>
      </c>
      <c r="O311" s="34">
        <f t="shared" ca="1" si="164"/>
        <v>0</v>
      </c>
      <c r="P311" s="34">
        <f t="shared" ca="1" si="164"/>
        <v>0</v>
      </c>
      <c r="Q311" s="34">
        <f t="shared" ca="1" si="164"/>
        <v>0</v>
      </c>
      <c r="R311" s="34">
        <f t="shared" ca="1" si="164"/>
        <v>0</v>
      </c>
      <c r="S311" s="34">
        <f t="shared" ca="1" si="164"/>
        <v>0</v>
      </c>
      <c r="T311" s="34">
        <f t="shared" ca="1" si="164"/>
        <v>0</v>
      </c>
      <c r="U311" s="34">
        <f t="shared" ca="1" si="164"/>
        <v>0</v>
      </c>
      <c r="V311" s="34">
        <f t="shared" ca="1" si="164"/>
        <v>0</v>
      </c>
      <c r="W311" s="34">
        <f t="shared" ca="1" si="164"/>
        <v>0</v>
      </c>
      <c r="X311" s="34">
        <f t="shared" ca="1" si="164"/>
        <v>0</v>
      </c>
      <c r="Y311" s="34">
        <f t="shared" ca="1" si="164"/>
        <v>0</v>
      </c>
      <c r="Z311" s="34">
        <f t="shared" ca="1" si="164"/>
        <v>0</v>
      </c>
    </row>
    <row r="312" spans="2:26" ht="15.5">
      <c r="B312" s="33" t="s">
        <v>332</v>
      </c>
      <c r="D312" s="48">
        <f t="shared" ref="D312" ca="1" si="165">+SUM(F312:Z312)</f>
        <v>114020232.43148133</v>
      </c>
      <c r="E312" s="48"/>
      <c r="F312" s="151">
        <f t="shared" ref="F312" ca="1" si="166">+F280</f>
        <v>0</v>
      </c>
      <c r="G312" s="151">
        <f ca="1">+G280</f>
        <v>0</v>
      </c>
      <c r="H312" s="151">
        <f t="shared" ref="H312:Z312" ca="1" si="167">+H280</f>
        <v>0</v>
      </c>
      <c r="I312" s="151">
        <f t="shared" ca="1" si="167"/>
        <v>-530335.46177452989</v>
      </c>
      <c r="J312" s="151">
        <f t="shared" ca="1" si="167"/>
        <v>7210092.1709204763</v>
      </c>
      <c r="K312" s="151">
        <f t="shared" ca="1" si="167"/>
        <v>7210092.1770137986</v>
      </c>
      <c r="L312" s="151">
        <f t="shared" ca="1" si="167"/>
        <v>8086265.7347756457</v>
      </c>
      <c r="M312" s="151">
        <f t="shared" ca="1" si="167"/>
        <v>8086265.7427317612</v>
      </c>
      <c r="N312" s="151">
        <f t="shared" ca="1" si="167"/>
        <v>83957852.067814276</v>
      </c>
      <c r="O312" s="151">
        <f t="shared" si="167"/>
        <v>0</v>
      </c>
      <c r="P312" s="151">
        <f t="shared" si="167"/>
        <v>0</v>
      </c>
      <c r="Q312" s="151">
        <f t="shared" si="167"/>
        <v>0</v>
      </c>
      <c r="R312" s="151">
        <f t="shared" si="167"/>
        <v>0</v>
      </c>
      <c r="S312" s="151">
        <f t="shared" si="167"/>
        <v>0</v>
      </c>
      <c r="T312" s="151">
        <f t="shared" si="167"/>
        <v>0</v>
      </c>
      <c r="U312" s="151">
        <f t="shared" si="167"/>
        <v>0</v>
      </c>
      <c r="V312" s="151">
        <f t="shared" si="167"/>
        <v>0</v>
      </c>
      <c r="W312" s="151">
        <f t="shared" si="167"/>
        <v>0</v>
      </c>
      <c r="X312" s="151">
        <f t="shared" si="167"/>
        <v>0</v>
      </c>
      <c r="Y312" s="151">
        <f t="shared" si="167"/>
        <v>0</v>
      </c>
      <c r="Z312" s="151">
        <f t="shared" si="167"/>
        <v>0</v>
      </c>
    </row>
    <row r="313" spans="2:26" ht="15.5">
      <c r="B313" s="138" t="s">
        <v>333</v>
      </c>
      <c r="C313" s="138"/>
      <c r="D313" s="139">
        <f ca="1">+SUM(F313:Z313)</f>
        <v>114739770.02469225</v>
      </c>
      <c r="E313" s="139"/>
      <c r="F313" s="139">
        <f ca="1">SUM(F310:F312)</f>
        <v>-64517857.38131696</v>
      </c>
      <c r="G313" s="139">
        <f t="shared" ref="G313:Z313" ca="1" si="168">SUM(G310:G312)</f>
        <v>65237394.974527918</v>
      </c>
      <c r="H313" s="139">
        <f t="shared" ca="1" si="168"/>
        <v>0</v>
      </c>
      <c r="I313" s="139">
        <f t="shared" ca="1" si="168"/>
        <v>-530335.46177452989</v>
      </c>
      <c r="J313" s="139">
        <f t="shared" ca="1" si="168"/>
        <v>7210092.1709204763</v>
      </c>
      <c r="K313" s="139">
        <f t="shared" ca="1" si="168"/>
        <v>7210092.1770137986</v>
      </c>
      <c r="L313" s="139">
        <f t="shared" ca="1" si="168"/>
        <v>8086265.7347756457</v>
      </c>
      <c r="M313" s="139">
        <f t="shared" ca="1" si="168"/>
        <v>8086265.7427317612</v>
      </c>
      <c r="N313" s="139">
        <f t="shared" ca="1" si="168"/>
        <v>83957852.067814276</v>
      </c>
      <c r="O313" s="139">
        <f t="shared" ca="1" si="168"/>
        <v>0</v>
      </c>
      <c r="P313" s="139">
        <f t="shared" ca="1" si="168"/>
        <v>0</v>
      </c>
      <c r="Q313" s="139">
        <f t="shared" ca="1" si="168"/>
        <v>0</v>
      </c>
      <c r="R313" s="139">
        <f t="shared" ca="1" si="168"/>
        <v>0</v>
      </c>
      <c r="S313" s="139">
        <f t="shared" ca="1" si="168"/>
        <v>0</v>
      </c>
      <c r="T313" s="139">
        <f t="shared" ca="1" si="168"/>
        <v>0</v>
      </c>
      <c r="U313" s="139">
        <f t="shared" ca="1" si="168"/>
        <v>0</v>
      </c>
      <c r="V313" s="139">
        <f t="shared" ca="1" si="168"/>
        <v>0</v>
      </c>
      <c r="W313" s="139">
        <f t="shared" ca="1" si="168"/>
        <v>0</v>
      </c>
      <c r="X313" s="139">
        <f t="shared" ca="1" si="168"/>
        <v>0</v>
      </c>
      <c r="Y313" s="139">
        <f t="shared" ca="1" si="168"/>
        <v>0</v>
      </c>
      <c r="Z313" s="139">
        <f t="shared" ca="1" si="168"/>
        <v>0</v>
      </c>
    </row>
    <row r="315" spans="2:26" ht="15.5">
      <c r="B315" s="190" t="s">
        <v>337</v>
      </c>
      <c r="C315" s="190"/>
      <c r="D315" s="191">
        <f ca="1">+IRR(F313:Z313)</f>
        <v>0.32546783189453388</v>
      </c>
    </row>
    <row r="316" spans="2:26" ht="15.5">
      <c r="B316" s="141" t="s">
        <v>335</v>
      </c>
      <c r="C316" s="192"/>
      <c r="D316" s="142">
        <f ca="1">+SUM(F313:Z313)</f>
        <v>114739770.02469239</v>
      </c>
    </row>
    <row r="317" spans="2:26" ht="15.5">
      <c r="B317" s="194" t="s">
        <v>336</v>
      </c>
      <c r="C317" s="193"/>
      <c r="D317" s="195">
        <f ca="1">+D312/-D311</f>
        <v>1.7672662586668475</v>
      </c>
    </row>
    <row r="319" spans="2:26" ht="15.5">
      <c r="B319" s="37" t="s">
        <v>373</v>
      </c>
      <c r="C319" s="38"/>
      <c r="D319" s="38"/>
      <c r="E319" s="38"/>
      <c r="F319" s="136"/>
      <c r="G319" s="136"/>
      <c r="H319" s="136"/>
      <c r="I319" s="136"/>
      <c r="J319" s="136"/>
      <c r="K319" s="136"/>
      <c r="L319" s="136"/>
      <c r="M319" s="136"/>
      <c r="N319" s="136"/>
      <c r="O319" s="136"/>
      <c r="P319" s="136"/>
      <c r="Q319" s="136"/>
      <c r="R319" s="136"/>
      <c r="S319" s="136"/>
      <c r="T319" s="136"/>
      <c r="U319" s="136"/>
      <c r="V319" s="136"/>
      <c r="W319" s="136"/>
      <c r="X319" s="136"/>
      <c r="Y319" s="136"/>
      <c r="Z319" s="136"/>
    </row>
    <row r="321" spans="2:26" ht="15.5">
      <c r="B321" s="148" t="s">
        <v>233</v>
      </c>
      <c r="F321" s="150">
        <f>+F$297</f>
        <v>45291</v>
      </c>
      <c r="G321" s="150">
        <f t="shared" ref="G321:Z321" si="169">+G$297</f>
        <v>45657</v>
      </c>
      <c r="H321" s="150">
        <f t="shared" si="169"/>
        <v>46022</v>
      </c>
      <c r="I321" s="150">
        <f t="shared" si="169"/>
        <v>46387</v>
      </c>
      <c r="J321" s="150">
        <f t="shared" si="169"/>
        <v>46752</v>
      </c>
      <c r="K321" s="150">
        <f t="shared" si="169"/>
        <v>47118</v>
      </c>
      <c r="L321" s="150">
        <f t="shared" si="169"/>
        <v>47483</v>
      </c>
      <c r="M321" s="150">
        <f t="shared" si="169"/>
        <v>47848</v>
      </c>
      <c r="N321" s="150">
        <f t="shared" si="169"/>
        <v>48213</v>
      </c>
      <c r="O321" s="150">
        <f t="shared" si="169"/>
        <v>48579</v>
      </c>
      <c r="P321" s="150">
        <f t="shared" si="169"/>
        <v>48944</v>
      </c>
      <c r="Q321" s="150">
        <f t="shared" si="169"/>
        <v>49309</v>
      </c>
      <c r="R321" s="150">
        <f t="shared" si="169"/>
        <v>49674</v>
      </c>
      <c r="S321" s="150">
        <f t="shared" si="169"/>
        <v>50040</v>
      </c>
      <c r="T321" s="150">
        <f t="shared" si="169"/>
        <v>50405</v>
      </c>
      <c r="U321" s="150">
        <f t="shared" si="169"/>
        <v>50770</v>
      </c>
      <c r="V321" s="150">
        <f t="shared" si="169"/>
        <v>51135</v>
      </c>
      <c r="W321" s="150">
        <f t="shared" si="169"/>
        <v>51501</v>
      </c>
      <c r="X321" s="150">
        <f t="shared" si="169"/>
        <v>51866</v>
      </c>
      <c r="Y321" s="150">
        <f t="shared" si="169"/>
        <v>52231</v>
      </c>
      <c r="Z321" s="150">
        <f t="shared" si="169"/>
        <v>52596</v>
      </c>
    </row>
    <row r="322" spans="2:26">
      <c r="B322" s="33" t="s">
        <v>697</v>
      </c>
      <c r="C322"/>
      <c r="D322"/>
      <c r="E322"/>
      <c r="F322" s="34">
        <f ca="1">+F$138</f>
        <v>0</v>
      </c>
      <c r="G322" s="34">
        <f t="shared" ref="G322:Z322" ca="1" si="170">+G$138</f>
        <v>0</v>
      </c>
      <c r="H322" s="34">
        <f t="shared" ca="1" si="170"/>
        <v>0</v>
      </c>
      <c r="I322" s="34">
        <f t="shared" ca="1" si="170"/>
        <v>4967587.6240572277</v>
      </c>
      <c r="J322" s="34">
        <f t="shared" ca="1" si="170"/>
        <v>9935175.2554793134</v>
      </c>
      <c r="K322" s="34">
        <f t="shared" ca="1" si="170"/>
        <v>9935175.2630360331</v>
      </c>
      <c r="L322" s="34">
        <f t="shared" ca="1" si="170"/>
        <v>10431934.02079788</v>
      </c>
      <c r="M322" s="34">
        <f t="shared" ca="1" si="170"/>
        <v>10431934.028753996</v>
      </c>
      <c r="N322" s="34">
        <f t="shared" ca="1" si="170"/>
        <v>10431934.036917932</v>
      </c>
      <c r="O322" s="34">
        <f t="shared" ca="1" si="170"/>
        <v>10431934.045295304</v>
      </c>
      <c r="P322" s="34">
        <f t="shared" ca="1" si="170"/>
        <v>10431934.053891888</v>
      </c>
      <c r="Q322" s="34">
        <f t="shared" ca="1" si="170"/>
        <v>10953530.750222515</v>
      </c>
      <c r="R322" s="34">
        <f t="shared" ca="1" si="170"/>
        <v>10953530.759275492</v>
      </c>
      <c r="S322" s="34">
        <f t="shared" ca="1" si="170"/>
        <v>10953530.768565981</v>
      </c>
      <c r="T322" s="34">
        <f t="shared" ca="1" si="170"/>
        <v>10953530.778100425</v>
      </c>
      <c r="U322" s="34">
        <f t="shared" ca="1" si="170"/>
        <v>10953530.787885455</v>
      </c>
      <c r="V322" s="34">
        <f t="shared" ca="1" si="170"/>
        <v>11501207.319812668</v>
      </c>
      <c r="W322" s="34">
        <f t="shared" ca="1" si="170"/>
        <v>11501207.330119479</v>
      </c>
      <c r="X322" s="34">
        <f t="shared" ca="1" si="170"/>
        <v>11501207.340697868</v>
      </c>
      <c r="Y322" s="34">
        <f t="shared" ca="1" si="170"/>
        <v>11501207.351555238</v>
      </c>
      <c r="Z322" s="34">
        <f t="shared" ca="1" si="170"/>
        <v>11501207.362699188</v>
      </c>
    </row>
    <row r="323" spans="2:26">
      <c r="B323" s="33" t="s">
        <v>698</v>
      </c>
      <c r="C323"/>
      <c r="D323"/>
      <c r="E323"/>
      <c r="F323" s="151">
        <f ca="1">+F$207</f>
        <v>0</v>
      </c>
      <c r="G323" s="151">
        <f t="shared" ref="G323:Z323" ca="1" si="171">+G$207</f>
        <v>0</v>
      </c>
      <c r="H323" s="151">
        <f t="shared" ca="1" si="171"/>
        <v>0</v>
      </c>
      <c r="I323" s="151">
        <f t="shared" ca="1" si="171"/>
        <v>5.0543443081768231E-3</v>
      </c>
      <c r="J323" s="151">
        <f t="shared" si="171"/>
        <v>1.3653097500000001E-2</v>
      </c>
      <c r="K323" s="151">
        <f t="shared" ca="1" si="171"/>
        <v>1.218970049135364E-2</v>
      </c>
      <c r="L323" s="151">
        <f t="shared" ca="1" si="171"/>
        <v>1.218970049135364E-2</v>
      </c>
      <c r="M323" s="151">
        <f t="shared" ca="1" si="171"/>
        <v>1.218970049135364E-2</v>
      </c>
      <c r="N323" s="151">
        <f t="shared" ca="1" si="171"/>
        <v>1.218970049135364E-2</v>
      </c>
      <c r="O323" s="151">
        <f t="shared" ca="1" si="171"/>
        <v>1.218970049135364E-2</v>
      </c>
      <c r="P323" s="151">
        <f t="shared" si="171"/>
        <v>1.4190014999999993E-2</v>
      </c>
      <c r="Q323" s="151">
        <f t="shared" ca="1" si="171"/>
        <v>1.218970049135364E-2</v>
      </c>
      <c r="R323" s="151">
        <f t="shared" ca="1" si="171"/>
        <v>1.218970049135364E-2</v>
      </c>
      <c r="S323" s="151">
        <f t="shared" ca="1" si="171"/>
        <v>1.218970049135364E-2</v>
      </c>
      <c r="T323" s="151">
        <f t="shared" ca="1" si="171"/>
        <v>1.218970049135364E-2</v>
      </c>
      <c r="U323" s="151">
        <f t="shared" ca="1" si="171"/>
        <v>1.218970049135364E-2</v>
      </c>
      <c r="V323" s="151">
        <f t="shared" ca="1" si="171"/>
        <v>1.218970049135364E-2</v>
      </c>
      <c r="W323" s="151">
        <f t="shared" ca="1" si="171"/>
        <v>1.218970049135364E-2</v>
      </c>
      <c r="X323" s="151">
        <f t="shared" ca="1" si="171"/>
        <v>1.218970049135364E-2</v>
      </c>
      <c r="Y323" s="151">
        <f t="shared" ca="1" si="171"/>
        <v>1.218970049135364E-2</v>
      </c>
      <c r="Z323" s="151">
        <f t="shared" ca="1" si="171"/>
        <v>1.218970049135364E-2</v>
      </c>
    </row>
    <row r="324" spans="2:26">
      <c r="B324" s="33" t="s">
        <v>826</v>
      </c>
      <c r="C324"/>
      <c r="D324"/>
      <c r="E324"/>
      <c r="F324" s="151">
        <f>+F$253</f>
        <v>0</v>
      </c>
      <c r="G324" s="151">
        <f t="shared" ref="G324:Z324" si="172">+G$253</f>
        <v>0</v>
      </c>
      <c r="H324" s="151">
        <f t="shared" si="172"/>
        <v>0</v>
      </c>
      <c r="I324" s="151">
        <f t="shared" si="172"/>
        <v>1897074</v>
      </c>
      <c r="J324" s="151">
        <f t="shared" si="172"/>
        <v>3794148</v>
      </c>
      <c r="K324" s="151">
        <f t="shared" si="172"/>
        <v>3794148</v>
      </c>
      <c r="L324" s="151">
        <f t="shared" si="172"/>
        <v>4173562.8</v>
      </c>
      <c r="M324" s="151">
        <f t="shared" si="172"/>
        <v>4173562.8</v>
      </c>
      <c r="N324" s="151">
        <f t="shared" si="172"/>
        <v>4173562.8000000003</v>
      </c>
      <c r="O324" s="151">
        <f t="shared" si="172"/>
        <v>4173562.8</v>
      </c>
      <c r="P324" s="151">
        <f t="shared" si="172"/>
        <v>4173562.8000000003</v>
      </c>
      <c r="Q324" s="151">
        <f t="shared" si="172"/>
        <v>4590919.080000001</v>
      </c>
      <c r="R324" s="151">
        <f t="shared" si="172"/>
        <v>4590919.080000001</v>
      </c>
      <c r="S324" s="151">
        <f t="shared" si="172"/>
        <v>4590919.080000001</v>
      </c>
      <c r="T324" s="151">
        <f t="shared" si="172"/>
        <v>4590919.080000001</v>
      </c>
      <c r="U324" s="151">
        <f t="shared" si="172"/>
        <v>4590919.080000001</v>
      </c>
      <c r="V324" s="151">
        <f t="shared" si="172"/>
        <v>5050010.9880000018</v>
      </c>
      <c r="W324" s="151">
        <f t="shared" si="172"/>
        <v>5050010.9880000018</v>
      </c>
      <c r="X324" s="151">
        <f t="shared" si="172"/>
        <v>5050010.9880000018</v>
      </c>
      <c r="Y324" s="151">
        <f t="shared" si="172"/>
        <v>5050010.9880000018</v>
      </c>
      <c r="Z324" s="151">
        <f t="shared" si="172"/>
        <v>5050010.9880000018</v>
      </c>
    </row>
    <row r="325" spans="2:26" ht="15.5">
      <c r="B325" s="138" t="s">
        <v>233</v>
      </c>
      <c r="C325" s="138"/>
      <c r="D325" s="139"/>
      <c r="E325" s="139"/>
      <c r="F325" s="139">
        <f t="shared" ref="F325:Z325" ca="1" si="173">+SUM(F322:F324)</f>
        <v>0</v>
      </c>
      <c r="G325" s="139">
        <f t="shared" ca="1" si="173"/>
        <v>0</v>
      </c>
      <c r="H325" s="139">
        <f t="shared" ca="1" si="173"/>
        <v>0</v>
      </c>
      <c r="I325" s="139">
        <f t="shared" ca="1" si="173"/>
        <v>6864661.6291115722</v>
      </c>
      <c r="J325" s="139">
        <f t="shared" ca="1" si="173"/>
        <v>13729323.269132411</v>
      </c>
      <c r="K325" s="139">
        <f t="shared" ca="1" si="173"/>
        <v>13729323.275225734</v>
      </c>
      <c r="L325" s="139">
        <f t="shared" ca="1" si="173"/>
        <v>14605496.83298758</v>
      </c>
      <c r="M325" s="139">
        <f t="shared" ca="1" si="173"/>
        <v>14605496.840943698</v>
      </c>
      <c r="N325" s="139">
        <f t="shared" ca="1" si="173"/>
        <v>14605496.849107634</v>
      </c>
      <c r="O325" s="139">
        <f t="shared" ca="1" si="173"/>
        <v>14605496.857485004</v>
      </c>
      <c r="P325" s="139">
        <f t="shared" ca="1" si="173"/>
        <v>14605496.868081903</v>
      </c>
      <c r="Q325" s="139">
        <f t="shared" ca="1" si="173"/>
        <v>15544449.842412218</v>
      </c>
      <c r="R325" s="139">
        <f t="shared" ca="1" si="173"/>
        <v>15544449.851465195</v>
      </c>
      <c r="S325" s="139">
        <f t="shared" ca="1" si="173"/>
        <v>15544449.860755682</v>
      </c>
      <c r="T325" s="139">
        <f t="shared" ca="1" si="173"/>
        <v>15544449.870290127</v>
      </c>
      <c r="U325" s="139">
        <f t="shared" ca="1" si="173"/>
        <v>15544449.880075157</v>
      </c>
      <c r="V325" s="139">
        <f t="shared" ca="1" si="173"/>
        <v>16551218.320002371</v>
      </c>
      <c r="W325" s="139">
        <f t="shared" ca="1" si="173"/>
        <v>16551218.330309182</v>
      </c>
      <c r="X325" s="139">
        <f t="shared" ca="1" si="173"/>
        <v>16551218.340887571</v>
      </c>
      <c r="Y325" s="139">
        <f t="shared" ca="1" si="173"/>
        <v>16551218.351744941</v>
      </c>
      <c r="Z325" s="139">
        <f t="shared" ca="1" si="173"/>
        <v>16551218.362888891</v>
      </c>
    </row>
    <row r="327" spans="2:26" ht="15.5">
      <c r="B327" s="148" t="s">
        <v>143</v>
      </c>
      <c r="F327" s="150">
        <f>+F$297</f>
        <v>45291</v>
      </c>
      <c r="G327" s="150">
        <f t="shared" ref="G327:Z327" si="174">+G$297</f>
        <v>45657</v>
      </c>
      <c r="H327" s="150">
        <f t="shared" si="174"/>
        <v>46022</v>
      </c>
      <c r="I327" s="150">
        <f t="shared" si="174"/>
        <v>46387</v>
      </c>
      <c r="J327" s="150">
        <f t="shared" si="174"/>
        <v>46752</v>
      </c>
      <c r="K327" s="150">
        <f t="shared" si="174"/>
        <v>47118</v>
      </c>
      <c r="L327" s="150">
        <f t="shared" si="174"/>
        <v>47483</v>
      </c>
      <c r="M327" s="150">
        <f t="shared" si="174"/>
        <v>47848</v>
      </c>
      <c r="N327" s="150">
        <f t="shared" si="174"/>
        <v>48213</v>
      </c>
      <c r="O327" s="150">
        <f t="shared" si="174"/>
        <v>48579</v>
      </c>
      <c r="P327" s="150">
        <f t="shared" si="174"/>
        <v>48944</v>
      </c>
      <c r="Q327" s="150">
        <f t="shared" si="174"/>
        <v>49309</v>
      </c>
      <c r="R327" s="150">
        <f t="shared" si="174"/>
        <v>49674</v>
      </c>
      <c r="S327" s="150">
        <f t="shared" si="174"/>
        <v>50040</v>
      </c>
      <c r="T327" s="150">
        <f t="shared" si="174"/>
        <v>50405</v>
      </c>
      <c r="U327" s="150">
        <f t="shared" si="174"/>
        <v>50770</v>
      </c>
      <c r="V327" s="150">
        <f t="shared" si="174"/>
        <v>51135</v>
      </c>
      <c r="W327" s="150">
        <f t="shared" si="174"/>
        <v>51501</v>
      </c>
      <c r="X327" s="150">
        <f t="shared" si="174"/>
        <v>51866</v>
      </c>
      <c r="Y327" s="150">
        <f t="shared" si="174"/>
        <v>52231</v>
      </c>
      <c r="Z327" s="150">
        <f t="shared" si="174"/>
        <v>52596</v>
      </c>
    </row>
    <row r="328" spans="2:26">
      <c r="B328" s="815" t="s">
        <v>1223</v>
      </c>
      <c r="C328" s="816"/>
      <c r="D328" s="816"/>
      <c r="E328" s="816"/>
      <c r="F328" s="813">
        <f>IF(F7='Acquisition &amp; Sales'!$D$70,'Acquisition &amp; Sales'!$F$68*(1-'Acquisition &amp; Sales'!$D$69),0)</f>
        <v>0</v>
      </c>
      <c r="G328" s="813">
        <f>IF(G7='Acquisition &amp; Sales'!$D$70,'Acquisition &amp; Sales'!$F$68*(1-'Acquisition &amp; Sales'!$D$69),0)</f>
        <v>65237394.974527918</v>
      </c>
      <c r="H328" s="813">
        <f>IF(H7='Acquisition &amp; Sales'!$D$70,'Acquisition &amp; Sales'!$F$68*(1-'Acquisition &amp; Sales'!$D$69),0)</f>
        <v>0</v>
      </c>
      <c r="I328" s="813">
        <f>IF(I7='Acquisition &amp; Sales'!$D$70,'Acquisition &amp; Sales'!$F$68*(1-'Acquisition &amp; Sales'!$D$69),0)</f>
        <v>0</v>
      </c>
      <c r="J328" s="813">
        <f>IF(J7='Acquisition &amp; Sales'!$D$70,'Acquisition &amp; Sales'!$F$68*(1-'Acquisition &amp; Sales'!$D$69),0)</f>
        <v>0</v>
      </c>
      <c r="K328" s="813">
        <f>IF(K7='Acquisition &amp; Sales'!$D$70,'Acquisition &amp; Sales'!$F$68*(1-'Acquisition &amp; Sales'!$D$69),0)</f>
        <v>0</v>
      </c>
      <c r="L328" s="813">
        <f>IF(L7='Acquisition &amp; Sales'!$D$70,'Acquisition &amp; Sales'!$F$68*(1-'Acquisition &amp; Sales'!$D$69),0)</f>
        <v>0</v>
      </c>
      <c r="M328" s="813">
        <f>IF(M7='Acquisition &amp; Sales'!$D$70,'Acquisition &amp; Sales'!$F$68*(1-'Acquisition &amp; Sales'!$D$69),0)</f>
        <v>0</v>
      </c>
      <c r="N328" s="813">
        <f>IF(N7='Acquisition &amp; Sales'!$D$70,'Acquisition &amp; Sales'!$F$68*(1-'Acquisition &amp; Sales'!$D$69),0)</f>
        <v>0</v>
      </c>
      <c r="O328" s="813">
        <f>IF(O7='Acquisition &amp; Sales'!$D$70,'Acquisition &amp; Sales'!$F$68*(1-'Acquisition &amp; Sales'!$D$69),0)</f>
        <v>0</v>
      </c>
      <c r="P328" s="813">
        <f>IF(P7='Acquisition &amp; Sales'!$D$70,'Acquisition &amp; Sales'!$F$68*(1-'Acquisition &amp; Sales'!$D$69),0)</f>
        <v>0</v>
      </c>
      <c r="Q328" s="813">
        <f>IF(Q7='Acquisition &amp; Sales'!$D$70,'Acquisition &amp; Sales'!$F$68*(1-'Acquisition &amp; Sales'!$D$69),0)</f>
        <v>0</v>
      </c>
      <c r="R328" s="813">
        <f>IF(R7='Acquisition &amp; Sales'!$D$70,'Acquisition &amp; Sales'!$F$68*(1-'Acquisition &amp; Sales'!$D$69),0)</f>
        <v>0</v>
      </c>
      <c r="S328" s="813">
        <f>IF(S7='Acquisition &amp; Sales'!$D$70,'Acquisition &amp; Sales'!$F$68*(1-'Acquisition &amp; Sales'!$D$69),0)</f>
        <v>0</v>
      </c>
      <c r="T328" s="813">
        <f>IF(T7='Acquisition &amp; Sales'!$D$70,'Acquisition &amp; Sales'!$F$68*(1-'Acquisition &amp; Sales'!$D$69),0)</f>
        <v>0</v>
      </c>
      <c r="U328" s="813">
        <f>IF(U7='Acquisition &amp; Sales'!$D$70,'Acquisition &amp; Sales'!$F$68*(1-'Acquisition &amp; Sales'!$D$69),0)</f>
        <v>0</v>
      </c>
      <c r="V328" s="813">
        <f>IF(V7='Acquisition &amp; Sales'!$D$70,'Acquisition &amp; Sales'!$F$68*(1-'Acquisition &amp; Sales'!$D$69),0)</f>
        <v>0</v>
      </c>
      <c r="W328" s="813">
        <f>IF(W7='Acquisition &amp; Sales'!$D$70,'Acquisition &amp; Sales'!$F$68*(1-'Acquisition &amp; Sales'!$D$69),0)</f>
        <v>0</v>
      </c>
      <c r="X328" s="813">
        <f>IF(X7='Acquisition &amp; Sales'!$D$70,'Acquisition &amp; Sales'!$F$68*(1-'Acquisition &amp; Sales'!$D$69),0)</f>
        <v>0</v>
      </c>
      <c r="Y328" s="813">
        <f>IF(Y7='Acquisition &amp; Sales'!$D$70,'Acquisition &amp; Sales'!$F$68*(1-'Acquisition &amp; Sales'!$D$69),0)</f>
        <v>0</v>
      </c>
      <c r="Z328" s="813">
        <f>IF(Z7='Acquisition &amp; Sales'!$D$70,'Acquisition &amp; Sales'!$F$68*(1-'Acquisition &amp; Sales'!$D$69),0)</f>
        <v>0</v>
      </c>
    </row>
    <row r="329" spans="2:26" s="817" customFormat="1">
      <c r="B329" s="546" t="s">
        <v>318</v>
      </c>
      <c r="C329" s="837"/>
      <c r="D329" s="837"/>
      <c r="E329" s="837"/>
      <c r="F329" s="39">
        <f t="shared" ref="F329:Z329" si="175">+F273+F227+F156</f>
        <v>0</v>
      </c>
      <c r="G329" s="39">
        <f t="shared" si="175"/>
        <v>0</v>
      </c>
      <c r="H329" s="39">
        <f t="shared" si="175"/>
        <v>0</v>
      </c>
      <c r="I329" s="39">
        <f t="shared" si="175"/>
        <v>0</v>
      </c>
      <c r="J329" s="39">
        <f t="shared" si="175"/>
        <v>0</v>
      </c>
      <c r="K329" s="39">
        <f t="shared" si="175"/>
        <v>0</v>
      </c>
      <c r="L329" s="39">
        <f t="shared" si="175"/>
        <v>0</v>
      </c>
      <c r="M329" s="39">
        <f t="shared" si="175"/>
        <v>0</v>
      </c>
      <c r="N329" s="39">
        <f t="shared" ca="1" si="175"/>
        <v>168079914.43330154</v>
      </c>
      <c r="O329" s="39">
        <f t="shared" si="175"/>
        <v>0</v>
      </c>
      <c r="P329" s="39">
        <f t="shared" si="175"/>
        <v>0</v>
      </c>
      <c r="Q329" s="39">
        <f t="shared" si="175"/>
        <v>0</v>
      </c>
      <c r="R329" s="39">
        <f t="shared" si="175"/>
        <v>0</v>
      </c>
      <c r="S329" s="39">
        <f t="shared" si="175"/>
        <v>0</v>
      </c>
      <c r="T329" s="39">
        <f t="shared" si="175"/>
        <v>0</v>
      </c>
      <c r="U329" s="39">
        <f t="shared" si="175"/>
        <v>0</v>
      </c>
      <c r="V329" s="39">
        <f t="shared" si="175"/>
        <v>0</v>
      </c>
      <c r="W329" s="39">
        <f t="shared" si="175"/>
        <v>0</v>
      </c>
      <c r="X329" s="39">
        <f t="shared" si="175"/>
        <v>0</v>
      </c>
      <c r="Y329" s="39">
        <f t="shared" si="175"/>
        <v>0</v>
      </c>
      <c r="Z329" s="39">
        <f t="shared" si="175"/>
        <v>0</v>
      </c>
    </row>
    <row r="330" spans="2:26">
      <c r="B330" s="33" t="s">
        <v>319</v>
      </c>
      <c r="F330" s="151">
        <f t="shared" ref="F330:Z330" si="176">+F274+F228+F158</f>
        <v>0</v>
      </c>
      <c r="G330" s="151">
        <f t="shared" si="176"/>
        <v>0</v>
      </c>
      <c r="H330" s="151">
        <f t="shared" si="176"/>
        <v>0</v>
      </c>
      <c r="I330" s="151">
        <f t="shared" si="176"/>
        <v>0</v>
      </c>
      <c r="J330" s="151">
        <f t="shared" si="176"/>
        <v>0</v>
      </c>
      <c r="K330" s="151">
        <f t="shared" si="176"/>
        <v>0</v>
      </c>
      <c r="L330" s="151">
        <f t="shared" si="176"/>
        <v>0</v>
      </c>
      <c r="M330" s="151">
        <f t="shared" si="176"/>
        <v>0</v>
      </c>
      <c r="N330" s="151">
        <f t="shared" ca="1" si="176"/>
        <v>-3361598.2886660309</v>
      </c>
      <c r="O330" s="151">
        <f t="shared" si="176"/>
        <v>0</v>
      </c>
      <c r="P330" s="151">
        <f t="shared" si="176"/>
        <v>0</v>
      </c>
      <c r="Q330" s="151">
        <f t="shared" si="176"/>
        <v>0</v>
      </c>
      <c r="R330" s="151">
        <f t="shared" si="176"/>
        <v>0</v>
      </c>
      <c r="S330" s="151">
        <f t="shared" si="176"/>
        <v>0</v>
      </c>
      <c r="T330" s="151">
        <f t="shared" si="176"/>
        <v>0</v>
      </c>
      <c r="U330" s="151">
        <f t="shared" si="176"/>
        <v>0</v>
      </c>
      <c r="V330" s="151">
        <f t="shared" si="176"/>
        <v>0</v>
      </c>
      <c r="W330" s="151">
        <f t="shared" si="176"/>
        <v>0</v>
      </c>
      <c r="X330" s="151">
        <f t="shared" si="176"/>
        <v>0</v>
      </c>
      <c r="Y330" s="151">
        <f t="shared" si="176"/>
        <v>0</v>
      </c>
      <c r="Z330" s="151">
        <f t="shared" si="176"/>
        <v>0</v>
      </c>
    </row>
    <row r="331" spans="2:26" ht="15.5">
      <c r="B331" s="138" t="s">
        <v>321</v>
      </c>
      <c r="C331" s="138"/>
      <c r="D331" s="139"/>
      <c r="E331" s="139"/>
      <c r="F331" s="139">
        <f t="shared" ref="F331:G331" si="177">+SUM(F328:F330)</f>
        <v>0</v>
      </c>
      <c r="G331" s="139">
        <f t="shared" si="177"/>
        <v>65237394.974527918</v>
      </c>
      <c r="H331" s="139">
        <f>+SUM(H328:H330)</f>
        <v>0</v>
      </c>
      <c r="I331" s="139">
        <f t="shared" ref="I331:Z331" si="178">+SUM(I328:I330)</f>
        <v>0</v>
      </c>
      <c r="J331" s="139">
        <f t="shared" si="178"/>
        <v>0</v>
      </c>
      <c r="K331" s="139">
        <f t="shared" si="178"/>
        <v>0</v>
      </c>
      <c r="L331" s="139">
        <f t="shared" si="178"/>
        <v>0</v>
      </c>
      <c r="M331" s="139">
        <f t="shared" si="178"/>
        <v>0</v>
      </c>
      <c r="N331" s="139">
        <f t="shared" ca="1" si="178"/>
        <v>164718316.1446355</v>
      </c>
      <c r="O331" s="139">
        <f t="shared" si="178"/>
        <v>0</v>
      </c>
      <c r="P331" s="139">
        <f t="shared" si="178"/>
        <v>0</v>
      </c>
      <c r="Q331" s="139">
        <f t="shared" si="178"/>
        <v>0</v>
      </c>
      <c r="R331" s="139">
        <f t="shared" si="178"/>
        <v>0</v>
      </c>
      <c r="S331" s="139">
        <f t="shared" si="178"/>
        <v>0</v>
      </c>
      <c r="T331" s="139">
        <f t="shared" si="178"/>
        <v>0</v>
      </c>
      <c r="U331" s="139">
        <f t="shared" si="178"/>
        <v>0</v>
      </c>
      <c r="V331" s="139">
        <f t="shared" si="178"/>
        <v>0</v>
      </c>
      <c r="W331" s="139">
        <f t="shared" si="178"/>
        <v>0</v>
      </c>
      <c r="X331" s="139">
        <f t="shared" si="178"/>
        <v>0</v>
      </c>
      <c r="Y331" s="139">
        <f t="shared" si="178"/>
        <v>0</v>
      </c>
      <c r="Z331" s="139">
        <f t="shared" si="178"/>
        <v>0</v>
      </c>
    </row>
    <row r="333" spans="2:26" ht="15.5">
      <c r="B333" s="148" t="s">
        <v>374</v>
      </c>
      <c r="F333" s="150">
        <f t="shared" ref="F333:Z333" si="179">+F$297</f>
        <v>45291</v>
      </c>
      <c r="G333" s="150">
        <f t="shared" si="179"/>
        <v>45657</v>
      </c>
      <c r="H333" s="150">
        <f t="shared" si="179"/>
        <v>46022</v>
      </c>
      <c r="I333" s="150">
        <f t="shared" si="179"/>
        <v>46387</v>
      </c>
      <c r="J333" s="150">
        <f t="shared" si="179"/>
        <v>46752</v>
      </c>
      <c r="K333" s="150">
        <f t="shared" si="179"/>
        <v>47118</v>
      </c>
      <c r="L333" s="150">
        <f t="shared" si="179"/>
        <v>47483</v>
      </c>
      <c r="M333" s="150">
        <f t="shared" si="179"/>
        <v>47848</v>
      </c>
      <c r="N333" s="150">
        <f t="shared" si="179"/>
        <v>48213</v>
      </c>
      <c r="O333" s="150">
        <f t="shared" si="179"/>
        <v>48579</v>
      </c>
      <c r="P333" s="150">
        <f t="shared" si="179"/>
        <v>48944</v>
      </c>
      <c r="Q333" s="150">
        <f t="shared" si="179"/>
        <v>49309</v>
      </c>
      <c r="R333" s="150">
        <f t="shared" si="179"/>
        <v>49674</v>
      </c>
      <c r="S333" s="150">
        <f t="shared" si="179"/>
        <v>50040</v>
      </c>
      <c r="T333" s="150">
        <f t="shared" si="179"/>
        <v>50405</v>
      </c>
      <c r="U333" s="150">
        <f t="shared" si="179"/>
        <v>50770</v>
      </c>
      <c r="V333" s="150">
        <f t="shared" si="179"/>
        <v>51135</v>
      </c>
      <c r="W333" s="150">
        <f t="shared" si="179"/>
        <v>51501</v>
      </c>
      <c r="X333" s="150">
        <f t="shared" si="179"/>
        <v>51866</v>
      </c>
      <c r="Y333" s="150">
        <f t="shared" si="179"/>
        <v>52231</v>
      </c>
      <c r="Z333" s="150">
        <f t="shared" si="179"/>
        <v>52596</v>
      </c>
    </row>
    <row r="334" spans="2:26" ht="15.5">
      <c r="B334" s="33" t="s">
        <v>60</v>
      </c>
      <c r="D334" s="48">
        <f>+SUM(F334:Z334)</f>
        <v>81611947</v>
      </c>
      <c r="E334" s="48"/>
      <c r="F334" s="34">
        <f t="shared" ref="F334:Z334" si="180">+F288</f>
        <v>81611947</v>
      </c>
      <c r="G334" s="34">
        <f t="shared" si="180"/>
        <v>0</v>
      </c>
      <c r="H334" s="34">
        <f t="shared" si="180"/>
        <v>0</v>
      </c>
      <c r="I334" s="34">
        <f t="shared" si="180"/>
        <v>0</v>
      </c>
      <c r="J334" s="34">
        <f t="shared" si="180"/>
        <v>0</v>
      </c>
      <c r="K334" s="34">
        <f t="shared" si="180"/>
        <v>0</v>
      </c>
      <c r="L334" s="34">
        <f t="shared" si="180"/>
        <v>0</v>
      </c>
      <c r="M334" s="34">
        <f t="shared" si="180"/>
        <v>0</v>
      </c>
      <c r="N334" s="34">
        <f t="shared" si="180"/>
        <v>0</v>
      </c>
      <c r="O334" s="34">
        <f t="shared" si="180"/>
        <v>0</v>
      </c>
      <c r="P334" s="34">
        <f t="shared" si="180"/>
        <v>0</v>
      </c>
      <c r="Q334" s="34">
        <f t="shared" si="180"/>
        <v>0</v>
      </c>
      <c r="R334" s="34">
        <f t="shared" si="180"/>
        <v>0</v>
      </c>
      <c r="S334" s="34">
        <f t="shared" si="180"/>
        <v>0</v>
      </c>
      <c r="T334" s="34">
        <f t="shared" si="180"/>
        <v>0</v>
      </c>
      <c r="U334" s="34">
        <f t="shared" si="180"/>
        <v>0</v>
      </c>
      <c r="V334" s="34">
        <f t="shared" si="180"/>
        <v>0</v>
      </c>
      <c r="W334" s="34">
        <f t="shared" si="180"/>
        <v>0</v>
      </c>
      <c r="X334" s="34">
        <f t="shared" si="180"/>
        <v>0</v>
      </c>
      <c r="Y334" s="34">
        <f t="shared" si="180"/>
        <v>0</v>
      </c>
      <c r="Z334" s="34">
        <f t="shared" si="180"/>
        <v>0</v>
      </c>
    </row>
    <row r="335" spans="2:26" ht="15.5">
      <c r="B335" s="33" t="s">
        <v>8</v>
      </c>
      <c r="D335" s="48">
        <f t="shared" ref="D335:D340" si="181">+SUM(F335:Z335)</f>
        <v>13924805.425531914</v>
      </c>
      <c r="E335" s="48"/>
      <c r="F335" s="151">
        <f t="shared" ref="F335:Z335" si="182">+F289</f>
        <v>13924805.425531914</v>
      </c>
      <c r="G335" s="151">
        <f t="shared" si="182"/>
        <v>0</v>
      </c>
      <c r="H335" s="151">
        <f t="shared" si="182"/>
        <v>0</v>
      </c>
      <c r="I335" s="151">
        <f t="shared" si="182"/>
        <v>0</v>
      </c>
      <c r="J335" s="151">
        <f t="shared" si="182"/>
        <v>0</v>
      </c>
      <c r="K335" s="151">
        <f t="shared" si="182"/>
        <v>0</v>
      </c>
      <c r="L335" s="151">
        <f t="shared" si="182"/>
        <v>0</v>
      </c>
      <c r="M335" s="151">
        <f t="shared" si="182"/>
        <v>0</v>
      </c>
      <c r="N335" s="151">
        <f t="shared" si="182"/>
        <v>0</v>
      </c>
      <c r="O335" s="151">
        <f t="shared" si="182"/>
        <v>0</v>
      </c>
      <c r="P335" s="151">
        <f t="shared" si="182"/>
        <v>0</v>
      </c>
      <c r="Q335" s="151">
        <f t="shared" si="182"/>
        <v>0</v>
      </c>
      <c r="R335" s="151">
        <f t="shared" si="182"/>
        <v>0</v>
      </c>
      <c r="S335" s="151">
        <f t="shared" si="182"/>
        <v>0</v>
      </c>
      <c r="T335" s="151">
        <f t="shared" si="182"/>
        <v>0</v>
      </c>
      <c r="U335" s="151">
        <f t="shared" si="182"/>
        <v>0</v>
      </c>
      <c r="V335" s="151">
        <f t="shared" si="182"/>
        <v>0</v>
      </c>
      <c r="W335" s="151">
        <f t="shared" si="182"/>
        <v>0</v>
      </c>
      <c r="X335" s="151">
        <f t="shared" si="182"/>
        <v>0</v>
      </c>
      <c r="Y335" s="151">
        <f t="shared" si="182"/>
        <v>0</v>
      </c>
      <c r="Z335" s="151">
        <f t="shared" si="182"/>
        <v>0</v>
      </c>
    </row>
    <row r="336" spans="2:26" ht="15.5">
      <c r="B336" s="33" t="s">
        <v>56</v>
      </c>
      <c r="D336" s="48">
        <f t="shared" si="181"/>
        <v>86638131.338622525</v>
      </c>
      <c r="E336" s="48"/>
      <c r="F336" s="151">
        <f t="shared" ref="F336:Z336" si="183">+F290</f>
        <v>40000</v>
      </c>
      <c r="G336" s="151">
        <f t="shared" si="183"/>
        <v>43299065.669311263</v>
      </c>
      <c r="H336" s="151">
        <f t="shared" si="183"/>
        <v>43299065.669311263</v>
      </c>
      <c r="I336" s="151">
        <f t="shared" si="183"/>
        <v>0</v>
      </c>
      <c r="J336" s="151">
        <f t="shared" si="183"/>
        <v>0</v>
      </c>
      <c r="K336" s="151">
        <f t="shared" si="183"/>
        <v>0</v>
      </c>
      <c r="L336" s="151">
        <f t="shared" si="183"/>
        <v>0</v>
      </c>
      <c r="M336" s="151">
        <f t="shared" si="183"/>
        <v>0</v>
      </c>
      <c r="N336" s="151">
        <f t="shared" si="183"/>
        <v>0</v>
      </c>
      <c r="O336" s="151">
        <f t="shared" si="183"/>
        <v>0</v>
      </c>
      <c r="P336" s="151">
        <f t="shared" si="183"/>
        <v>0</v>
      </c>
      <c r="Q336" s="151">
        <f t="shared" si="183"/>
        <v>0</v>
      </c>
      <c r="R336" s="151">
        <f t="shared" si="183"/>
        <v>0</v>
      </c>
      <c r="S336" s="151">
        <f t="shared" si="183"/>
        <v>0</v>
      </c>
      <c r="T336" s="151">
        <f t="shared" si="183"/>
        <v>0</v>
      </c>
      <c r="U336" s="151">
        <f t="shared" si="183"/>
        <v>0</v>
      </c>
      <c r="V336" s="151">
        <f t="shared" si="183"/>
        <v>0</v>
      </c>
      <c r="W336" s="151">
        <f t="shared" si="183"/>
        <v>0</v>
      </c>
      <c r="X336" s="151">
        <f t="shared" si="183"/>
        <v>0</v>
      </c>
      <c r="Y336" s="151">
        <f t="shared" si="183"/>
        <v>0</v>
      </c>
      <c r="Z336" s="151">
        <f t="shared" si="183"/>
        <v>0</v>
      </c>
    </row>
    <row r="337" spans="2:26" ht="15.5">
      <c r="B337" s="33" t="s">
        <v>57</v>
      </c>
      <c r="D337" s="48">
        <f t="shared" si="181"/>
        <v>12453546.08706864</v>
      </c>
      <c r="E337" s="48"/>
      <c r="F337" s="151">
        <f t="shared" ref="F337:Z337" si="184">+F291</f>
        <v>4473480.1146556279</v>
      </c>
      <c r="G337" s="151">
        <f t="shared" si="184"/>
        <v>3990032.9862065059</v>
      </c>
      <c r="H337" s="151">
        <f t="shared" si="184"/>
        <v>3990032.9862065059</v>
      </c>
      <c r="I337" s="151">
        <f t="shared" si="184"/>
        <v>0</v>
      </c>
      <c r="J337" s="151">
        <f t="shared" si="184"/>
        <v>0</v>
      </c>
      <c r="K337" s="151">
        <f t="shared" si="184"/>
        <v>0</v>
      </c>
      <c r="L337" s="151">
        <f t="shared" si="184"/>
        <v>0</v>
      </c>
      <c r="M337" s="151">
        <f t="shared" si="184"/>
        <v>0</v>
      </c>
      <c r="N337" s="151">
        <f t="shared" si="184"/>
        <v>0</v>
      </c>
      <c r="O337" s="151">
        <f t="shared" si="184"/>
        <v>0</v>
      </c>
      <c r="P337" s="151">
        <f t="shared" si="184"/>
        <v>0</v>
      </c>
      <c r="Q337" s="151">
        <f t="shared" si="184"/>
        <v>0</v>
      </c>
      <c r="R337" s="151">
        <f t="shared" si="184"/>
        <v>0</v>
      </c>
      <c r="S337" s="151">
        <f t="shared" si="184"/>
        <v>0</v>
      </c>
      <c r="T337" s="151">
        <f t="shared" si="184"/>
        <v>0</v>
      </c>
      <c r="U337" s="151">
        <f t="shared" si="184"/>
        <v>0</v>
      </c>
      <c r="V337" s="151">
        <f t="shared" si="184"/>
        <v>0</v>
      </c>
      <c r="W337" s="151">
        <f t="shared" si="184"/>
        <v>0</v>
      </c>
      <c r="X337" s="151">
        <f t="shared" si="184"/>
        <v>0</v>
      </c>
      <c r="Y337" s="151">
        <f t="shared" si="184"/>
        <v>0</v>
      </c>
      <c r="Z337" s="151">
        <f t="shared" si="184"/>
        <v>0</v>
      </c>
    </row>
    <row r="338" spans="2:26" ht="15.5">
      <c r="B338" s="33" t="s">
        <v>79</v>
      </c>
      <c r="D338" s="48">
        <f t="shared" si="181"/>
        <v>0</v>
      </c>
      <c r="E338" s="48"/>
      <c r="F338" s="151">
        <v>0</v>
      </c>
      <c r="G338" s="151">
        <v>0</v>
      </c>
      <c r="H338" s="151">
        <v>0</v>
      </c>
      <c r="I338" s="151">
        <v>0</v>
      </c>
      <c r="J338" s="151">
        <v>0</v>
      </c>
      <c r="K338" s="151">
        <v>0</v>
      </c>
      <c r="L338" s="151">
        <v>0</v>
      </c>
      <c r="M338" s="151">
        <v>0</v>
      </c>
      <c r="N338" s="151">
        <v>0</v>
      </c>
      <c r="O338" s="151">
        <v>0</v>
      </c>
      <c r="P338" s="151">
        <v>0</v>
      </c>
      <c r="Q338" s="151">
        <v>0</v>
      </c>
      <c r="R338" s="151">
        <v>0</v>
      </c>
      <c r="S338" s="151">
        <v>0</v>
      </c>
      <c r="T338" s="151">
        <v>0</v>
      </c>
      <c r="U338" s="151">
        <v>0</v>
      </c>
      <c r="V338" s="151">
        <v>0</v>
      </c>
      <c r="W338" s="151">
        <v>0</v>
      </c>
      <c r="X338" s="151">
        <v>0</v>
      </c>
      <c r="Y338" s="151">
        <v>0</v>
      </c>
      <c r="Z338" s="151">
        <v>0</v>
      </c>
    </row>
    <row r="339" spans="2:26" ht="15.5">
      <c r="B339" s="33" t="s">
        <v>82</v>
      </c>
      <c r="D339" s="48">
        <f t="shared" si="181"/>
        <v>255489.46132555051</v>
      </c>
      <c r="E339" s="48"/>
      <c r="F339" s="151">
        <f t="shared" ref="F339:Z339" si="185">+F293</f>
        <v>0</v>
      </c>
      <c r="G339" s="151">
        <f t="shared" si="185"/>
        <v>127744.73066277526</v>
      </c>
      <c r="H339" s="151">
        <f t="shared" si="185"/>
        <v>127744.73066277526</v>
      </c>
      <c r="I339" s="151">
        <f t="shared" si="185"/>
        <v>0</v>
      </c>
      <c r="J339" s="151">
        <f t="shared" si="185"/>
        <v>0</v>
      </c>
      <c r="K339" s="151">
        <f t="shared" si="185"/>
        <v>0</v>
      </c>
      <c r="L339" s="151">
        <f t="shared" si="185"/>
        <v>0</v>
      </c>
      <c r="M339" s="151">
        <f t="shared" si="185"/>
        <v>0</v>
      </c>
      <c r="N339" s="151">
        <f t="shared" si="185"/>
        <v>0</v>
      </c>
      <c r="O339" s="151">
        <f t="shared" si="185"/>
        <v>0</v>
      </c>
      <c r="P339" s="151">
        <f t="shared" si="185"/>
        <v>0</v>
      </c>
      <c r="Q339" s="151">
        <f t="shared" si="185"/>
        <v>0</v>
      </c>
      <c r="R339" s="151">
        <f t="shared" si="185"/>
        <v>0</v>
      </c>
      <c r="S339" s="151">
        <f t="shared" si="185"/>
        <v>0</v>
      </c>
      <c r="T339" s="151">
        <f t="shared" si="185"/>
        <v>0</v>
      </c>
      <c r="U339" s="151">
        <f t="shared" si="185"/>
        <v>0</v>
      </c>
      <c r="V339" s="151">
        <f t="shared" si="185"/>
        <v>0</v>
      </c>
      <c r="W339" s="151">
        <f t="shared" si="185"/>
        <v>0</v>
      </c>
      <c r="X339" s="151">
        <f t="shared" si="185"/>
        <v>0</v>
      </c>
      <c r="Y339" s="151">
        <f t="shared" si="185"/>
        <v>0</v>
      </c>
      <c r="Z339" s="151">
        <f t="shared" si="185"/>
        <v>0</v>
      </c>
    </row>
    <row r="340" spans="2:26" ht="15.5">
      <c r="B340" s="33" t="s">
        <v>59</v>
      </c>
      <c r="D340" s="48">
        <f t="shared" si="181"/>
        <v>3398159.169376459</v>
      </c>
      <c r="E340" s="48"/>
      <c r="F340" s="151">
        <f t="shared" ref="F340:Z340" si="186">+F294</f>
        <v>101944.77508129374</v>
      </c>
      <c r="G340" s="151">
        <f t="shared" si="186"/>
        <v>824053.59857379121</v>
      </c>
      <c r="H340" s="151">
        <f t="shared" si="186"/>
        <v>824053.59857379121</v>
      </c>
      <c r="I340" s="151">
        <f t="shared" si="186"/>
        <v>824053.59857379121</v>
      </c>
      <c r="J340" s="151">
        <f t="shared" si="186"/>
        <v>824053.59857379121</v>
      </c>
      <c r="K340" s="151">
        <f t="shared" si="186"/>
        <v>0</v>
      </c>
      <c r="L340" s="151">
        <f t="shared" si="186"/>
        <v>0</v>
      </c>
      <c r="M340" s="151">
        <f t="shared" si="186"/>
        <v>0</v>
      </c>
      <c r="N340" s="151">
        <f t="shared" si="186"/>
        <v>0</v>
      </c>
      <c r="O340" s="151">
        <f t="shared" si="186"/>
        <v>0</v>
      </c>
      <c r="P340" s="151">
        <f t="shared" si="186"/>
        <v>0</v>
      </c>
      <c r="Q340" s="151">
        <f t="shared" si="186"/>
        <v>0</v>
      </c>
      <c r="R340" s="151">
        <f t="shared" si="186"/>
        <v>0</v>
      </c>
      <c r="S340" s="151">
        <f t="shared" si="186"/>
        <v>0</v>
      </c>
      <c r="T340" s="151">
        <f t="shared" si="186"/>
        <v>0</v>
      </c>
      <c r="U340" s="151">
        <f t="shared" si="186"/>
        <v>0</v>
      </c>
      <c r="V340" s="151">
        <f t="shared" si="186"/>
        <v>0</v>
      </c>
      <c r="W340" s="151">
        <f t="shared" si="186"/>
        <v>0</v>
      </c>
      <c r="X340" s="151">
        <f t="shared" si="186"/>
        <v>0</v>
      </c>
      <c r="Y340" s="151">
        <f t="shared" si="186"/>
        <v>0</v>
      </c>
      <c r="Z340" s="151">
        <f t="shared" si="186"/>
        <v>0</v>
      </c>
    </row>
    <row r="341" spans="2:26" ht="15.5">
      <c r="B341" s="138" t="s">
        <v>20</v>
      </c>
      <c r="C341" s="138"/>
      <c r="D341" s="139">
        <f>+SUM(F341:Z341)</f>
        <v>198282078.48192513</v>
      </c>
      <c r="E341" s="139"/>
      <c r="F341" s="139">
        <f>+SUM(F334:F340)</f>
        <v>100152177.31526883</v>
      </c>
      <c r="G341" s="139">
        <f t="shared" ref="G341:Z341" si="187">+SUM(G334:G340)</f>
        <v>48240896.984754339</v>
      </c>
      <c r="H341" s="139">
        <f>+SUM(H334:H340)</f>
        <v>48240896.984754339</v>
      </c>
      <c r="I341" s="139">
        <f t="shared" si="187"/>
        <v>824053.59857379121</v>
      </c>
      <c r="J341" s="139">
        <f t="shared" si="187"/>
        <v>824053.59857379121</v>
      </c>
      <c r="K341" s="139">
        <f t="shared" si="187"/>
        <v>0</v>
      </c>
      <c r="L341" s="139">
        <f t="shared" si="187"/>
        <v>0</v>
      </c>
      <c r="M341" s="139">
        <f t="shared" si="187"/>
        <v>0</v>
      </c>
      <c r="N341" s="139">
        <f t="shared" si="187"/>
        <v>0</v>
      </c>
      <c r="O341" s="139">
        <f t="shared" si="187"/>
        <v>0</v>
      </c>
      <c r="P341" s="139">
        <f t="shared" si="187"/>
        <v>0</v>
      </c>
      <c r="Q341" s="139">
        <f t="shared" si="187"/>
        <v>0</v>
      </c>
      <c r="R341" s="139">
        <f t="shared" si="187"/>
        <v>0</v>
      </c>
      <c r="S341" s="139">
        <f t="shared" si="187"/>
        <v>0</v>
      </c>
      <c r="T341" s="139">
        <f t="shared" si="187"/>
        <v>0</v>
      </c>
      <c r="U341" s="139">
        <f t="shared" si="187"/>
        <v>0</v>
      </c>
      <c r="V341" s="139">
        <f t="shared" si="187"/>
        <v>0</v>
      </c>
      <c r="W341" s="139">
        <f t="shared" si="187"/>
        <v>0</v>
      </c>
      <c r="X341" s="139">
        <f t="shared" si="187"/>
        <v>0</v>
      </c>
      <c r="Y341" s="139">
        <f t="shared" si="187"/>
        <v>0</v>
      </c>
      <c r="Z341" s="139">
        <f t="shared" si="187"/>
        <v>0</v>
      </c>
    </row>
    <row r="343" spans="2:26" ht="15.5">
      <c r="B343" s="148" t="s">
        <v>329</v>
      </c>
      <c r="F343" s="150">
        <f>+Assumptions!$G$22</f>
        <v>45291</v>
      </c>
      <c r="G343" s="150">
        <f>+EOMONTH(F343,12)</f>
        <v>45657</v>
      </c>
      <c r="H343" s="150">
        <f t="shared" ref="H343:Z343" si="188">+EOMONTH(G343,12)</f>
        <v>46022</v>
      </c>
      <c r="I343" s="150">
        <f t="shared" si="188"/>
        <v>46387</v>
      </c>
      <c r="J343" s="150">
        <f t="shared" si="188"/>
        <v>46752</v>
      </c>
      <c r="K343" s="150">
        <f t="shared" si="188"/>
        <v>47118</v>
      </c>
      <c r="L343" s="150">
        <f t="shared" si="188"/>
        <v>47483</v>
      </c>
      <c r="M343" s="150">
        <f t="shared" si="188"/>
        <v>47848</v>
      </c>
      <c r="N343" s="150">
        <f t="shared" si="188"/>
        <v>48213</v>
      </c>
      <c r="O343" s="150">
        <f t="shared" si="188"/>
        <v>48579</v>
      </c>
      <c r="P343" s="150">
        <f t="shared" si="188"/>
        <v>48944</v>
      </c>
      <c r="Q343" s="150">
        <f t="shared" si="188"/>
        <v>49309</v>
      </c>
      <c r="R343" s="150">
        <f t="shared" si="188"/>
        <v>49674</v>
      </c>
      <c r="S343" s="150">
        <f t="shared" si="188"/>
        <v>50040</v>
      </c>
      <c r="T343" s="150">
        <f t="shared" si="188"/>
        <v>50405</v>
      </c>
      <c r="U343" s="150">
        <f t="shared" si="188"/>
        <v>50770</v>
      </c>
      <c r="V343" s="150">
        <f t="shared" si="188"/>
        <v>51135</v>
      </c>
      <c r="W343" s="150">
        <f t="shared" si="188"/>
        <v>51501</v>
      </c>
      <c r="X343" s="150">
        <f t="shared" si="188"/>
        <v>51866</v>
      </c>
      <c r="Y343" s="150">
        <f t="shared" si="188"/>
        <v>52231</v>
      </c>
      <c r="Z343" s="150">
        <f t="shared" si="188"/>
        <v>52596</v>
      </c>
    </row>
    <row r="344" spans="2:26" ht="15.5">
      <c r="B344" s="33" t="s">
        <v>29</v>
      </c>
      <c r="D344" s="48">
        <f ca="1">+D341-SUM(D299:D301,D304)</f>
        <v>149769658.83677346</v>
      </c>
      <c r="E344" s="48"/>
      <c r="F344" s="34">
        <f ca="1">+MIN($D$344-SUM('Phase II Pro Forma'!$E344:E344),'Phase II Pro Forma'!F$341)</f>
        <v>100152177.31526883</v>
      </c>
      <c r="G344" s="34">
        <f ca="1">+MIN($D$344-SUM('Phase II Pro Forma'!$E344:F344),'Phase II Pro Forma'!G$341)</f>
        <v>48240896.984754339</v>
      </c>
      <c r="H344" s="34">
        <f ca="1">+MIN($D$344-SUM('Phase II Pro Forma'!$E344:G344),'Phase II Pro Forma'!H$341)</f>
        <v>1376584.5367502868</v>
      </c>
      <c r="I344" s="34">
        <f ca="1">+MIN($D$344-SUM('Phase II Pro Forma'!$E344:H344),'Phase II Pro Forma'!I$341)</f>
        <v>0</v>
      </c>
      <c r="J344" s="34">
        <f ca="1">+MIN($D$344-SUM('Phase II Pro Forma'!$E344:I344),'Phase II Pro Forma'!J$341)</f>
        <v>0</v>
      </c>
      <c r="K344" s="34">
        <f ca="1">+MIN($D$344-SUM('Phase II Pro Forma'!$E344:J344),'Phase II Pro Forma'!K$341)</f>
        <v>0</v>
      </c>
      <c r="L344" s="34">
        <f ca="1">+MIN($D$344-SUM('Phase II Pro Forma'!$E344:K344),'Phase II Pro Forma'!L$341)</f>
        <v>0</v>
      </c>
      <c r="M344" s="34">
        <f ca="1">+MIN($D$344-SUM('Phase II Pro Forma'!$E344:L344),'Phase II Pro Forma'!M$341)</f>
        <v>0</v>
      </c>
      <c r="N344" s="34">
        <f ca="1">+MIN($D$344-SUM('Phase II Pro Forma'!$E344:M344),'Phase II Pro Forma'!N$341)</f>
        <v>0</v>
      </c>
      <c r="O344" s="34">
        <f ca="1">+MIN($D$344-SUM('Phase II Pro Forma'!$E344:N344),'Phase II Pro Forma'!O$341)</f>
        <v>0</v>
      </c>
      <c r="P344" s="34">
        <f ca="1">+MIN($D$344-SUM('Phase II Pro Forma'!$E344:O344),'Phase II Pro Forma'!P$341)</f>
        <v>0</v>
      </c>
      <c r="Q344" s="34">
        <f ca="1">+MIN($D$344-SUM('Phase II Pro Forma'!$E344:P344),'Phase II Pro Forma'!Q$341)</f>
        <v>0</v>
      </c>
      <c r="R344" s="34">
        <f ca="1">+MIN($D$344-SUM('Phase II Pro Forma'!$E344:Q344),'Phase II Pro Forma'!R$341)</f>
        <v>0</v>
      </c>
      <c r="S344" s="34">
        <f ca="1">+MIN($D$344-SUM('Phase II Pro Forma'!$E344:R344),'Phase II Pro Forma'!S$341)</f>
        <v>0</v>
      </c>
      <c r="T344" s="34">
        <f ca="1">+MIN($D$344-SUM('Phase II Pro Forma'!$E344:S344),'Phase II Pro Forma'!T$341)</f>
        <v>0</v>
      </c>
      <c r="U344" s="34">
        <f ca="1">+MIN($D$344-SUM('Phase II Pro Forma'!$E344:T344),'Phase II Pro Forma'!U$341)</f>
        <v>0</v>
      </c>
      <c r="V344" s="34">
        <f ca="1">+MIN($D$344-SUM('Phase II Pro Forma'!$E344:U344),'Phase II Pro Forma'!V$341)</f>
        <v>0</v>
      </c>
      <c r="W344" s="34">
        <f ca="1">+MIN($D$344-SUM('Phase II Pro Forma'!$E344:V344),'Phase II Pro Forma'!W$341)</f>
        <v>0</v>
      </c>
      <c r="X344" s="34">
        <f ca="1">+MIN($D$344-SUM('Phase II Pro Forma'!$E344:W344),'Phase II Pro Forma'!X$341)</f>
        <v>0</v>
      </c>
      <c r="Y344" s="34">
        <f ca="1">+MIN($D$344-SUM('Phase II Pro Forma'!$E344:X344),'Phase II Pro Forma'!Y$341)</f>
        <v>0</v>
      </c>
      <c r="Z344" s="34">
        <f ca="1">+MIN($D$344-SUM('Phase II Pro Forma'!$E344:Y344),'Phase II Pro Forma'!Z$341)</f>
        <v>0</v>
      </c>
    </row>
    <row r="345" spans="2:26" ht="15.5">
      <c r="B345" s="33" t="s">
        <v>840</v>
      </c>
      <c r="D345" s="48">
        <f t="shared" ref="D345:D351" ca="1" si="189">+SUM(F345:Z345)</f>
        <v>0</v>
      </c>
      <c r="E345" s="48"/>
      <c r="F345" s="151">
        <f ca="1">+MIN('S&amp;U'!$I19-SUM('Phase II Pro Forma'!$E345:E345),'Phase II Pro Forma'!F$341-SUM(F$344:F344))</f>
        <v>0</v>
      </c>
      <c r="G345" s="151">
        <f ca="1">+MIN('S&amp;U'!$I19-SUM('Phase II Pro Forma'!$E345:F345),'Phase II Pro Forma'!G$341-SUM(G$344:G344))</f>
        <v>0</v>
      </c>
      <c r="H345" s="151">
        <f ca="1">+MIN('S&amp;U'!$I19-SUM('Phase II Pro Forma'!$E345:G345),'Phase II Pro Forma'!H$341-SUM(H$344:H344))</f>
        <v>0</v>
      </c>
      <c r="I345" s="151">
        <f ca="1">+MIN('S&amp;U'!$I19-SUM('Phase II Pro Forma'!$E345:H345),'Phase II Pro Forma'!I$341-SUM(I$344:I344))</f>
        <v>0</v>
      </c>
      <c r="J345" s="151">
        <f ca="1">+MIN('S&amp;U'!$I19-SUM('Phase II Pro Forma'!$E345:I345),'Phase II Pro Forma'!J$341-SUM(J$344:J344))</f>
        <v>0</v>
      </c>
      <c r="K345" s="151">
        <f ca="1">+MIN('S&amp;U'!$I19-SUM('Phase II Pro Forma'!$E345:J345),'Phase II Pro Forma'!K$341-SUM(K$344:K344))</f>
        <v>0</v>
      </c>
      <c r="L345" s="151">
        <f ca="1">+MIN('S&amp;U'!$I19-SUM('Phase II Pro Forma'!$E345:K345),'Phase II Pro Forma'!L$341-SUM(L$344:L344))</f>
        <v>0</v>
      </c>
      <c r="M345" s="151">
        <f ca="1">+MIN('S&amp;U'!$I19-SUM('Phase II Pro Forma'!$E345:L345),'Phase II Pro Forma'!M$341-SUM(M$344:M344))</f>
        <v>0</v>
      </c>
      <c r="N345" s="151">
        <f ca="1">+MIN('S&amp;U'!$I19-SUM('Phase II Pro Forma'!$E345:M345),'Phase II Pro Forma'!N$341-SUM(N$344:N344))</f>
        <v>0</v>
      </c>
      <c r="O345" s="151">
        <f ca="1">+MIN('S&amp;U'!$I19-SUM('Phase II Pro Forma'!$E345:N345),'Phase II Pro Forma'!O$341-SUM(O$344:O344))</f>
        <v>0</v>
      </c>
      <c r="P345" s="151">
        <f ca="1">+MIN('S&amp;U'!$I19-SUM('Phase II Pro Forma'!$E345:O345),'Phase II Pro Forma'!P$341-SUM(P$344:P344))</f>
        <v>0</v>
      </c>
      <c r="Q345" s="151">
        <f ca="1">+MIN('S&amp;U'!$I19-SUM('Phase II Pro Forma'!$E345:P345),'Phase II Pro Forma'!Q$341-SUM(Q$344:Q344))</f>
        <v>0</v>
      </c>
      <c r="R345" s="151">
        <f ca="1">+MIN('S&amp;U'!$I19-SUM('Phase II Pro Forma'!$E345:Q345),'Phase II Pro Forma'!R$341-SUM(R$344:R344))</f>
        <v>0</v>
      </c>
      <c r="S345" s="151">
        <f ca="1">+MIN('S&amp;U'!$I19-SUM('Phase II Pro Forma'!$E345:R345),'Phase II Pro Forma'!S$341-SUM(S$344:S344))</f>
        <v>0</v>
      </c>
      <c r="T345" s="151">
        <f ca="1">+MIN('S&amp;U'!$I19-SUM('Phase II Pro Forma'!$E345:S345),'Phase II Pro Forma'!T$341-SUM(T$344:T344))</f>
        <v>0</v>
      </c>
      <c r="U345" s="151">
        <f ca="1">+MIN('S&amp;U'!$I19-SUM('Phase II Pro Forma'!$E345:T345),'Phase II Pro Forma'!U$341-SUM(U$344:U344))</f>
        <v>0</v>
      </c>
      <c r="V345" s="151">
        <f ca="1">+MIN('S&amp;U'!$I19-SUM('Phase II Pro Forma'!$E345:U345),'Phase II Pro Forma'!V$341-SUM(V$344:V344))</f>
        <v>0</v>
      </c>
      <c r="W345" s="151">
        <f ca="1">+MIN('S&amp;U'!$I19-SUM('Phase II Pro Forma'!$E345:V345),'Phase II Pro Forma'!W$341-SUM(W$344:W344))</f>
        <v>0</v>
      </c>
      <c r="X345" s="151">
        <f ca="1">+MIN('S&amp;U'!$I19-SUM('Phase II Pro Forma'!$E345:W345),'Phase II Pro Forma'!X$341-SUM(X$344:X344))</f>
        <v>0</v>
      </c>
      <c r="Y345" s="151">
        <f ca="1">+MIN('S&amp;U'!$I19-SUM('Phase II Pro Forma'!$E345:X345),'Phase II Pro Forma'!Y$341-SUM(Y$344:Y344))</f>
        <v>0</v>
      </c>
      <c r="Z345" s="151">
        <f ca="1">+MIN('S&amp;U'!$I19-SUM('Phase II Pro Forma'!$E345:Y345),'Phase II Pro Forma'!Z$341-SUM(Z$344:Z344))</f>
        <v>0</v>
      </c>
    </row>
    <row r="346" spans="2:26" ht="15.5">
      <c r="B346" s="33" t="s">
        <v>98</v>
      </c>
      <c r="D346" s="48">
        <f t="shared" ca="1" si="189"/>
        <v>32087500</v>
      </c>
      <c r="E346" s="48"/>
      <c r="F346" s="151">
        <f ca="1">+MIN('S&amp;U'!$I20-SUM('Phase II Pro Forma'!$E346:E346),'Phase II Pro Forma'!F$341-SUM(F$344:F345))</f>
        <v>0</v>
      </c>
      <c r="G346" s="151">
        <f ca="1">+MIN('S&amp;U'!$I20-SUM('Phase II Pro Forma'!$E346:F346),'Phase II Pro Forma'!G$341-SUM(G$344:G345))</f>
        <v>0</v>
      </c>
      <c r="H346" s="151">
        <f ca="1">+MIN('S&amp;U'!$I20-SUM('Phase II Pro Forma'!$E346:G346),'Phase II Pro Forma'!H$341-SUM(H$344:H345))</f>
        <v>32087500</v>
      </c>
      <c r="I346" s="151">
        <f ca="1">+MIN('S&amp;U'!$I20-SUM('Phase II Pro Forma'!$E346:H346),'Phase II Pro Forma'!I$341-SUM(I$344:I345))</f>
        <v>0</v>
      </c>
      <c r="J346" s="151">
        <f ca="1">+MIN('S&amp;U'!$I20-SUM('Phase II Pro Forma'!$E346:I346),'Phase II Pro Forma'!J$341-SUM(J$344:J345))</f>
        <v>0</v>
      </c>
      <c r="K346" s="151">
        <f ca="1">+MIN('S&amp;U'!$I20-SUM('Phase II Pro Forma'!$E346:J346),'Phase II Pro Forma'!K$341-SUM(K$344:K345))</f>
        <v>0</v>
      </c>
      <c r="L346" s="151">
        <f ca="1">+MIN('S&amp;U'!$I20-SUM('Phase II Pro Forma'!$E346:K346),'Phase II Pro Forma'!L$341-SUM(L$344:L345))</f>
        <v>0</v>
      </c>
      <c r="M346" s="151">
        <f ca="1">+MIN('S&amp;U'!$I20-SUM('Phase II Pro Forma'!$E346:L346),'Phase II Pro Forma'!M$341-SUM(M$344:M345))</f>
        <v>0</v>
      </c>
      <c r="N346" s="151">
        <f ca="1">+MIN('S&amp;U'!$I20-SUM('Phase II Pro Forma'!$E346:M346),'Phase II Pro Forma'!N$341-SUM(N$344:N345))</f>
        <v>0</v>
      </c>
      <c r="O346" s="151">
        <f ca="1">+MIN('S&amp;U'!$I20-SUM('Phase II Pro Forma'!$E346:N346),'Phase II Pro Forma'!O$341-SUM(O$344:O345))</f>
        <v>0</v>
      </c>
      <c r="P346" s="151">
        <f ca="1">+MIN('S&amp;U'!$I20-SUM('Phase II Pro Forma'!$E346:O346),'Phase II Pro Forma'!P$341-SUM(P$344:P345))</f>
        <v>0</v>
      </c>
      <c r="Q346" s="151">
        <f ca="1">+MIN('S&amp;U'!$I20-SUM('Phase II Pro Forma'!$E346:P346),'Phase II Pro Forma'!Q$341-SUM(Q$344:Q345))</f>
        <v>0</v>
      </c>
      <c r="R346" s="151">
        <f ca="1">+MIN('S&amp;U'!$I20-SUM('Phase II Pro Forma'!$E346:Q346),'Phase II Pro Forma'!R$341-SUM(R$344:R345))</f>
        <v>0</v>
      </c>
      <c r="S346" s="151">
        <f ca="1">+MIN('S&amp;U'!$I20-SUM('Phase II Pro Forma'!$E346:R346),'Phase II Pro Forma'!S$341-SUM(S$344:S345))</f>
        <v>0</v>
      </c>
      <c r="T346" s="151">
        <f ca="1">+MIN('S&amp;U'!$I20-SUM('Phase II Pro Forma'!$E346:S346),'Phase II Pro Forma'!T$341-SUM(T$344:T345))</f>
        <v>0</v>
      </c>
      <c r="U346" s="151">
        <f ca="1">+MIN('S&amp;U'!$I20-SUM('Phase II Pro Forma'!$E346:T346),'Phase II Pro Forma'!U$341-SUM(U$344:U345))</f>
        <v>0</v>
      </c>
      <c r="V346" s="151">
        <f ca="1">+MIN('S&amp;U'!$I20-SUM('Phase II Pro Forma'!$E346:U346),'Phase II Pro Forma'!V$341-SUM(V$344:V345))</f>
        <v>0</v>
      </c>
      <c r="W346" s="151">
        <f ca="1">+MIN('S&amp;U'!$I20-SUM('Phase II Pro Forma'!$E346:V346),'Phase II Pro Forma'!W$341-SUM(W$344:W345))</f>
        <v>0</v>
      </c>
      <c r="X346" s="151">
        <f ca="1">+MIN('S&amp;U'!$I20-SUM('Phase II Pro Forma'!$E346:W346),'Phase II Pro Forma'!X$341-SUM(X$344:X345))</f>
        <v>0</v>
      </c>
      <c r="Y346" s="151">
        <f ca="1">+MIN('S&amp;U'!$I20-SUM('Phase II Pro Forma'!$E346:X346),'Phase II Pro Forma'!Y$341-SUM(Y$344:Y345))</f>
        <v>0</v>
      </c>
      <c r="Z346" s="151">
        <f ca="1">+MIN('S&amp;U'!$I20-SUM('Phase II Pro Forma'!$E346:Y346),'Phase II Pro Forma'!Z$341-SUM(Z$344:Z345))</f>
        <v>0</v>
      </c>
    </row>
    <row r="347" spans="2:26" ht="15.5">
      <c r="B347" s="33" t="s">
        <v>99</v>
      </c>
      <c r="D347" s="48">
        <f t="shared" ca="1" si="189"/>
        <v>415216.38844709995</v>
      </c>
      <c r="E347" s="48"/>
      <c r="F347" s="151">
        <f ca="1">+MIN('S&amp;U'!$I21-SUM('Phase II Pro Forma'!$E347:E347),'Phase II Pro Forma'!F$341-SUM(F$344:F346))</f>
        <v>0</v>
      </c>
      <c r="G347" s="151">
        <f ca="1">+MIN('S&amp;U'!$I21-SUM('Phase II Pro Forma'!$E347:F347),'Phase II Pro Forma'!G$341-SUM(G$344:G346))</f>
        <v>0</v>
      </c>
      <c r="H347" s="151">
        <f ca="1">+MIN('S&amp;U'!$I21-SUM('Phase II Pro Forma'!$E347:G347),'Phase II Pro Forma'!H$341-SUM(H$344:H346))</f>
        <v>415216.38844709995</v>
      </c>
      <c r="I347" s="151">
        <f ca="1">+MIN('S&amp;U'!$I21-SUM('Phase II Pro Forma'!$E347:H347),'Phase II Pro Forma'!I$341-SUM(I$344:I346))</f>
        <v>0</v>
      </c>
      <c r="J347" s="151">
        <f ca="1">+MIN('S&amp;U'!$I21-SUM('Phase II Pro Forma'!$E347:I347),'Phase II Pro Forma'!J$341-SUM(J$344:J346))</f>
        <v>0</v>
      </c>
      <c r="K347" s="151">
        <f ca="1">+MIN('S&amp;U'!$I21-SUM('Phase II Pro Forma'!$E347:J347),'Phase II Pro Forma'!K$341-SUM(K$344:K346))</f>
        <v>0</v>
      </c>
      <c r="L347" s="151">
        <f ca="1">+MIN('S&amp;U'!$I21-SUM('Phase II Pro Forma'!$E347:K347),'Phase II Pro Forma'!L$341-SUM(L$344:L346))</f>
        <v>0</v>
      </c>
      <c r="M347" s="151">
        <f ca="1">+MIN('S&amp;U'!$I21-SUM('Phase II Pro Forma'!$E347:L347),'Phase II Pro Forma'!M$341-SUM(M$344:M346))</f>
        <v>0</v>
      </c>
      <c r="N347" s="151">
        <f ca="1">+MIN('S&amp;U'!$I21-SUM('Phase II Pro Forma'!$E347:M347),'Phase II Pro Forma'!N$341-SUM(N$344:N346))</f>
        <v>0</v>
      </c>
      <c r="O347" s="151">
        <f ca="1">+MIN('S&amp;U'!$I21-SUM('Phase II Pro Forma'!$E347:N347),'Phase II Pro Forma'!O$341-SUM(O$344:O346))</f>
        <v>0</v>
      </c>
      <c r="P347" s="151">
        <f ca="1">+MIN('S&amp;U'!$I21-SUM('Phase II Pro Forma'!$E347:O347),'Phase II Pro Forma'!P$341-SUM(P$344:P346))</f>
        <v>0</v>
      </c>
      <c r="Q347" s="151">
        <f ca="1">+MIN('S&amp;U'!$I21-SUM('Phase II Pro Forma'!$E347:P347),'Phase II Pro Forma'!Q$341-SUM(Q$344:Q346))</f>
        <v>0</v>
      </c>
      <c r="R347" s="151">
        <f ca="1">+MIN('S&amp;U'!$I21-SUM('Phase II Pro Forma'!$E347:Q347),'Phase II Pro Forma'!R$341-SUM(R$344:R346))</f>
        <v>0</v>
      </c>
      <c r="S347" s="151">
        <f ca="1">+MIN('S&amp;U'!$I21-SUM('Phase II Pro Forma'!$E347:R347),'Phase II Pro Forma'!S$341-SUM(S$344:S346))</f>
        <v>0</v>
      </c>
      <c r="T347" s="151">
        <f ca="1">+MIN('S&amp;U'!$I21-SUM('Phase II Pro Forma'!$E347:S347),'Phase II Pro Forma'!T$341-SUM(T$344:T346))</f>
        <v>0</v>
      </c>
      <c r="U347" s="151">
        <f ca="1">+MIN('S&amp;U'!$I21-SUM('Phase II Pro Forma'!$E347:T347),'Phase II Pro Forma'!U$341-SUM(U$344:U346))</f>
        <v>0</v>
      </c>
      <c r="V347" s="151">
        <f ca="1">+MIN('S&amp;U'!$I21-SUM('Phase II Pro Forma'!$E347:U347),'Phase II Pro Forma'!V$341-SUM(V$344:V346))</f>
        <v>0</v>
      </c>
      <c r="W347" s="151">
        <f ca="1">+MIN('S&amp;U'!$I21-SUM('Phase II Pro Forma'!$E347:V347),'Phase II Pro Forma'!W$341-SUM(W$344:W346))</f>
        <v>0</v>
      </c>
      <c r="X347" s="151">
        <f ca="1">+MIN('S&amp;U'!$I21-SUM('Phase II Pro Forma'!$E347:W347),'Phase II Pro Forma'!X$341-SUM(X$344:X346))</f>
        <v>0</v>
      </c>
      <c r="Y347" s="151">
        <f ca="1">+MIN('S&amp;U'!$I21-SUM('Phase II Pro Forma'!$E347:X347),'Phase II Pro Forma'!Y$341-SUM(Y$344:Y346))</f>
        <v>0</v>
      </c>
      <c r="Z347" s="151">
        <f ca="1">+MIN('S&amp;U'!$I21-SUM('Phase II Pro Forma'!$E347:Y347),'Phase II Pro Forma'!Z$341-SUM(Z$344:Z346))</f>
        <v>0</v>
      </c>
    </row>
    <row r="348" spans="2:26" ht="15.5">
      <c r="B348" s="33" t="s">
        <v>564</v>
      </c>
      <c r="D348" s="48">
        <f t="shared" ref="D348" ca="1" si="190">+SUM(F348:Z348)</f>
        <v>0</v>
      </c>
      <c r="E348" s="48"/>
      <c r="F348" s="151">
        <f ca="1">+MIN('S&amp;U'!$I22-SUM('Phase II Pro Forma'!$E348:E348),'Phase II Pro Forma'!F$341-SUM(F$344:F347))</f>
        <v>0</v>
      </c>
      <c r="G348" s="151">
        <f ca="1">+MIN('S&amp;U'!$I22-SUM('Phase II Pro Forma'!$E348:F348),'Phase II Pro Forma'!G$341-SUM(G$344:G347))</f>
        <v>0</v>
      </c>
      <c r="H348" s="151">
        <f ca="1">+MIN('S&amp;U'!$I22-SUM('Phase II Pro Forma'!$E348:G348),'Phase II Pro Forma'!H$341-SUM(H$344:H347))</f>
        <v>0</v>
      </c>
      <c r="I348" s="151">
        <f ca="1">+MIN('S&amp;U'!$I22-SUM('Phase II Pro Forma'!$E348:H348),'Phase II Pro Forma'!I$341-SUM(I$344:I347))</f>
        <v>0</v>
      </c>
      <c r="J348" s="151">
        <f ca="1">+MIN('S&amp;U'!$I22-SUM('Phase II Pro Forma'!$E348:I348),'Phase II Pro Forma'!J$341-SUM(J$344:J347))</f>
        <v>0</v>
      </c>
      <c r="K348" s="151">
        <f ca="1">+MIN('S&amp;U'!$I22-SUM('Phase II Pro Forma'!$E348:J348),'Phase II Pro Forma'!K$341-SUM(K$344:K347))</f>
        <v>0</v>
      </c>
      <c r="L348" s="151">
        <f ca="1">+MIN('S&amp;U'!$I22-SUM('Phase II Pro Forma'!$E348:K348),'Phase II Pro Forma'!L$341-SUM(L$344:L347))</f>
        <v>0</v>
      </c>
      <c r="M348" s="151">
        <f ca="1">+MIN('S&amp;U'!$I22-SUM('Phase II Pro Forma'!$E348:L348),'Phase II Pro Forma'!M$341-SUM(M$344:M347))</f>
        <v>0</v>
      </c>
      <c r="N348" s="151">
        <f ca="1">+MIN('S&amp;U'!$I22-SUM('Phase II Pro Forma'!$E348:M348),'Phase II Pro Forma'!N$341-SUM(N$344:N347))</f>
        <v>0</v>
      </c>
      <c r="O348" s="151">
        <f ca="1">+MIN('S&amp;U'!$I22-SUM('Phase II Pro Forma'!$E348:N348),'Phase II Pro Forma'!O$341-SUM(O$344:O347))</f>
        <v>0</v>
      </c>
      <c r="P348" s="151">
        <f ca="1">+MIN('S&amp;U'!$I22-SUM('Phase II Pro Forma'!$E348:O348),'Phase II Pro Forma'!P$341-SUM(P$344:P347))</f>
        <v>0</v>
      </c>
      <c r="Q348" s="151">
        <f ca="1">+MIN('S&amp;U'!$I22-SUM('Phase II Pro Forma'!$E348:P348),'Phase II Pro Forma'!Q$341-SUM(Q$344:Q347))</f>
        <v>0</v>
      </c>
      <c r="R348" s="151">
        <f ca="1">+MIN('S&amp;U'!$I22-SUM('Phase II Pro Forma'!$E348:Q348),'Phase II Pro Forma'!R$341-SUM(R$344:R347))</f>
        <v>0</v>
      </c>
      <c r="S348" s="151">
        <f ca="1">+MIN('S&amp;U'!$I22-SUM('Phase II Pro Forma'!$E348:R348),'Phase II Pro Forma'!S$341-SUM(S$344:S347))</f>
        <v>0</v>
      </c>
      <c r="T348" s="151">
        <f ca="1">+MIN('S&amp;U'!$I22-SUM('Phase II Pro Forma'!$E348:S348),'Phase II Pro Forma'!T$341-SUM(T$344:T347))</f>
        <v>0</v>
      </c>
      <c r="U348" s="151">
        <f ca="1">+MIN('S&amp;U'!$I22-SUM('Phase II Pro Forma'!$E348:T348),'Phase II Pro Forma'!U$341-SUM(U$344:U347))</f>
        <v>0</v>
      </c>
      <c r="V348" s="151">
        <f ca="1">+MIN('S&amp;U'!$I22-SUM('Phase II Pro Forma'!$E348:U348),'Phase II Pro Forma'!V$341-SUM(V$344:V347))</f>
        <v>0</v>
      </c>
      <c r="W348" s="151">
        <f ca="1">+MIN('S&amp;U'!$I22-SUM('Phase II Pro Forma'!$E348:V348),'Phase II Pro Forma'!W$341-SUM(W$344:W347))</f>
        <v>0</v>
      </c>
      <c r="X348" s="151">
        <f ca="1">+MIN('S&amp;U'!$I22-SUM('Phase II Pro Forma'!$E348:W348),'Phase II Pro Forma'!X$341-SUM(X$344:X347))</f>
        <v>0</v>
      </c>
      <c r="Y348" s="151">
        <f ca="1">+MIN('S&amp;U'!$I22-SUM('Phase II Pro Forma'!$E348:X348),'Phase II Pro Forma'!Y$341-SUM(Y$344:Y347))</f>
        <v>0</v>
      </c>
      <c r="Z348" s="151">
        <f ca="1">+MIN('S&amp;U'!$I22-SUM('Phase II Pro Forma'!$E348:Y348),'Phase II Pro Forma'!Z$341-SUM(Z$344:Z347))</f>
        <v>0</v>
      </c>
    </row>
    <row r="349" spans="2:26" ht="15.5">
      <c r="B349" s="33" t="s">
        <v>312</v>
      </c>
      <c r="D349" s="48">
        <f t="shared" si="189"/>
        <v>0</v>
      </c>
      <c r="E349" s="48"/>
      <c r="F349" s="151">
        <v>0</v>
      </c>
      <c r="G349" s="151">
        <v>0</v>
      </c>
      <c r="H349" s="151">
        <v>0</v>
      </c>
      <c r="I349" s="151">
        <v>0</v>
      </c>
      <c r="J349" s="151">
        <v>0</v>
      </c>
      <c r="K349" s="151">
        <v>0</v>
      </c>
      <c r="L349" s="151">
        <v>0</v>
      </c>
      <c r="M349" s="151">
        <v>0</v>
      </c>
      <c r="N349" s="151">
        <v>0</v>
      </c>
      <c r="O349" s="151">
        <v>0</v>
      </c>
      <c r="P349" s="151">
        <v>0</v>
      </c>
      <c r="Q349" s="151">
        <v>0</v>
      </c>
      <c r="R349" s="151">
        <v>0</v>
      </c>
      <c r="S349" s="151">
        <v>0</v>
      </c>
      <c r="T349" s="151">
        <v>0</v>
      </c>
      <c r="U349" s="151">
        <v>0</v>
      </c>
      <c r="V349" s="151">
        <v>0</v>
      </c>
      <c r="W349" s="151">
        <v>0</v>
      </c>
      <c r="X349" s="151">
        <v>0</v>
      </c>
      <c r="Y349" s="151">
        <v>0</v>
      </c>
      <c r="Z349" s="151">
        <v>0</v>
      </c>
    </row>
    <row r="350" spans="2:26" ht="15.5">
      <c r="B350" s="33" t="s">
        <v>97</v>
      </c>
      <c r="D350" s="48">
        <f t="shared" ca="1" si="189"/>
        <v>16009703.256704506</v>
      </c>
      <c r="E350" s="48"/>
      <c r="F350" s="151">
        <f ca="1">+MIN('S&amp;U'!$I26-SUM('Phase II Pro Forma'!$E350:E350),'Phase II Pro Forma'!F$341-SUM(F$344:F349))</f>
        <v>0</v>
      </c>
      <c r="G350" s="151">
        <f ca="1">+MIN('S&amp;U'!$I26-SUM('Phase II Pro Forma'!$E350:F350),'Phase II Pro Forma'!G$341-SUM(G$344:G349))</f>
        <v>0</v>
      </c>
      <c r="H350" s="151">
        <f ca="1">+MIN('S&amp;U'!$I26-SUM('Phase II Pro Forma'!$E350:G350),'Phase II Pro Forma'!H$341-SUM(H$344:H349))</f>
        <v>14361596.059556954</v>
      </c>
      <c r="I350" s="151">
        <f ca="1">+MIN('S&amp;U'!$I26-SUM('Phase II Pro Forma'!$E350:H350),'Phase II Pro Forma'!I$341-SUM(I$344:I349))</f>
        <v>824053.59857379121</v>
      </c>
      <c r="J350" s="151">
        <f ca="1">+MIN('S&amp;U'!$I26-SUM('Phase II Pro Forma'!$E350:I350),'Phase II Pro Forma'!J$341-SUM(J$344:J349))</f>
        <v>824053.59857379121</v>
      </c>
      <c r="K350" s="151">
        <f ca="1">+MIN('S&amp;U'!$I26-SUM('Phase II Pro Forma'!$E350:J350),'Phase II Pro Forma'!K$341-SUM(K$344:K349))</f>
        <v>0</v>
      </c>
      <c r="L350" s="151">
        <f ca="1">+MIN('S&amp;U'!$I26-SUM('Phase II Pro Forma'!$E350:K350),'Phase II Pro Forma'!L$341-SUM(L$344:L349))</f>
        <v>0</v>
      </c>
      <c r="M350" s="151">
        <f ca="1">+MIN('S&amp;U'!$I26-SUM('Phase II Pro Forma'!$E350:L350),'Phase II Pro Forma'!M$341-SUM(M$344:M349))</f>
        <v>0</v>
      </c>
      <c r="N350" s="151">
        <f ca="1">+MIN('S&amp;U'!$I26-SUM('Phase II Pro Forma'!$E350:M350),'Phase II Pro Forma'!N$341-SUM(N$344:N349))</f>
        <v>0</v>
      </c>
      <c r="O350" s="151">
        <f ca="1">+MIN('S&amp;U'!$I26-SUM('Phase II Pro Forma'!$E350:N350),'Phase II Pro Forma'!O$341-SUM(O$344:O349))</f>
        <v>0</v>
      </c>
      <c r="P350" s="151">
        <f ca="1">+MIN('S&amp;U'!$I26-SUM('Phase II Pro Forma'!$E350:O350),'Phase II Pro Forma'!P$341-SUM(P$344:P349))</f>
        <v>0</v>
      </c>
      <c r="Q350" s="151">
        <f ca="1">+MIN('S&amp;U'!$I26-SUM('Phase II Pro Forma'!$E350:P350),'Phase II Pro Forma'!Q$341-SUM(Q$344:Q349))</f>
        <v>0</v>
      </c>
      <c r="R350" s="151">
        <f ca="1">+MIN('S&amp;U'!$I26-SUM('Phase II Pro Forma'!$E350:Q350),'Phase II Pro Forma'!R$341-SUM(R$344:R349))</f>
        <v>0</v>
      </c>
      <c r="S350" s="151">
        <f ca="1">+MIN('S&amp;U'!$I26-SUM('Phase II Pro Forma'!$E350:R350),'Phase II Pro Forma'!S$341-SUM(S$344:S349))</f>
        <v>0</v>
      </c>
      <c r="T350" s="151">
        <f ca="1">+MIN('S&amp;U'!$I26-SUM('Phase II Pro Forma'!$E350:S350),'Phase II Pro Forma'!T$341-SUM(T$344:T349))</f>
        <v>0</v>
      </c>
      <c r="U350" s="151">
        <f ca="1">+MIN('S&amp;U'!$I26-SUM('Phase II Pro Forma'!$E350:T350),'Phase II Pro Forma'!U$341-SUM(U$344:U349))</f>
        <v>0</v>
      </c>
      <c r="V350" s="151">
        <f ca="1">+MIN('S&amp;U'!$I26-SUM('Phase II Pro Forma'!$E350:U350),'Phase II Pro Forma'!V$341-SUM(V$344:V349))</f>
        <v>0</v>
      </c>
      <c r="W350" s="151">
        <f ca="1">+MIN('S&amp;U'!$I26-SUM('Phase II Pro Forma'!$E350:V350),'Phase II Pro Forma'!W$341-SUM(W$344:W349))</f>
        <v>0</v>
      </c>
      <c r="X350" s="151">
        <f ca="1">+MIN('S&amp;U'!$I26-SUM('Phase II Pro Forma'!$E350:W350),'Phase II Pro Forma'!X$341-SUM(X$344:X349))</f>
        <v>0</v>
      </c>
      <c r="Y350" s="151">
        <f ca="1">+MIN('S&amp;U'!$I26-SUM('Phase II Pro Forma'!$E350:X350),'Phase II Pro Forma'!Y$341-SUM(Y$344:Y349))</f>
        <v>0</v>
      </c>
      <c r="Z350" s="151">
        <f ca="1">+MIN('S&amp;U'!$I26-SUM('Phase II Pro Forma'!$E350:Y350),'Phase II Pro Forma'!Z$341-SUM(Z$344:Z349))</f>
        <v>0</v>
      </c>
    </row>
    <row r="351" spans="2:26" ht="15.5">
      <c r="B351" s="138" t="s">
        <v>359</v>
      </c>
      <c r="C351" s="138"/>
      <c r="D351" s="139">
        <f t="shared" ca="1" si="189"/>
        <v>198282078.48192513</v>
      </c>
      <c r="E351" s="139"/>
      <c r="F351" s="139">
        <f t="shared" ref="F351:Z351" ca="1" si="191">+SUM(F344:F350)</f>
        <v>100152177.31526883</v>
      </c>
      <c r="G351" s="139">
        <f t="shared" ca="1" si="191"/>
        <v>48240896.984754339</v>
      </c>
      <c r="H351" s="139">
        <f ca="1">+SUM(H344:H350)</f>
        <v>48240896.984754339</v>
      </c>
      <c r="I351" s="139">
        <f t="shared" ca="1" si="191"/>
        <v>824053.59857379121</v>
      </c>
      <c r="J351" s="139">
        <f t="shared" ca="1" si="191"/>
        <v>824053.59857379121</v>
      </c>
      <c r="K351" s="139">
        <f t="shared" ca="1" si="191"/>
        <v>0</v>
      </c>
      <c r="L351" s="139">
        <f t="shared" ca="1" si="191"/>
        <v>0</v>
      </c>
      <c r="M351" s="139">
        <f t="shared" ca="1" si="191"/>
        <v>0</v>
      </c>
      <c r="N351" s="139">
        <f t="shared" ca="1" si="191"/>
        <v>0</v>
      </c>
      <c r="O351" s="139">
        <f t="shared" ca="1" si="191"/>
        <v>0</v>
      </c>
      <c r="P351" s="139">
        <f t="shared" ca="1" si="191"/>
        <v>0</v>
      </c>
      <c r="Q351" s="139">
        <f t="shared" ca="1" si="191"/>
        <v>0</v>
      </c>
      <c r="R351" s="139">
        <f t="shared" ca="1" si="191"/>
        <v>0</v>
      </c>
      <c r="S351" s="139">
        <f t="shared" ca="1" si="191"/>
        <v>0</v>
      </c>
      <c r="T351" s="139">
        <f t="shared" ca="1" si="191"/>
        <v>0</v>
      </c>
      <c r="U351" s="139">
        <f t="shared" ca="1" si="191"/>
        <v>0</v>
      </c>
      <c r="V351" s="139">
        <f t="shared" ca="1" si="191"/>
        <v>0</v>
      </c>
      <c r="W351" s="139">
        <f t="shared" ca="1" si="191"/>
        <v>0</v>
      </c>
      <c r="X351" s="139">
        <f t="shared" ca="1" si="191"/>
        <v>0</v>
      </c>
      <c r="Y351" s="139">
        <f t="shared" ca="1" si="191"/>
        <v>0</v>
      </c>
      <c r="Z351" s="139">
        <f t="shared" ca="1" si="191"/>
        <v>0</v>
      </c>
    </row>
    <row r="353" spans="2:26" ht="15.5">
      <c r="B353" s="148" t="s">
        <v>330</v>
      </c>
    </row>
    <row r="354" spans="2:26" ht="15.5">
      <c r="B354" s="33" t="s">
        <v>331</v>
      </c>
      <c r="D354" s="48">
        <f ca="1">+SUM(F354:Z354)</f>
        <v>-149769658.83677348</v>
      </c>
      <c r="E354" s="48"/>
      <c r="F354" s="34">
        <f ca="1">-F344</f>
        <v>-100152177.31526883</v>
      </c>
      <c r="G354" s="34">
        <f t="shared" ref="G354:Z354" ca="1" si="192">-G344</f>
        <v>-48240896.984754339</v>
      </c>
      <c r="H354" s="34">
        <f t="shared" ca="1" si="192"/>
        <v>-1376584.5367502868</v>
      </c>
      <c r="I354" s="34">
        <f t="shared" ca="1" si="192"/>
        <v>0</v>
      </c>
      <c r="J354" s="34">
        <f t="shared" ca="1" si="192"/>
        <v>0</v>
      </c>
      <c r="K354" s="34">
        <f t="shared" ca="1" si="192"/>
        <v>0</v>
      </c>
      <c r="L354" s="34">
        <f t="shared" ca="1" si="192"/>
        <v>0</v>
      </c>
      <c r="M354" s="34">
        <f t="shared" ca="1" si="192"/>
        <v>0</v>
      </c>
      <c r="N354" s="34">
        <f t="shared" ca="1" si="192"/>
        <v>0</v>
      </c>
      <c r="O354" s="34">
        <f t="shared" ca="1" si="192"/>
        <v>0</v>
      </c>
      <c r="P354" s="34">
        <f t="shared" ca="1" si="192"/>
        <v>0</v>
      </c>
      <c r="Q354" s="34">
        <f t="shared" ca="1" si="192"/>
        <v>0</v>
      </c>
      <c r="R354" s="34">
        <f t="shared" ca="1" si="192"/>
        <v>0</v>
      </c>
      <c r="S354" s="34">
        <f t="shared" ca="1" si="192"/>
        <v>0</v>
      </c>
      <c r="T354" s="34">
        <f t="shared" ca="1" si="192"/>
        <v>0</v>
      </c>
      <c r="U354" s="34">
        <f t="shared" ca="1" si="192"/>
        <v>0</v>
      </c>
      <c r="V354" s="34">
        <f t="shared" ca="1" si="192"/>
        <v>0</v>
      </c>
      <c r="W354" s="34">
        <f t="shared" ca="1" si="192"/>
        <v>0</v>
      </c>
      <c r="X354" s="34">
        <f t="shared" ca="1" si="192"/>
        <v>0</v>
      </c>
      <c r="Y354" s="34">
        <f t="shared" ca="1" si="192"/>
        <v>0</v>
      </c>
      <c r="Z354" s="34">
        <f t="shared" ca="1" si="192"/>
        <v>0</v>
      </c>
    </row>
    <row r="355" spans="2:26" ht="15.5">
      <c r="B355" s="33" t="s">
        <v>332</v>
      </c>
      <c r="D355" s="48">
        <f t="shared" ref="D355" ca="1" si="193">+SUM(F355:Z355)</f>
        <v>308095509.81567192</v>
      </c>
      <c r="E355" s="48"/>
      <c r="F355" s="151">
        <f ca="1">+IF(YEAR(F$140)&lt;=YEAR(Assumptions!$G$30),F325+F331,0)</f>
        <v>0</v>
      </c>
      <c r="G355" s="151">
        <f ca="1">+IF(YEAR(G$140)&lt;=YEAR(Assumptions!$G$30),G325+G331,0)</f>
        <v>65237394.974527918</v>
      </c>
      <c r="H355" s="151">
        <f ca="1">+IF(YEAR(H$140)&lt;=YEAR(Assumptions!$G$30),H325+H331,0)</f>
        <v>0</v>
      </c>
      <c r="I355" s="151">
        <f ca="1">+IF(YEAR(I$140)&lt;=YEAR(Assumptions!$G$30),I325+I331,0)</f>
        <v>6864661.6291115722</v>
      </c>
      <c r="J355" s="151">
        <f ca="1">+IF(YEAR(J$140)&lt;=YEAR(Assumptions!$G$30),J325+J331,0)</f>
        <v>13729323.269132411</v>
      </c>
      <c r="K355" s="151">
        <f ca="1">+IF(YEAR(K$140)&lt;=YEAR(Assumptions!$G$30),K325+K331,0)</f>
        <v>13729323.275225734</v>
      </c>
      <c r="L355" s="151">
        <f ca="1">+IF(YEAR(L$140)&lt;=YEAR(Assumptions!$G$30),L325+L331,0)</f>
        <v>14605496.83298758</v>
      </c>
      <c r="M355" s="151">
        <f ca="1">+IF(YEAR(M$140)&lt;=YEAR(Assumptions!$G$30),M325+M331,0)</f>
        <v>14605496.840943698</v>
      </c>
      <c r="N355" s="151">
        <f ca="1">+IF(YEAR(N$140)&lt;=YEAR(Assumptions!$G$30),N325+N331,0)</f>
        <v>179323812.99374312</v>
      </c>
      <c r="O355" s="151">
        <f>+IF(YEAR(O$140)&lt;=YEAR(Assumptions!$G$30),O325+O331,0)</f>
        <v>0</v>
      </c>
      <c r="P355" s="151">
        <f>+IF(YEAR(P$140)&lt;=YEAR(Assumptions!$G$30),P325+P331,0)</f>
        <v>0</v>
      </c>
      <c r="Q355" s="151">
        <f>+IF(YEAR(Q$140)&lt;=YEAR(Assumptions!$G$30),Q325+Q331,0)</f>
        <v>0</v>
      </c>
      <c r="R355" s="151">
        <f>+IF(YEAR(R$140)&lt;=YEAR(Assumptions!$G$30),R325+R331,0)</f>
        <v>0</v>
      </c>
      <c r="S355" s="151">
        <f>+IF(YEAR(S$140)&lt;=YEAR(Assumptions!$G$30),S325+S331,0)</f>
        <v>0</v>
      </c>
      <c r="T355" s="151">
        <f>+IF(YEAR(T$140)&lt;=YEAR(Assumptions!$G$30),T325+T331,0)</f>
        <v>0</v>
      </c>
      <c r="U355" s="151">
        <f>+IF(YEAR(U$140)&lt;=YEAR(Assumptions!$G$30),U325+U331,0)</f>
        <v>0</v>
      </c>
      <c r="V355" s="151">
        <f>+IF(YEAR(V$140)&lt;=YEAR(Assumptions!$G$30),V325+V331,0)</f>
        <v>0</v>
      </c>
      <c r="W355" s="151">
        <f>+IF(YEAR(W$140)&lt;=YEAR(Assumptions!$G$30),W325+W331,0)</f>
        <v>0</v>
      </c>
      <c r="X355" s="151">
        <f>+IF(YEAR(X$140)&lt;=YEAR(Assumptions!$G$30),X325+X331,0)</f>
        <v>0</v>
      </c>
      <c r="Y355" s="151">
        <f>+IF(YEAR(Y$140)&lt;=YEAR(Assumptions!$G$30),Y325+Y331,0)</f>
        <v>0</v>
      </c>
      <c r="Z355" s="151">
        <f>+IF(YEAR(Z$140)&lt;=YEAR(Assumptions!$G$30),Z325+Z331,0)</f>
        <v>0</v>
      </c>
    </row>
    <row r="356" spans="2:26" ht="15.5">
      <c r="B356" s="138" t="s">
        <v>333</v>
      </c>
      <c r="C356" s="138"/>
      <c r="D356" s="139">
        <f ca="1">+SUM(F356:Z356)</f>
        <v>158325850.97889844</v>
      </c>
      <c r="E356" s="139"/>
      <c r="F356" s="139">
        <f ca="1">+SUM(F354:F355)</f>
        <v>-100152177.31526883</v>
      </c>
      <c r="G356" s="139">
        <f t="shared" ref="G356:Z356" ca="1" si="194">+SUM(G354:G355)</f>
        <v>16996497.989773579</v>
      </c>
      <c r="H356" s="139">
        <f ca="1">+SUM(H354:H355)</f>
        <v>-1376584.5367502868</v>
      </c>
      <c r="I356" s="139">
        <f t="shared" ca="1" si="194"/>
        <v>6864661.6291115722</v>
      </c>
      <c r="J356" s="139">
        <f t="shared" ca="1" si="194"/>
        <v>13729323.269132411</v>
      </c>
      <c r="K356" s="139">
        <f t="shared" ca="1" si="194"/>
        <v>13729323.275225734</v>
      </c>
      <c r="L356" s="139">
        <f t="shared" ca="1" si="194"/>
        <v>14605496.83298758</v>
      </c>
      <c r="M356" s="139">
        <f t="shared" ca="1" si="194"/>
        <v>14605496.840943698</v>
      </c>
      <c r="N356" s="139">
        <f t="shared" ca="1" si="194"/>
        <v>179323812.99374312</v>
      </c>
      <c r="O356" s="139">
        <f t="shared" ca="1" si="194"/>
        <v>0</v>
      </c>
      <c r="P356" s="139">
        <f t="shared" ca="1" si="194"/>
        <v>0</v>
      </c>
      <c r="Q356" s="139">
        <f t="shared" ca="1" si="194"/>
        <v>0</v>
      </c>
      <c r="R356" s="139">
        <f t="shared" ca="1" si="194"/>
        <v>0</v>
      </c>
      <c r="S356" s="139">
        <f t="shared" ca="1" si="194"/>
        <v>0</v>
      </c>
      <c r="T356" s="139">
        <f t="shared" ca="1" si="194"/>
        <v>0</v>
      </c>
      <c r="U356" s="139">
        <f t="shared" ca="1" si="194"/>
        <v>0</v>
      </c>
      <c r="V356" s="139">
        <f t="shared" ca="1" si="194"/>
        <v>0</v>
      </c>
      <c r="W356" s="139">
        <f t="shared" ca="1" si="194"/>
        <v>0</v>
      </c>
      <c r="X356" s="139">
        <f t="shared" ca="1" si="194"/>
        <v>0</v>
      </c>
      <c r="Y356" s="139">
        <f t="shared" ca="1" si="194"/>
        <v>0</v>
      </c>
      <c r="Z356" s="139">
        <f t="shared" ca="1" si="194"/>
        <v>0</v>
      </c>
    </row>
    <row r="358" spans="2:26" ht="15.5">
      <c r="B358" s="190" t="s">
        <v>375</v>
      </c>
      <c r="C358" s="190"/>
      <c r="D358" s="191">
        <f ca="1">+IRR(F356:Z356)</f>
        <v>0.15590292187162347</v>
      </c>
    </row>
    <row r="359" spans="2:26" ht="15.5">
      <c r="B359" s="141" t="s">
        <v>335</v>
      </c>
      <c r="C359" s="192"/>
      <c r="D359" s="142">
        <f ca="1">+SUM(F356:Z356)</f>
        <v>158325850.97889858</v>
      </c>
    </row>
    <row r="360" spans="2:26" ht="15.5">
      <c r="B360" s="194" t="s">
        <v>336</v>
      </c>
      <c r="C360" s="193"/>
      <c r="D360" s="195">
        <f ca="1">+D355/-D354</f>
        <v>2.0571290086962803</v>
      </c>
    </row>
    <row r="362" spans="2:26" ht="15.5">
      <c r="B362" s="37" t="s">
        <v>393</v>
      </c>
      <c r="C362" s="38"/>
      <c r="D362" s="38"/>
      <c r="E362" s="38"/>
      <c r="F362" s="136">
        <f>+F343</f>
        <v>45291</v>
      </c>
      <c r="G362" s="136">
        <f t="shared" ref="G362:Z362" si="195">+G343</f>
        <v>45657</v>
      </c>
      <c r="H362" s="136">
        <f t="shared" si="195"/>
        <v>46022</v>
      </c>
      <c r="I362" s="136">
        <f t="shared" si="195"/>
        <v>46387</v>
      </c>
      <c r="J362" s="136">
        <f t="shared" si="195"/>
        <v>46752</v>
      </c>
      <c r="K362" s="136">
        <f t="shared" si="195"/>
        <v>47118</v>
      </c>
      <c r="L362" s="136">
        <f t="shared" si="195"/>
        <v>47483</v>
      </c>
      <c r="M362" s="136">
        <f t="shared" si="195"/>
        <v>47848</v>
      </c>
      <c r="N362" s="136">
        <f t="shared" si="195"/>
        <v>48213</v>
      </c>
      <c r="O362" s="136">
        <f t="shared" si="195"/>
        <v>48579</v>
      </c>
      <c r="P362" s="136">
        <f t="shared" si="195"/>
        <v>48944</v>
      </c>
      <c r="Q362" s="136">
        <f t="shared" si="195"/>
        <v>49309</v>
      </c>
      <c r="R362" s="136">
        <f t="shared" si="195"/>
        <v>49674</v>
      </c>
      <c r="S362" s="136">
        <f t="shared" si="195"/>
        <v>50040</v>
      </c>
      <c r="T362" s="136">
        <f t="shared" si="195"/>
        <v>50405</v>
      </c>
      <c r="U362" s="136">
        <f t="shared" si="195"/>
        <v>50770</v>
      </c>
      <c r="V362" s="136">
        <f t="shared" si="195"/>
        <v>51135</v>
      </c>
      <c r="W362" s="136">
        <f t="shared" si="195"/>
        <v>51501</v>
      </c>
      <c r="X362" s="136">
        <f t="shared" si="195"/>
        <v>51866</v>
      </c>
      <c r="Y362" s="136">
        <f t="shared" si="195"/>
        <v>52231</v>
      </c>
      <c r="Z362" s="136">
        <f t="shared" si="195"/>
        <v>52596</v>
      </c>
    </row>
    <row r="363" spans="2:26" ht="15.5">
      <c r="B363" s="119"/>
    </row>
    <row r="364" spans="2:26" ht="15.5">
      <c r="B364" s="148" t="s">
        <v>389</v>
      </c>
      <c r="F364" s="148">
        <v>0</v>
      </c>
      <c r="G364" s="148">
        <f>+F364+1</f>
        <v>1</v>
      </c>
      <c r="H364" s="148">
        <f t="shared" ref="H364:Z364" si="196">+G364+1</f>
        <v>2</v>
      </c>
      <c r="I364" s="148">
        <f t="shared" si="196"/>
        <v>3</v>
      </c>
      <c r="J364" s="148">
        <f t="shared" si="196"/>
        <v>4</v>
      </c>
      <c r="K364" s="148">
        <f t="shared" si="196"/>
        <v>5</v>
      </c>
      <c r="L364" s="148">
        <f t="shared" si="196"/>
        <v>6</v>
      </c>
      <c r="M364" s="148">
        <f t="shared" si="196"/>
        <v>7</v>
      </c>
      <c r="N364" s="148">
        <f t="shared" si="196"/>
        <v>8</v>
      </c>
      <c r="O364" s="148">
        <f t="shared" si="196"/>
        <v>9</v>
      </c>
      <c r="P364" s="148">
        <f t="shared" si="196"/>
        <v>10</v>
      </c>
      <c r="Q364" s="148">
        <f t="shared" si="196"/>
        <v>11</v>
      </c>
      <c r="R364" s="148">
        <f t="shared" si="196"/>
        <v>12</v>
      </c>
      <c r="S364" s="148">
        <f t="shared" si="196"/>
        <v>13</v>
      </c>
      <c r="T364" s="148">
        <f t="shared" si="196"/>
        <v>14</v>
      </c>
      <c r="U364" s="148">
        <f t="shared" si="196"/>
        <v>15</v>
      </c>
      <c r="V364" s="148">
        <f t="shared" si="196"/>
        <v>16</v>
      </c>
      <c r="W364" s="148">
        <f t="shared" si="196"/>
        <v>17</v>
      </c>
      <c r="X364" s="148">
        <f t="shared" si="196"/>
        <v>18</v>
      </c>
      <c r="Y364" s="148">
        <f t="shared" si="196"/>
        <v>19</v>
      </c>
      <c r="Z364" s="148">
        <f t="shared" si="196"/>
        <v>20</v>
      </c>
    </row>
    <row r="365" spans="2:26" ht="15.5">
      <c r="B365" s="33" t="s">
        <v>380</v>
      </c>
      <c r="D365" s="48"/>
      <c r="E365" s="48"/>
      <c r="F365" s="34">
        <f ca="1">+F$354</f>
        <v>-100152177.31526883</v>
      </c>
      <c r="G365" s="34">
        <f t="shared" ref="G365:Z365" ca="1" si="197">+G$354</f>
        <v>-48240896.984754339</v>
      </c>
      <c r="H365" s="34">
        <f t="shared" ca="1" si="197"/>
        <v>-1376584.5367502868</v>
      </c>
      <c r="I365" s="34">
        <f t="shared" ca="1" si="197"/>
        <v>0</v>
      </c>
      <c r="J365" s="34">
        <f t="shared" ca="1" si="197"/>
        <v>0</v>
      </c>
      <c r="K365" s="34">
        <f t="shared" ca="1" si="197"/>
        <v>0</v>
      </c>
      <c r="L365" s="34">
        <f t="shared" ca="1" si="197"/>
        <v>0</v>
      </c>
      <c r="M365" s="34">
        <f t="shared" ca="1" si="197"/>
        <v>0</v>
      </c>
      <c r="N365" s="34">
        <f t="shared" ca="1" si="197"/>
        <v>0</v>
      </c>
      <c r="O365" s="34">
        <f t="shared" ca="1" si="197"/>
        <v>0</v>
      </c>
      <c r="P365" s="34">
        <f t="shared" ca="1" si="197"/>
        <v>0</v>
      </c>
      <c r="Q365" s="34">
        <f t="shared" ca="1" si="197"/>
        <v>0</v>
      </c>
      <c r="R365" s="34">
        <f t="shared" ca="1" si="197"/>
        <v>0</v>
      </c>
      <c r="S365" s="34">
        <f t="shared" ca="1" si="197"/>
        <v>0</v>
      </c>
      <c r="T365" s="34">
        <f t="shared" ca="1" si="197"/>
        <v>0</v>
      </c>
      <c r="U365" s="34">
        <f t="shared" ca="1" si="197"/>
        <v>0</v>
      </c>
      <c r="V365" s="34">
        <f t="shared" ca="1" si="197"/>
        <v>0</v>
      </c>
      <c r="W365" s="34">
        <f t="shared" ca="1" si="197"/>
        <v>0</v>
      </c>
      <c r="X365" s="34">
        <f t="shared" ca="1" si="197"/>
        <v>0</v>
      </c>
      <c r="Y365" s="34">
        <f t="shared" ca="1" si="197"/>
        <v>0</v>
      </c>
      <c r="Z365" s="34">
        <f t="shared" ca="1" si="197"/>
        <v>0</v>
      </c>
    </row>
    <row r="366" spans="2:26" ht="15.5">
      <c r="B366" s="33" t="s">
        <v>398</v>
      </c>
      <c r="D366" s="48"/>
      <c r="E366" s="48"/>
      <c r="F366" s="151">
        <v>0</v>
      </c>
      <c r="G366" s="151">
        <v>0</v>
      </c>
      <c r="H366" s="151">
        <v>0</v>
      </c>
      <c r="I366" s="151">
        <v>0</v>
      </c>
      <c r="J366" s="151">
        <v>0</v>
      </c>
      <c r="K366" s="151">
        <v>0</v>
      </c>
      <c r="L366" s="151">
        <v>0</v>
      </c>
      <c r="M366" s="151">
        <v>0</v>
      </c>
      <c r="N366" s="151">
        <v>0</v>
      </c>
      <c r="O366" s="151">
        <v>0</v>
      </c>
      <c r="P366" s="151">
        <v>0</v>
      </c>
      <c r="Q366" s="151">
        <v>0</v>
      </c>
      <c r="R366" s="151">
        <v>0</v>
      </c>
      <c r="S366" s="151">
        <v>0</v>
      </c>
      <c r="T366" s="151">
        <v>0</v>
      </c>
      <c r="U366" s="151">
        <v>0</v>
      </c>
      <c r="V366" s="151">
        <v>0</v>
      </c>
      <c r="W366" s="151">
        <v>0</v>
      </c>
      <c r="X366" s="151">
        <v>0</v>
      </c>
      <c r="Y366" s="151">
        <v>0</v>
      </c>
      <c r="Z366" s="151">
        <v>0</v>
      </c>
    </row>
    <row r="367" spans="2:26" ht="15.5">
      <c r="B367" s="33" t="s">
        <v>399</v>
      </c>
      <c r="D367" s="48"/>
      <c r="E367" s="48"/>
      <c r="F367" s="151">
        <v>0</v>
      </c>
      <c r="G367" s="151">
        <v>0</v>
      </c>
      <c r="H367" s="151">
        <v>0</v>
      </c>
      <c r="I367" s="151">
        <v>0</v>
      </c>
      <c r="J367" s="151">
        <v>0</v>
      </c>
      <c r="K367" s="151">
        <v>0</v>
      </c>
      <c r="L367" s="151">
        <v>0</v>
      </c>
      <c r="M367" s="151">
        <v>0</v>
      </c>
      <c r="N367" s="151">
        <v>0</v>
      </c>
      <c r="O367" s="151">
        <v>0</v>
      </c>
      <c r="P367" s="151">
        <v>0</v>
      </c>
      <c r="Q367" s="151">
        <v>0</v>
      </c>
      <c r="R367" s="151">
        <v>0</v>
      </c>
      <c r="S367" s="151">
        <v>0</v>
      </c>
      <c r="T367" s="151">
        <v>0</v>
      </c>
      <c r="U367" s="151">
        <v>0</v>
      </c>
      <c r="V367" s="151">
        <v>0</v>
      </c>
      <c r="W367" s="151">
        <v>0</v>
      </c>
      <c r="X367" s="151">
        <v>0</v>
      </c>
      <c r="Y367" s="151">
        <v>0</v>
      </c>
      <c r="Z367" s="151">
        <v>0</v>
      </c>
    </row>
    <row r="368" spans="2:26" ht="15.5">
      <c r="B368" s="33" t="s">
        <v>390</v>
      </c>
      <c r="D368" s="48"/>
      <c r="E368" s="48"/>
      <c r="F368" s="151">
        <f ca="1">-SUM(F395:F396)*Assumptions!$M$192</f>
        <v>0</v>
      </c>
      <c r="G368" s="151">
        <f ca="1">-SUM(G395:G396)*Assumptions!$M$192</f>
        <v>0</v>
      </c>
      <c r="H368" s="151">
        <f ca="1">-SUM(H395:H396)*Assumptions!$M$192</f>
        <v>0</v>
      </c>
      <c r="I368" s="151">
        <f ca="1">-SUM(I395:I396)*Assumptions!$M$192</f>
        <v>-1441578.9421134293</v>
      </c>
      <c r="J368" s="151">
        <f ca="1">-SUM(J395:J396)*Assumptions!$M$192</f>
        <v>-1671834.643428226</v>
      </c>
      <c r="K368" s="151">
        <f ca="1">-SUM(K395:K396)*Assumptions!$M$192</f>
        <v>-1671834.6447078239</v>
      </c>
      <c r="L368" s="151">
        <f ca="1">-SUM(L395:L396)*Assumptions!$M$192</f>
        <v>-1855831.0918378122</v>
      </c>
      <c r="M368" s="151">
        <f ca="1">-SUM(M395:M396)*Assumptions!$M$192</f>
        <v>-1855831.0935085961</v>
      </c>
      <c r="N368" s="151">
        <f ca="1">-SUM(N395:N396)*Assumptions!$M$192</f>
        <v>-1855831.0952230229</v>
      </c>
      <c r="O368" s="151">
        <f>-SUM(O395:O396)*Assumptions!$M$192</f>
        <v>0</v>
      </c>
      <c r="P368" s="151">
        <f>-SUM(P395:P396)*Assumptions!$M$192</f>
        <v>0</v>
      </c>
      <c r="Q368" s="151">
        <f>-SUM(Q395:Q396)*Assumptions!$M$192</f>
        <v>0</v>
      </c>
      <c r="R368" s="151">
        <f>-SUM(R395:R396)*Assumptions!$M$192</f>
        <v>0</v>
      </c>
      <c r="S368" s="151">
        <f>-SUM(S395:S396)*Assumptions!$M$192</f>
        <v>0</v>
      </c>
      <c r="T368" s="151">
        <f>-SUM(T395:T396)*Assumptions!$M$192</f>
        <v>0</v>
      </c>
      <c r="U368" s="151">
        <f>-SUM(U395:U396)*Assumptions!$M$192</f>
        <v>0</v>
      </c>
      <c r="V368" s="151">
        <f>-SUM(V395:V396)*Assumptions!$M$192</f>
        <v>0</v>
      </c>
      <c r="W368" s="151">
        <f>-SUM(W395:W396)*Assumptions!$M$192</f>
        <v>0</v>
      </c>
      <c r="X368" s="151">
        <f>-SUM(X395:X396)*Assumptions!$M$192</f>
        <v>0</v>
      </c>
      <c r="Y368" s="151">
        <f>-SUM(Y395:Y396)*Assumptions!$M$192</f>
        <v>0</v>
      </c>
      <c r="Z368" s="151">
        <f>-SUM(Z395:Z396)*Assumptions!$M$192</f>
        <v>0</v>
      </c>
    </row>
    <row r="369" spans="2:26" ht="15.5">
      <c r="B369" s="33" t="s">
        <v>391</v>
      </c>
      <c r="D369" s="48"/>
      <c r="E369" s="48"/>
      <c r="F369" s="151">
        <f ca="1">+IF(YEAR(F$140)&lt;=YEAR(Assumptions!$G$30),F325,0)</f>
        <v>0</v>
      </c>
      <c r="G369" s="151">
        <f ca="1">+IF(YEAR(G$140)&lt;=YEAR(Assumptions!$G$30),G325,0)</f>
        <v>0</v>
      </c>
      <c r="H369" s="151">
        <f ca="1">+IF(YEAR(H$140)&lt;=YEAR(Assumptions!$G$30),H325,0)</f>
        <v>0</v>
      </c>
      <c r="I369" s="151">
        <f ca="1">+IF(YEAR(I$140)&lt;=YEAR(Assumptions!$G$30),I325,0)</f>
        <v>6864661.6291115722</v>
      </c>
      <c r="J369" s="151">
        <f ca="1">+IF(YEAR(J$140)&lt;=YEAR(Assumptions!$G$30),J325,0)</f>
        <v>13729323.269132411</v>
      </c>
      <c r="K369" s="151">
        <f ca="1">+IF(YEAR(K$140)&lt;=YEAR(Assumptions!$G$30),K325,0)</f>
        <v>13729323.275225734</v>
      </c>
      <c r="L369" s="151">
        <f ca="1">+IF(YEAR(L$140)&lt;=YEAR(Assumptions!$G$30),L325,0)</f>
        <v>14605496.83298758</v>
      </c>
      <c r="M369" s="151">
        <f ca="1">+IF(YEAR(M$140)&lt;=YEAR(Assumptions!$G$30),M325,0)</f>
        <v>14605496.840943698</v>
      </c>
      <c r="N369" s="151">
        <f ca="1">+IF(YEAR(N$140)&lt;=YEAR(Assumptions!$G$30),N325,0)</f>
        <v>14605496.849107634</v>
      </c>
      <c r="O369" s="151">
        <f>+IF(YEAR(O$140)&lt;=YEAR(Assumptions!$G$30),O325,0)</f>
        <v>0</v>
      </c>
      <c r="P369" s="151">
        <f>+IF(YEAR(P$140)&lt;=YEAR(Assumptions!$G$30),P325,0)</f>
        <v>0</v>
      </c>
      <c r="Q369" s="151">
        <f>+IF(YEAR(Q$140)&lt;=YEAR(Assumptions!$G$30),Q325,0)</f>
        <v>0</v>
      </c>
      <c r="R369" s="151">
        <f>+IF(YEAR(R$140)&lt;=YEAR(Assumptions!$G$30),R325,0)</f>
        <v>0</v>
      </c>
      <c r="S369" s="151">
        <f>+IF(YEAR(S$140)&lt;=YEAR(Assumptions!$G$30),S325,0)</f>
        <v>0</v>
      </c>
      <c r="T369" s="151">
        <f>+IF(YEAR(T$140)&lt;=YEAR(Assumptions!$G$30),T325,0)</f>
        <v>0</v>
      </c>
      <c r="U369" s="151">
        <f>+IF(YEAR(U$140)&lt;=YEAR(Assumptions!$G$30),U325,0)</f>
        <v>0</v>
      </c>
      <c r="V369" s="151">
        <f>+IF(YEAR(V$140)&lt;=YEAR(Assumptions!$G$30),V325,0)</f>
        <v>0</v>
      </c>
      <c r="W369" s="151">
        <f>+IF(YEAR(W$140)&lt;=YEAR(Assumptions!$G$30),W325,0)</f>
        <v>0</v>
      </c>
      <c r="X369" s="151">
        <f>+IF(YEAR(X$140)&lt;=YEAR(Assumptions!$G$30),X325,0)</f>
        <v>0</v>
      </c>
      <c r="Y369" s="151">
        <f>+IF(YEAR(Y$140)&lt;=YEAR(Assumptions!$G$30),Y325,0)</f>
        <v>0</v>
      </c>
      <c r="Z369" s="151">
        <f>+IF(YEAR(Z$140)&lt;=YEAR(Assumptions!$G$30),Z325,0)</f>
        <v>0</v>
      </c>
    </row>
    <row r="370" spans="2:26" ht="15.5">
      <c r="B370" s="33" t="s">
        <v>385</v>
      </c>
      <c r="D370" s="48"/>
      <c r="E370" s="48"/>
      <c r="F370" s="151">
        <f>+IF(YEAR(F$140)&lt;=YEAR(Assumptions!$G$30),F331,0)</f>
        <v>0</v>
      </c>
      <c r="G370" s="151">
        <f>+IF(YEAR(G$140)&lt;=YEAR(Assumptions!$G$30),G331,0)</f>
        <v>65237394.974527918</v>
      </c>
      <c r="H370" s="151">
        <f>+IF(YEAR(H$140)&lt;=YEAR(Assumptions!$G$30),H331,0)</f>
        <v>0</v>
      </c>
      <c r="I370" s="151">
        <f>+IF(YEAR(I$140)&lt;=YEAR(Assumptions!$G$30),I331,0)</f>
        <v>0</v>
      </c>
      <c r="J370" s="151">
        <f>+IF(YEAR(J$140)&lt;=YEAR(Assumptions!$G$30),J331,0)</f>
        <v>0</v>
      </c>
      <c r="K370" s="151">
        <f>+IF(YEAR(K$140)&lt;=YEAR(Assumptions!$G$30),K331,0)</f>
        <v>0</v>
      </c>
      <c r="L370" s="151">
        <f>+IF(YEAR(L$140)&lt;=YEAR(Assumptions!$G$30),L331,0)</f>
        <v>0</v>
      </c>
      <c r="M370" s="151">
        <f>+IF(YEAR(M$140)&lt;=YEAR(Assumptions!$G$30),M331,0)</f>
        <v>0</v>
      </c>
      <c r="N370" s="151">
        <f ca="1">+IF(YEAR(N$140)&lt;=YEAR(Assumptions!$G$30),N331,0)</f>
        <v>164718316.1446355</v>
      </c>
      <c r="O370" s="151">
        <f>+IF(YEAR(O$140)&lt;=YEAR(Assumptions!$G$30),O331,0)</f>
        <v>0</v>
      </c>
      <c r="P370" s="151">
        <f>+IF(YEAR(P$140)&lt;=YEAR(Assumptions!$G$30),P331,0)</f>
        <v>0</v>
      </c>
      <c r="Q370" s="151">
        <f>+IF(YEAR(Q$140)&lt;=YEAR(Assumptions!$G$30),Q331,0)</f>
        <v>0</v>
      </c>
      <c r="R370" s="151">
        <f>+IF(YEAR(R$140)&lt;=YEAR(Assumptions!$G$30),R331,0)</f>
        <v>0</v>
      </c>
      <c r="S370" s="151">
        <f>+IF(YEAR(S$140)&lt;=YEAR(Assumptions!$G$30),S331,0)</f>
        <v>0</v>
      </c>
      <c r="T370" s="151">
        <f>+IF(YEAR(T$140)&lt;=YEAR(Assumptions!$G$30),T331,0)</f>
        <v>0</v>
      </c>
      <c r="U370" s="151">
        <f>+IF(YEAR(U$140)&lt;=YEAR(Assumptions!$G$30),U331,0)</f>
        <v>0</v>
      </c>
      <c r="V370" s="151">
        <f>+IF(YEAR(V$140)&lt;=YEAR(Assumptions!$G$30),V331,0)</f>
        <v>0</v>
      </c>
      <c r="W370" s="151">
        <f>+IF(YEAR(W$140)&lt;=YEAR(Assumptions!$G$30),W331,0)</f>
        <v>0</v>
      </c>
      <c r="X370" s="151">
        <f>+IF(YEAR(X$140)&lt;=YEAR(Assumptions!$G$30),X331,0)</f>
        <v>0</v>
      </c>
      <c r="Y370" s="151">
        <f>+IF(YEAR(Y$140)&lt;=YEAR(Assumptions!$G$30),Y331,0)</f>
        <v>0</v>
      </c>
      <c r="Z370" s="151">
        <f>+IF(YEAR(Z$140)&lt;=YEAR(Assumptions!$G$30),Z331,0)</f>
        <v>0</v>
      </c>
    </row>
    <row r="371" spans="2:26" ht="15.5">
      <c r="B371" s="33" t="s">
        <v>397</v>
      </c>
      <c r="D371" s="48"/>
      <c r="E371" s="48"/>
      <c r="F371" s="151">
        <f>-F399*Assumptions!$M$192</f>
        <v>0</v>
      </c>
      <c r="G371" s="151">
        <f>-G399*Assumptions!$M$192</f>
        <v>0</v>
      </c>
      <c r="H371" s="151">
        <f>-H399*Assumptions!$M$192</f>
        <v>0</v>
      </c>
      <c r="I371" s="151">
        <f>-I399*Assumptions!$M$192</f>
        <v>0</v>
      </c>
      <c r="J371" s="151">
        <f>-J399*Assumptions!$M$192</f>
        <v>0</v>
      </c>
      <c r="K371" s="151">
        <f>-K399*Assumptions!$M$192</f>
        <v>0</v>
      </c>
      <c r="L371" s="151">
        <f>-L399*Assumptions!$M$192</f>
        <v>0</v>
      </c>
      <c r="M371" s="151">
        <f>-M399*Assumptions!$M$192</f>
        <v>0</v>
      </c>
      <c r="N371" s="151">
        <f ca="1">-N399*Assumptions!$M$192</f>
        <v>-22895687.194749761</v>
      </c>
      <c r="O371" s="151">
        <f>-O399*Assumptions!$M$192</f>
        <v>0</v>
      </c>
      <c r="P371" s="151">
        <f>-P399*Assumptions!$M$192</f>
        <v>0</v>
      </c>
      <c r="Q371" s="151">
        <f>-Q399*Assumptions!$M$192</f>
        <v>0</v>
      </c>
      <c r="R371" s="151">
        <f>-R399*Assumptions!$M$192</f>
        <v>0</v>
      </c>
      <c r="S371" s="151">
        <f>-S399*Assumptions!$M$192</f>
        <v>0</v>
      </c>
      <c r="T371" s="151">
        <f>-T399*Assumptions!$M$192</f>
        <v>0</v>
      </c>
      <c r="U371" s="151">
        <f>-U399*Assumptions!$M$192</f>
        <v>0</v>
      </c>
      <c r="V371" s="151">
        <f>-V399*Assumptions!$M$192</f>
        <v>0</v>
      </c>
      <c r="W371" s="151">
        <f>-W399*Assumptions!$M$192</f>
        <v>0</v>
      </c>
      <c r="X371" s="151">
        <f>-X399*Assumptions!$M$192</f>
        <v>0</v>
      </c>
      <c r="Y371" s="151">
        <f>-Y399*Assumptions!$M$192</f>
        <v>0</v>
      </c>
      <c r="Z371" s="151">
        <f>-Z399*Assumptions!$M$192</f>
        <v>0</v>
      </c>
    </row>
    <row r="372" spans="2:26" ht="15.5">
      <c r="B372" s="138" t="s">
        <v>389</v>
      </c>
      <c r="C372" s="138"/>
      <c r="D372" s="139">
        <f t="shared" ref="D372" ca="1" si="198">+SUM(F372:Z372)</f>
        <v>125077422.27332973</v>
      </c>
      <c r="E372" s="139"/>
      <c r="F372" s="139">
        <f t="shared" ref="F372:Z372" ca="1" si="199">+SUM(F365:F371)</f>
        <v>-100152177.31526883</v>
      </c>
      <c r="G372" s="139">
        <f t="shared" ca="1" si="199"/>
        <v>16996497.989773579</v>
      </c>
      <c r="H372" s="139">
        <f t="shared" ca="1" si="199"/>
        <v>-1376584.5367502868</v>
      </c>
      <c r="I372" s="139">
        <f t="shared" ca="1" si="199"/>
        <v>5423082.6869981429</v>
      </c>
      <c r="J372" s="139">
        <f t="shared" ca="1" si="199"/>
        <v>12057488.625704184</v>
      </c>
      <c r="K372" s="139">
        <f t="shared" ca="1" si="199"/>
        <v>12057488.630517911</v>
      </c>
      <c r="L372" s="139">
        <f t="shared" ca="1" si="199"/>
        <v>12749665.741149768</v>
      </c>
      <c r="M372" s="139">
        <f t="shared" ca="1" si="199"/>
        <v>12749665.747435102</v>
      </c>
      <c r="N372" s="139">
        <f t="shared" ca="1" si="199"/>
        <v>154572294.70377034</v>
      </c>
      <c r="O372" s="139">
        <f t="shared" ca="1" si="199"/>
        <v>0</v>
      </c>
      <c r="P372" s="139">
        <f t="shared" ca="1" si="199"/>
        <v>0</v>
      </c>
      <c r="Q372" s="139">
        <f t="shared" ca="1" si="199"/>
        <v>0</v>
      </c>
      <c r="R372" s="139">
        <f t="shared" ca="1" si="199"/>
        <v>0</v>
      </c>
      <c r="S372" s="139">
        <f t="shared" ca="1" si="199"/>
        <v>0</v>
      </c>
      <c r="T372" s="139">
        <f t="shared" ca="1" si="199"/>
        <v>0</v>
      </c>
      <c r="U372" s="139">
        <f t="shared" ca="1" si="199"/>
        <v>0</v>
      </c>
      <c r="V372" s="139">
        <f t="shared" ca="1" si="199"/>
        <v>0</v>
      </c>
      <c r="W372" s="139">
        <f t="shared" ca="1" si="199"/>
        <v>0</v>
      </c>
      <c r="X372" s="139">
        <f t="shared" ca="1" si="199"/>
        <v>0</v>
      </c>
      <c r="Y372" s="139">
        <f t="shared" ca="1" si="199"/>
        <v>0</v>
      </c>
      <c r="Z372" s="139">
        <f t="shared" ca="1" si="199"/>
        <v>0</v>
      </c>
    </row>
    <row r="373" spans="2:26" ht="15.5">
      <c r="B373" s="119"/>
    </row>
    <row r="374" spans="2:26" ht="15.5">
      <c r="B374" s="226" t="s">
        <v>402</v>
      </c>
      <c r="C374" s="226"/>
      <c r="D374" s="227">
        <f ca="1">+IRR(F372:Z372)</f>
        <v>0.13217495911184018</v>
      </c>
    </row>
    <row r="375" spans="2:26" ht="15.5">
      <c r="B375" s="119"/>
    </row>
    <row r="376" spans="2:26" ht="15.5">
      <c r="B376" s="148" t="s">
        <v>388</v>
      </c>
      <c r="F376" s="148">
        <f>+F364</f>
        <v>0</v>
      </c>
      <c r="G376" s="148">
        <f t="shared" ref="G376:Z377" si="200">+G364</f>
        <v>1</v>
      </c>
      <c r="H376" s="148">
        <f t="shared" si="200"/>
        <v>2</v>
      </c>
      <c r="I376" s="148">
        <f t="shared" si="200"/>
        <v>3</v>
      </c>
      <c r="J376" s="148">
        <f t="shared" si="200"/>
        <v>4</v>
      </c>
      <c r="K376" s="148">
        <f t="shared" si="200"/>
        <v>5</v>
      </c>
      <c r="L376" s="148">
        <f t="shared" si="200"/>
        <v>6</v>
      </c>
      <c r="M376" s="148">
        <f t="shared" si="200"/>
        <v>7</v>
      </c>
      <c r="N376" s="148">
        <f t="shared" si="200"/>
        <v>8</v>
      </c>
      <c r="O376" s="148">
        <f t="shared" si="200"/>
        <v>9</v>
      </c>
      <c r="P376" s="148">
        <f t="shared" si="200"/>
        <v>10</v>
      </c>
      <c r="Q376" s="148">
        <f t="shared" si="200"/>
        <v>11</v>
      </c>
      <c r="R376" s="148">
        <f t="shared" si="200"/>
        <v>12</v>
      </c>
      <c r="S376" s="148">
        <f t="shared" si="200"/>
        <v>13</v>
      </c>
      <c r="T376" s="148">
        <f t="shared" si="200"/>
        <v>14</v>
      </c>
      <c r="U376" s="148">
        <f t="shared" si="200"/>
        <v>15</v>
      </c>
      <c r="V376" s="148">
        <f t="shared" si="200"/>
        <v>16</v>
      </c>
      <c r="W376" s="148">
        <f t="shared" si="200"/>
        <v>17</v>
      </c>
      <c r="X376" s="148">
        <f t="shared" si="200"/>
        <v>18</v>
      </c>
      <c r="Y376" s="148">
        <f t="shared" si="200"/>
        <v>19</v>
      </c>
      <c r="Z376" s="148">
        <f t="shared" si="200"/>
        <v>20</v>
      </c>
    </row>
    <row r="377" spans="2:26" ht="15.5">
      <c r="B377" s="33" t="s">
        <v>380</v>
      </c>
      <c r="D377" s="48"/>
      <c r="E377" s="48"/>
      <c r="F377" s="34">
        <f ca="1">+F365</f>
        <v>-100152177.31526883</v>
      </c>
      <c r="G377" s="34">
        <f t="shared" ca="1" si="200"/>
        <v>-48240896.984754339</v>
      </c>
      <c r="H377" s="34">
        <f t="shared" ca="1" si="200"/>
        <v>-1376584.5367502868</v>
      </c>
      <c r="I377" s="34">
        <f t="shared" ca="1" si="200"/>
        <v>0</v>
      </c>
      <c r="J377" s="34">
        <f t="shared" ca="1" si="200"/>
        <v>0</v>
      </c>
      <c r="K377" s="34">
        <f t="shared" ca="1" si="200"/>
        <v>0</v>
      </c>
      <c r="L377" s="34">
        <f t="shared" ca="1" si="200"/>
        <v>0</v>
      </c>
      <c r="M377" s="34">
        <f t="shared" ca="1" si="200"/>
        <v>0</v>
      </c>
      <c r="N377" s="34">
        <f t="shared" ca="1" si="200"/>
        <v>0</v>
      </c>
      <c r="O377" s="34">
        <f t="shared" ca="1" si="200"/>
        <v>0</v>
      </c>
      <c r="P377" s="34">
        <f t="shared" ca="1" si="200"/>
        <v>0</v>
      </c>
      <c r="Q377" s="34">
        <f t="shared" ca="1" si="200"/>
        <v>0</v>
      </c>
      <c r="R377" s="34">
        <f t="shared" ca="1" si="200"/>
        <v>0</v>
      </c>
      <c r="S377" s="34">
        <f t="shared" ca="1" si="200"/>
        <v>0</v>
      </c>
      <c r="T377" s="34">
        <f t="shared" ca="1" si="200"/>
        <v>0</v>
      </c>
      <c r="U377" s="34">
        <f t="shared" ca="1" si="200"/>
        <v>0</v>
      </c>
      <c r="V377" s="34">
        <f t="shared" ca="1" si="200"/>
        <v>0</v>
      </c>
      <c r="W377" s="34">
        <f t="shared" ca="1" si="200"/>
        <v>0</v>
      </c>
      <c r="X377" s="34">
        <f t="shared" ca="1" si="200"/>
        <v>0</v>
      </c>
      <c r="Y377" s="34">
        <f t="shared" ca="1" si="200"/>
        <v>0</v>
      </c>
      <c r="Z377" s="34">
        <f t="shared" ca="1" si="200"/>
        <v>0</v>
      </c>
    </row>
    <row r="378" spans="2:26" ht="15.5">
      <c r="B378" s="33" t="s">
        <v>398</v>
      </c>
      <c r="D378" s="48"/>
      <c r="E378" s="48"/>
      <c r="F378" s="151">
        <f ca="1">-F377*Assumptions!$M$192</f>
        <v>21031957.236206453</v>
      </c>
      <c r="G378" s="151">
        <f ca="1">-G377*Assumptions!$M$192</f>
        <v>10130588.36679841</v>
      </c>
      <c r="H378" s="151">
        <f ca="1">-H377*Assumptions!$M$192</f>
        <v>289082.75271756022</v>
      </c>
      <c r="I378" s="151">
        <f ca="1">-I377*Assumptions!$M$192</f>
        <v>0</v>
      </c>
      <c r="J378" s="151">
        <f ca="1">-J377*Assumptions!$M$192</f>
        <v>0</v>
      </c>
      <c r="K378" s="151">
        <f ca="1">-K377*Assumptions!$M$192</f>
        <v>0</v>
      </c>
      <c r="L378" s="151">
        <f ca="1">-L377*Assumptions!$M$192</f>
        <v>0</v>
      </c>
      <c r="M378" s="151">
        <f ca="1">-M377*Assumptions!$M$192</f>
        <v>0</v>
      </c>
      <c r="N378" s="151">
        <f ca="1">-N377*Assumptions!$M$192</f>
        <v>0</v>
      </c>
      <c r="O378" s="151">
        <f ca="1">-O377*Assumptions!$M$192</f>
        <v>0</v>
      </c>
      <c r="P378" s="151">
        <f ca="1">-P377*Assumptions!$M$192</f>
        <v>0</v>
      </c>
      <c r="Q378" s="151">
        <f ca="1">-Q377*Assumptions!$M$192</f>
        <v>0</v>
      </c>
      <c r="R378" s="151">
        <f ca="1">-R377*Assumptions!$M$192</f>
        <v>0</v>
      </c>
      <c r="S378" s="151">
        <f ca="1">-S377*Assumptions!$M$192</f>
        <v>0</v>
      </c>
      <c r="T378" s="151">
        <f ca="1">-T377*Assumptions!$M$192</f>
        <v>0</v>
      </c>
      <c r="U378" s="151">
        <f ca="1">-U377*Assumptions!$M$192</f>
        <v>0</v>
      </c>
      <c r="V378" s="151">
        <f ca="1">-V377*Assumptions!$M$192</f>
        <v>0</v>
      </c>
      <c r="W378" s="151">
        <f ca="1">-W377*Assumptions!$M$192</f>
        <v>0</v>
      </c>
      <c r="X378" s="151">
        <f ca="1">-X377*Assumptions!$M$192</f>
        <v>0</v>
      </c>
      <c r="Y378" s="151">
        <f ca="1">-Y377*Assumptions!$M$192</f>
        <v>0</v>
      </c>
      <c r="Z378" s="151">
        <f ca="1">-Z377*Assumptions!$M$192</f>
        <v>0</v>
      </c>
    </row>
    <row r="379" spans="2:26" ht="15.5">
      <c r="B379" s="33" t="s">
        <v>399</v>
      </c>
      <c r="D379" s="48"/>
      <c r="E379" s="48"/>
      <c r="F379" s="151">
        <f ca="1">IFERROR(-IF(YEAR(F362)&lt;MIN(YEAR(Assumptions!$G$30),2026),(OFFSET(F378,0,-10)),IF(YEAR(F362)=MIN(YEAR(Assumptions!$G$30),2026),SUM($E$378:F$378)-SUM($E$379:E$379),0)),0)</f>
        <v>0</v>
      </c>
      <c r="G379" s="151">
        <f ca="1">IFERROR(-IF(YEAR(G362)&lt;MIN(YEAR(Assumptions!$G$30),2026),(OFFSET(G378,0,-10)),IF(YEAR(G362)=MIN(YEAR(Assumptions!$G$30),2026),SUM($E$378:G$378)-SUM($E$379:F$379),0)),0)</f>
        <v>0</v>
      </c>
      <c r="H379" s="151">
        <f ca="1">IFERROR(-IF(YEAR(H362)&lt;MIN(YEAR(Assumptions!$G$30),2026),(OFFSET(H378,0,-10)),IF(YEAR(H362)=MIN(YEAR(Assumptions!$G$30),2026),SUM($E$378:H$378)-SUM($E$379:G$379),0)),0)</f>
        <v>0</v>
      </c>
      <c r="I379" s="151">
        <f ca="1">IFERROR(-IF(YEAR(I362)&lt;MIN(YEAR(Assumptions!$G$30),2026),(OFFSET(I378,0,-10)),IF(YEAR(I362)=MIN(YEAR(Assumptions!$G$30),2026),SUM($E$378:I$378)-SUM($E$379:H$379),0)),0)</f>
        <v>-31451628.355722427</v>
      </c>
      <c r="J379" s="151">
        <f ca="1">IFERROR(-IF(YEAR(J362)&lt;MIN(YEAR(Assumptions!$G$30),2026),(OFFSET(J378,0,-10)),IF(YEAR(J362)=MIN(YEAR(Assumptions!$G$30),2026),SUM($E$378:J$378)-SUM($E$379:I$379),0)),0)</f>
        <v>0</v>
      </c>
      <c r="K379" s="151">
        <f ca="1">IFERROR(-IF(YEAR(K362)&lt;MIN(YEAR(Assumptions!$G$30),2026),(OFFSET(K378,0,-10)),IF(YEAR(K362)=MIN(YEAR(Assumptions!$G$30),2026),SUM($E$378:K$378)-SUM($E$379:J$379),0)),0)</f>
        <v>0</v>
      </c>
      <c r="L379" s="151">
        <f ca="1">IFERROR(-IF(YEAR(L362)&lt;MIN(YEAR(Assumptions!$G$30),2026),(OFFSET(L378,0,-10)),IF(YEAR(L362)=MIN(YEAR(Assumptions!$G$30),2026),SUM($E$378:L$378)-SUM($E$379:K$379),0)),0)</f>
        <v>0</v>
      </c>
      <c r="M379" s="151">
        <f ca="1">IFERROR(-IF(YEAR(M362)&lt;MIN(YEAR(Assumptions!$G$30),2026),(OFFSET(M378,0,-10)),IF(YEAR(M362)=MIN(YEAR(Assumptions!$G$30),2026),SUM($E$378:M$378)-SUM($E$379:L$379),0)),0)</f>
        <v>0</v>
      </c>
      <c r="N379" s="151">
        <f ca="1">IFERROR(-IF(YEAR(N362)&lt;MIN(YEAR(Assumptions!$G$30),2026),(OFFSET(N378,0,-10)),IF(YEAR(N362)=MIN(YEAR(Assumptions!$G$30),2026),SUM($E$378:N$378)-SUM($E$379:M$379),0)),0)</f>
        <v>0</v>
      </c>
      <c r="O379" s="151">
        <f ca="1">IFERROR(-IF(YEAR(O362)&lt;MIN(YEAR(Assumptions!$G$30),2026),(OFFSET(O378,0,-10)),IF(YEAR(O362)=MIN(YEAR(Assumptions!$G$30),2026),SUM($E$378:O$378)-SUM($E$379:N$379),0)),0)</f>
        <v>0</v>
      </c>
      <c r="P379" s="151">
        <f ca="1">IFERROR(-IF(YEAR(P362)&lt;MIN(YEAR(Assumptions!$G$30),2026),(OFFSET(P378,0,-10)),IF(YEAR(P362)=MIN(YEAR(Assumptions!$G$30),2026),SUM($E$378:P$378)-SUM($E$379:O$379),0)),0)</f>
        <v>0</v>
      </c>
      <c r="Q379" s="151">
        <f ca="1">IFERROR(-IF(YEAR(Q362)&lt;MIN(YEAR(Assumptions!$G$30),2026),(OFFSET(Q378,0,-10)),IF(YEAR(Q362)=MIN(YEAR(Assumptions!$G$30),2026),SUM($E$378:Q$378)-SUM($E$379:P$379),0)),0)</f>
        <v>0</v>
      </c>
      <c r="R379" s="151">
        <f ca="1">IFERROR(-IF(YEAR(R362)&lt;MIN(YEAR(Assumptions!$G$30),2026),(OFFSET(R378,0,-10)),IF(YEAR(R362)=MIN(YEAR(Assumptions!$G$30),2026),SUM($E$378:R$378)-SUM($E$379:Q$379),0)),0)</f>
        <v>0</v>
      </c>
      <c r="S379" s="151">
        <f ca="1">IFERROR(-IF(YEAR(S362)&lt;MIN(YEAR(Assumptions!$G$30),2026),(OFFSET(S378,0,-10)),IF(YEAR(S362)=MIN(YEAR(Assumptions!$G$30),2026),SUM($E$378:S$378)-SUM($E$379:R$379),0)),0)</f>
        <v>0</v>
      </c>
      <c r="T379" s="151">
        <f ca="1">IFERROR(-IF(YEAR(T362)&lt;MIN(YEAR(Assumptions!$G$30),2026),(OFFSET(T378,0,-10)),IF(YEAR(T362)=MIN(YEAR(Assumptions!$G$30),2026),SUM($E$378:T$378)-SUM($E$379:S$379),0)),0)</f>
        <v>0</v>
      </c>
      <c r="U379" s="151">
        <f ca="1">IFERROR(-IF(YEAR(U362)&lt;MIN(YEAR(Assumptions!$G$30),2026),(OFFSET(U378,0,-10)),IF(YEAR(U362)=MIN(YEAR(Assumptions!$G$30),2026),SUM($E$378:U$378)-SUM($E$379:T$379),0)),0)</f>
        <v>0</v>
      </c>
      <c r="V379" s="151">
        <f ca="1">IFERROR(-IF(YEAR(V362)&lt;MIN(YEAR(Assumptions!$G$30),2026),(OFFSET(V378,0,-10)),IF(YEAR(V362)=MIN(YEAR(Assumptions!$G$30),2026),SUM($E$378:V$378)-SUM($E$379:U$379),0)),0)</f>
        <v>0</v>
      </c>
      <c r="W379" s="151">
        <f ca="1">IFERROR(-IF(YEAR(W362)&lt;MIN(YEAR(Assumptions!$G$30),2026),(OFFSET(W378,0,-10)),IF(YEAR(W362)=MIN(YEAR(Assumptions!$G$30),2026),SUM($E$378:W$378)-SUM($E$379:V$379),0)),0)</f>
        <v>0</v>
      </c>
      <c r="X379" s="151">
        <f ca="1">IFERROR(-IF(YEAR(X362)&lt;MIN(YEAR(Assumptions!$G$30),2026),(OFFSET(X378,0,-10)),IF(YEAR(X362)=MIN(YEAR(Assumptions!$G$30),2026),SUM($E$378:X$378)-SUM($E$379:W$379),0)),0)</f>
        <v>0</v>
      </c>
      <c r="Y379" s="151">
        <f ca="1">IFERROR(-IF(YEAR(Y362)&lt;MIN(YEAR(Assumptions!$G$30),2026),(OFFSET(Y378,0,-10)),IF(YEAR(Y362)=MIN(YEAR(Assumptions!$G$30),2026),SUM($E$378:Y$378)-SUM($E$379:X$379),0)),0)</f>
        <v>0</v>
      </c>
      <c r="Z379" s="151">
        <f ca="1">IFERROR(-IF(YEAR(Z362)&lt;MIN(YEAR(Assumptions!$G$30),2026),(OFFSET(Z378,0,-10)),IF(YEAR(Z362)=MIN(YEAR(Assumptions!$G$30),2026),SUM($E$378:Z$378)-SUM($E$379:Y$379),0)),0)</f>
        <v>0</v>
      </c>
    </row>
    <row r="380" spans="2:26" ht="15.5">
      <c r="B380" s="33" t="s">
        <v>400</v>
      </c>
      <c r="D380" s="48"/>
      <c r="E380" s="48"/>
      <c r="F380" s="151">
        <f>+IF(YEAR(F362)=MIN(YEAR(Assumptions!$G$30),2026),SUM($F$390:$Z$390),0)</f>
        <v>0</v>
      </c>
      <c r="G380" s="151">
        <f>+IF(YEAR(G362)=MIN(YEAR(Assumptions!$G$30),2026),SUM($F$390:$Z$390),0)</f>
        <v>0</v>
      </c>
      <c r="H380" s="151">
        <f>+IF(YEAR(H362)=MIN(YEAR(Assumptions!$G$30),2026),SUM($F$390:$Z$390),0)</f>
        <v>0</v>
      </c>
      <c r="I380" s="151">
        <f ca="1">+IF(YEAR(I362)=MIN(YEAR(Assumptions!$G$30),2026),SUM($F$390:$Z$390),0)</f>
        <v>4703290.1157224858</v>
      </c>
      <c r="J380" s="151">
        <f>+IF(YEAR(J362)=MIN(YEAR(Assumptions!$G$30),2026),SUM($F$390:$Z$390),0)</f>
        <v>0</v>
      </c>
      <c r="K380" s="151">
        <f>+IF(YEAR(K362)=MIN(YEAR(Assumptions!$G$30),2026),SUM($F$390:$Z$390),0)</f>
        <v>0</v>
      </c>
      <c r="L380" s="151">
        <f>+IF(YEAR(L362)=MIN(YEAR(Assumptions!$G$30),2026),SUM($F$390:$Z$390),0)</f>
        <v>0</v>
      </c>
      <c r="M380" s="151">
        <f>+IF(YEAR(M362)=MIN(YEAR(Assumptions!$G$30),2026),SUM($F$390:$Z$390),0)</f>
        <v>0</v>
      </c>
      <c r="N380" s="151">
        <f>+IF(YEAR(N362)=MIN(YEAR(Assumptions!$G$30),2026),SUM($F$390:$Z$390),0)</f>
        <v>0</v>
      </c>
      <c r="O380" s="151">
        <f>+IF(YEAR(O362)=MIN(YEAR(Assumptions!$G$30),2026),SUM($F$390:$Z$390),0)</f>
        <v>0</v>
      </c>
      <c r="P380" s="151">
        <f>+IF(YEAR(P362)=MIN(YEAR(Assumptions!$G$30),2026),SUM($F$390:$Z$390),0)</f>
        <v>0</v>
      </c>
      <c r="Q380" s="151">
        <f>+IF(YEAR(Q362)=MIN(YEAR(Assumptions!$G$30),2026),SUM($F$390:$Z$390),0)</f>
        <v>0</v>
      </c>
      <c r="R380" s="151">
        <f>+IF(YEAR(R362)=MIN(YEAR(Assumptions!$G$30),2026),SUM($F$390:$Z$390),0)</f>
        <v>0</v>
      </c>
      <c r="S380" s="151">
        <f>+IF(YEAR(S362)=MIN(YEAR(Assumptions!$G$30),2026),SUM($F$390:$Z$390),0)</f>
        <v>0</v>
      </c>
      <c r="T380" s="151">
        <f>+IF(YEAR(T362)=MIN(YEAR(Assumptions!$G$30),2026),SUM($F$390:$Z$390),0)</f>
        <v>0</v>
      </c>
      <c r="U380" s="151">
        <f>+IF(YEAR(U362)=MIN(YEAR(Assumptions!$G$30),2026),SUM($F$390:$Z$390),0)</f>
        <v>0</v>
      </c>
      <c r="V380" s="151">
        <f>+IF(YEAR(V362)=MIN(YEAR(Assumptions!$G$30),2026),SUM($F$390:$Z$390),0)</f>
        <v>0</v>
      </c>
      <c r="W380" s="151">
        <f>+IF(YEAR(W362)=MIN(YEAR(Assumptions!$G$30),2026),SUM($F$390:$Z$390),0)</f>
        <v>0</v>
      </c>
      <c r="X380" s="151">
        <f>+IF(YEAR(X362)=MIN(YEAR(Assumptions!$G$30),2026),SUM($F$390:$Z$390),0)</f>
        <v>0</v>
      </c>
      <c r="Y380" s="151">
        <f>+IF(YEAR(Y362)=MIN(YEAR(Assumptions!$G$30),2026),SUM($F$390:$Z$390),0)</f>
        <v>0</v>
      </c>
      <c r="Z380" s="151">
        <f>+IF(YEAR(Z362)=MIN(YEAR(Assumptions!$G$30),2026),SUM($F$390:$Z$390),0)</f>
        <v>0</v>
      </c>
    </row>
    <row r="381" spans="2:26" ht="15.5">
      <c r="B381" s="33" t="s">
        <v>390</v>
      </c>
      <c r="D381" s="48"/>
      <c r="E381" s="48"/>
      <c r="F381" s="151">
        <f ca="1">+F368</f>
        <v>0</v>
      </c>
      <c r="G381" s="151">
        <f t="shared" ref="G381:Z383" ca="1" si="201">+G368</f>
        <v>0</v>
      </c>
      <c r="H381" s="151">
        <f t="shared" ca="1" si="201"/>
        <v>0</v>
      </c>
      <c r="I381" s="151">
        <f t="shared" ca="1" si="201"/>
        <v>-1441578.9421134293</v>
      </c>
      <c r="J381" s="151">
        <f t="shared" ca="1" si="201"/>
        <v>-1671834.643428226</v>
      </c>
      <c r="K381" s="151">
        <f t="shared" ca="1" si="201"/>
        <v>-1671834.6447078239</v>
      </c>
      <c r="L381" s="151">
        <f t="shared" ca="1" si="201"/>
        <v>-1855831.0918378122</v>
      </c>
      <c r="M381" s="151">
        <f t="shared" ca="1" si="201"/>
        <v>-1855831.0935085961</v>
      </c>
      <c r="N381" s="151">
        <f t="shared" ca="1" si="201"/>
        <v>-1855831.0952230229</v>
      </c>
      <c r="O381" s="151">
        <f t="shared" si="201"/>
        <v>0</v>
      </c>
      <c r="P381" s="151">
        <f t="shared" si="201"/>
        <v>0</v>
      </c>
      <c r="Q381" s="151">
        <f t="shared" si="201"/>
        <v>0</v>
      </c>
      <c r="R381" s="151">
        <f t="shared" si="201"/>
        <v>0</v>
      </c>
      <c r="S381" s="151">
        <f t="shared" si="201"/>
        <v>0</v>
      </c>
      <c r="T381" s="151">
        <f t="shared" si="201"/>
        <v>0</v>
      </c>
      <c r="U381" s="151">
        <f t="shared" si="201"/>
        <v>0</v>
      </c>
      <c r="V381" s="151">
        <f t="shared" si="201"/>
        <v>0</v>
      </c>
      <c r="W381" s="151">
        <f t="shared" si="201"/>
        <v>0</v>
      </c>
      <c r="X381" s="151">
        <f t="shared" si="201"/>
        <v>0</v>
      </c>
      <c r="Y381" s="151">
        <f t="shared" si="201"/>
        <v>0</v>
      </c>
      <c r="Z381" s="151">
        <f t="shared" si="201"/>
        <v>0</v>
      </c>
    </row>
    <row r="382" spans="2:26" ht="15.5">
      <c r="B382" s="33" t="s">
        <v>391</v>
      </c>
      <c r="D382" s="48"/>
      <c r="E382" s="48"/>
      <c r="F382" s="151">
        <f ca="1">+F369</f>
        <v>0</v>
      </c>
      <c r="G382" s="151">
        <f t="shared" ca="1" si="201"/>
        <v>0</v>
      </c>
      <c r="H382" s="151">
        <f t="shared" ca="1" si="201"/>
        <v>0</v>
      </c>
      <c r="I382" s="151">
        <f t="shared" ca="1" si="201"/>
        <v>6864661.6291115722</v>
      </c>
      <c r="J382" s="151">
        <f t="shared" ca="1" si="201"/>
        <v>13729323.269132411</v>
      </c>
      <c r="K382" s="151">
        <f t="shared" ca="1" si="201"/>
        <v>13729323.275225734</v>
      </c>
      <c r="L382" s="151">
        <f t="shared" ca="1" si="201"/>
        <v>14605496.83298758</v>
      </c>
      <c r="M382" s="151">
        <f t="shared" ca="1" si="201"/>
        <v>14605496.840943698</v>
      </c>
      <c r="N382" s="151">
        <f t="shared" ca="1" si="201"/>
        <v>14605496.849107634</v>
      </c>
      <c r="O382" s="151">
        <f t="shared" si="201"/>
        <v>0</v>
      </c>
      <c r="P382" s="151">
        <f t="shared" si="201"/>
        <v>0</v>
      </c>
      <c r="Q382" s="151">
        <f t="shared" si="201"/>
        <v>0</v>
      </c>
      <c r="R382" s="151">
        <f t="shared" si="201"/>
        <v>0</v>
      </c>
      <c r="S382" s="151">
        <f t="shared" si="201"/>
        <v>0</v>
      </c>
      <c r="T382" s="151">
        <f t="shared" si="201"/>
        <v>0</v>
      </c>
      <c r="U382" s="151">
        <f t="shared" si="201"/>
        <v>0</v>
      </c>
      <c r="V382" s="151">
        <f t="shared" si="201"/>
        <v>0</v>
      </c>
      <c r="W382" s="151">
        <f t="shared" si="201"/>
        <v>0</v>
      </c>
      <c r="X382" s="151">
        <f t="shared" si="201"/>
        <v>0</v>
      </c>
      <c r="Y382" s="151">
        <f t="shared" si="201"/>
        <v>0</v>
      </c>
      <c r="Z382" s="151">
        <f t="shared" si="201"/>
        <v>0</v>
      </c>
    </row>
    <row r="383" spans="2:26" ht="15.5">
      <c r="B383" s="33" t="s">
        <v>385</v>
      </c>
      <c r="D383" s="48"/>
      <c r="E383" s="48"/>
      <c r="F383" s="151">
        <f>+F370</f>
        <v>0</v>
      </c>
      <c r="G383" s="151">
        <f t="shared" si="201"/>
        <v>65237394.974527918</v>
      </c>
      <c r="H383" s="151">
        <f t="shared" si="201"/>
        <v>0</v>
      </c>
      <c r="I383" s="151">
        <f t="shared" si="201"/>
        <v>0</v>
      </c>
      <c r="J383" s="151">
        <f t="shared" si="201"/>
        <v>0</v>
      </c>
      <c r="K383" s="151">
        <f t="shared" si="201"/>
        <v>0</v>
      </c>
      <c r="L383" s="151">
        <f t="shared" si="201"/>
        <v>0</v>
      </c>
      <c r="M383" s="151">
        <f t="shared" si="201"/>
        <v>0</v>
      </c>
      <c r="N383" s="151">
        <f t="shared" ca="1" si="201"/>
        <v>164718316.1446355</v>
      </c>
      <c r="O383" s="151">
        <f t="shared" si="201"/>
        <v>0</v>
      </c>
      <c r="P383" s="151">
        <f t="shared" si="201"/>
        <v>0</v>
      </c>
      <c r="Q383" s="151">
        <f t="shared" si="201"/>
        <v>0</v>
      </c>
      <c r="R383" s="151">
        <f t="shared" si="201"/>
        <v>0</v>
      </c>
      <c r="S383" s="151">
        <f t="shared" si="201"/>
        <v>0</v>
      </c>
      <c r="T383" s="151">
        <f t="shared" si="201"/>
        <v>0</v>
      </c>
      <c r="U383" s="151">
        <f t="shared" si="201"/>
        <v>0</v>
      </c>
      <c r="V383" s="151">
        <f t="shared" si="201"/>
        <v>0</v>
      </c>
      <c r="W383" s="151">
        <f t="shared" si="201"/>
        <v>0</v>
      </c>
      <c r="X383" s="151">
        <f t="shared" si="201"/>
        <v>0</v>
      </c>
      <c r="Y383" s="151">
        <f t="shared" si="201"/>
        <v>0</v>
      </c>
      <c r="Z383" s="151">
        <f t="shared" si="201"/>
        <v>0</v>
      </c>
    </row>
    <row r="384" spans="2:26" ht="15.5">
      <c r="B384" s="33" t="s">
        <v>397</v>
      </c>
      <c r="D384" s="48"/>
      <c r="E384" s="48"/>
      <c r="F384" s="151">
        <f>+IF(F364&gt;=10,0,F371)</f>
        <v>0</v>
      </c>
      <c r="G384" s="151">
        <f t="shared" ref="G384:Z384" si="202">+IF(G364&gt;=10,0,G371)</f>
        <v>0</v>
      </c>
      <c r="H384" s="151">
        <f t="shared" si="202"/>
        <v>0</v>
      </c>
      <c r="I384" s="151">
        <f t="shared" si="202"/>
        <v>0</v>
      </c>
      <c r="J384" s="151">
        <f t="shared" si="202"/>
        <v>0</v>
      </c>
      <c r="K384" s="151">
        <f t="shared" si="202"/>
        <v>0</v>
      </c>
      <c r="L384" s="151">
        <f t="shared" si="202"/>
        <v>0</v>
      </c>
      <c r="M384" s="151">
        <f t="shared" si="202"/>
        <v>0</v>
      </c>
      <c r="N384" s="151">
        <f t="shared" ca="1" si="202"/>
        <v>-22895687.194749761</v>
      </c>
      <c r="O384" s="151">
        <f t="shared" si="202"/>
        <v>0</v>
      </c>
      <c r="P384" s="151">
        <f t="shared" si="202"/>
        <v>0</v>
      </c>
      <c r="Q384" s="151">
        <f t="shared" si="202"/>
        <v>0</v>
      </c>
      <c r="R384" s="151">
        <f t="shared" si="202"/>
        <v>0</v>
      </c>
      <c r="S384" s="151">
        <f t="shared" si="202"/>
        <v>0</v>
      </c>
      <c r="T384" s="151">
        <f t="shared" si="202"/>
        <v>0</v>
      </c>
      <c r="U384" s="151">
        <f t="shared" si="202"/>
        <v>0</v>
      </c>
      <c r="V384" s="151">
        <f t="shared" si="202"/>
        <v>0</v>
      </c>
      <c r="W384" s="151">
        <f t="shared" si="202"/>
        <v>0</v>
      </c>
      <c r="X384" s="151">
        <f t="shared" si="202"/>
        <v>0</v>
      </c>
      <c r="Y384" s="151">
        <f t="shared" si="202"/>
        <v>0</v>
      </c>
      <c r="Z384" s="151">
        <f t="shared" si="202"/>
        <v>0</v>
      </c>
    </row>
    <row r="385" spans="2:26" ht="15.5">
      <c r="B385" s="138" t="s">
        <v>388</v>
      </c>
      <c r="C385" s="138"/>
      <c r="D385" s="139">
        <f t="shared" ref="D385" ca="1" si="203">+SUM(F385:Z385)</f>
        <v>129780712.38905221</v>
      </c>
      <c r="E385" s="139"/>
      <c r="F385" s="139">
        <f t="shared" ref="F385:Z385" ca="1" si="204">+SUM(F377:F384)</f>
        <v>-79120220.079062372</v>
      </c>
      <c r="G385" s="139">
        <f t="shared" ca="1" si="204"/>
        <v>27127086.356571987</v>
      </c>
      <c r="H385" s="139">
        <f t="shared" ca="1" si="204"/>
        <v>-1087501.7840327267</v>
      </c>
      <c r="I385" s="139">
        <f t="shared" ca="1" si="204"/>
        <v>-21325255.553001799</v>
      </c>
      <c r="J385" s="139">
        <f t="shared" ca="1" si="204"/>
        <v>12057488.625704184</v>
      </c>
      <c r="K385" s="139">
        <f t="shared" ca="1" si="204"/>
        <v>12057488.630517911</v>
      </c>
      <c r="L385" s="139">
        <f t="shared" ca="1" si="204"/>
        <v>12749665.741149768</v>
      </c>
      <c r="M385" s="139">
        <f t="shared" ca="1" si="204"/>
        <v>12749665.747435102</v>
      </c>
      <c r="N385" s="139">
        <f t="shared" ca="1" si="204"/>
        <v>154572294.70377034</v>
      </c>
      <c r="O385" s="139">
        <f t="shared" ca="1" si="204"/>
        <v>0</v>
      </c>
      <c r="P385" s="139">
        <f t="shared" ca="1" si="204"/>
        <v>0</v>
      </c>
      <c r="Q385" s="139">
        <f t="shared" ca="1" si="204"/>
        <v>0</v>
      </c>
      <c r="R385" s="139">
        <f t="shared" ca="1" si="204"/>
        <v>0</v>
      </c>
      <c r="S385" s="139">
        <f t="shared" ca="1" si="204"/>
        <v>0</v>
      </c>
      <c r="T385" s="139">
        <f t="shared" ca="1" si="204"/>
        <v>0</v>
      </c>
      <c r="U385" s="139">
        <f t="shared" ca="1" si="204"/>
        <v>0</v>
      </c>
      <c r="V385" s="139">
        <f t="shared" ca="1" si="204"/>
        <v>0</v>
      </c>
      <c r="W385" s="139">
        <f t="shared" ca="1" si="204"/>
        <v>0</v>
      </c>
      <c r="X385" s="139">
        <f t="shared" ca="1" si="204"/>
        <v>0</v>
      </c>
      <c r="Y385" s="139">
        <f t="shared" ca="1" si="204"/>
        <v>0</v>
      </c>
      <c r="Z385" s="139">
        <f t="shared" ca="1" si="204"/>
        <v>0</v>
      </c>
    </row>
    <row r="387" spans="2:26" ht="15.5">
      <c r="B387" s="190" t="s">
        <v>403</v>
      </c>
      <c r="C387" s="190"/>
      <c r="D387" s="191">
        <f ca="1">+IRR(F385:Z385)</f>
        <v>0.15779549070207133</v>
      </c>
    </row>
    <row r="388" spans="2:26" ht="15.5">
      <c r="B388" s="194" t="s">
        <v>404</v>
      </c>
      <c r="C388" s="193"/>
      <c r="D388" s="228">
        <f ca="1">+D387/(1-Assumptions!$M$192)</f>
        <v>0.19974112747097636</v>
      </c>
    </row>
    <row r="390" spans="2:26">
      <c r="B390" s="41" t="s">
        <v>401</v>
      </c>
      <c r="F390" s="151">
        <f ca="1">IFERROR(IF(YEAR(F362)&lt;=YEAR(Assumptions!$G$30),10%*(OFFSET(F378,0,-5))+5%*(OFFSET(F378,0,-7)),0),0)</f>
        <v>0</v>
      </c>
      <c r="G390" s="151">
        <f ca="1">IFERROR(IF(YEAR(G362)&lt;=YEAR(Assumptions!$G$30),10%*(OFFSET(G378,0,-5))+5%*(OFFSET(G378,0,-7)),0),0)</f>
        <v>0</v>
      </c>
      <c r="H390" s="151">
        <f ca="1">IFERROR(IF(YEAR(H362)&lt;=YEAR(Assumptions!$G$30),10%*(OFFSET(H378,0,-5))+5%*(OFFSET(H378,0,-7)),0),0)</f>
        <v>0</v>
      </c>
      <c r="I390" s="151">
        <f ca="1">IFERROR(IF(YEAR(I362)&lt;=YEAR(Assumptions!$G$30),10%*(OFFSET(I378,0,-5))+5%*(OFFSET(I378,0,-7)),0),0)</f>
        <v>0</v>
      </c>
      <c r="J390" s="151">
        <f ca="1">IFERROR(IF(YEAR(J362)&lt;=YEAR(Assumptions!$G$30),10%*(OFFSET(J378,0,-5))+5%*(OFFSET(J378,0,-7)),0),0)</f>
        <v>0</v>
      </c>
      <c r="K390" s="151">
        <f ca="1">IFERROR(IF(YEAR(K362)&lt;=YEAR(Assumptions!$G$30),10%*(OFFSET(K378,0,-5))+5%*(OFFSET(K378,0,-7)),0),0)</f>
        <v>2103195.7236206452</v>
      </c>
      <c r="L390" s="151">
        <f ca="1">IFERROR(IF(YEAR(L362)&lt;=YEAR(Assumptions!$G$30),10%*(OFFSET(L378,0,-5))+5%*(OFFSET(L378,0,-7)),0),0)</f>
        <v>1013058.836679841</v>
      </c>
      <c r="M390" s="151">
        <f ca="1">IFERROR(IF(YEAR(M362)&lt;=YEAR(Assumptions!$G$30),10%*(OFFSET(M378,0,-5))+5%*(OFFSET(M378,0,-7)),0),0)</f>
        <v>1080506.1370820787</v>
      </c>
      <c r="N390" s="151">
        <f ca="1">IFERROR(IF(YEAR(N362)&lt;=YEAR(Assumptions!$G$30),10%*(OFFSET(N378,0,-5))+5%*(OFFSET(N378,0,-7)),0),0)</f>
        <v>506529.41833992052</v>
      </c>
      <c r="O390" s="151">
        <f ca="1">IFERROR(IF(YEAR(O362)&lt;=YEAR(Assumptions!$G$30),10%*(OFFSET(O378,0,-5))+5%*(OFFSET(O378,0,-7)),0),0)</f>
        <v>0</v>
      </c>
      <c r="P390" s="151">
        <f ca="1">IFERROR(IF(YEAR(P362)&lt;=YEAR(Assumptions!$G$30),10%*(OFFSET(P378,0,-5))+5%*(OFFSET(P378,0,-7)),0),0)</f>
        <v>0</v>
      </c>
      <c r="Q390" s="151">
        <f ca="1">IFERROR(IF(YEAR(Q362)&lt;=YEAR(Assumptions!$G$30),10%*(OFFSET(Q378,0,-5))+5%*(OFFSET(Q378,0,-7)),0),0)</f>
        <v>0</v>
      </c>
      <c r="R390" s="151">
        <f ca="1">IFERROR(IF(YEAR(R362)&lt;=YEAR(Assumptions!$G$30),10%*(OFFSET(R378,0,-5))+5%*(OFFSET(R378,0,-7)),0),0)</f>
        <v>0</v>
      </c>
      <c r="S390" s="151">
        <f ca="1">IFERROR(IF(YEAR(S362)&lt;=YEAR(Assumptions!$G$30),10%*(OFFSET(S378,0,-5))+5%*(OFFSET(S378,0,-7)),0),0)</f>
        <v>0</v>
      </c>
      <c r="T390" s="151">
        <f ca="1">IFERROR(IF(YEAR(T362)&lt;=YEAR(Assumptions!$G$30),10%*(OFFSET(T378,0,-5))+5%*(OFFSET(T378,0,-7)),0),0)</f>
        <v>0</v>
      </c>
      <c r="U390" s="151">
        <f ca="1">IFERROR(IF(YEAR(U362)&lt;=YEAR(Assumptions!$G$30),10%*(OFFSET(U378,0,-5))+5%*(OFFSET(U378,0,-7)),0),0)</f>
        <v>0</v>
      </c>
      <c r="V390" s="151">
        <f ca="1">IFERROR(IF(YEAR(V362)&lt;=YEAR(Assumptions!$G$30),10%*(OFFSET(V378,0,-5))+5%*(OFFSET(V378,0,-7)),0),0)</f>
        <v>0</v>
      </c>
      <c r="W390" s="151">
        <f ca="1">IFERROR(IF(YEAR(W362)&lt;=YEAR(Assumptions!$G$30),10%*(OFFSET(W378,0,-5))+5%*(OFFSET(W378,0,-7)),0),0)</f>
        <v>0</v>
      </c>
      <c r="X390" s="151">
        <f ca="1">IFERROR(IF(YEAR(X362)&lt;=YEAR(Assumptions!$G$30),10%*(OFFSET(X378,0,-5))+5%*(OFFSET(X378,0,-7)),0),0)</f>
        <v>0</v>
      </c>
      <c r="Y390" s="151">
        <f ca="1">IFERROR(IF(YEAR(Y362)&lt;=YEAR(Assumptions!$G$30),10%*(OFFSET(Y378,0,-5))+5%*(OFFSET(Y378,0,-7)),0),0)</f>
        <v>0</v>
      </c>
      <c r="Z390" s="151">
        <f ca="1">IFERROR(IF(YEAR(Z362)&lt;=YEAR(Assumptions!$G$30),10%*(OFFSET(Z378,0,-5))+5%*(OFFSET(Z378,0,-7)),0),0)</f>
        <v>0</v>
      </c>
    </row>
    <row r="392" spans="2:26" ht="15.5">
      <c r="B392" s="148" t="s">
        <v>381</v>
      </c>
    </row>
    <row r="393" spans="2:26" ht="15.5">
      <c r="B393" s="33" t="s">
        <v>382</v>
      </c>
      <c r="D393" s="48">
        <f ca="1">+SUM(F393:Z393)</f>
        <v>632819380.61949539</v>
      </c>
      <c r="E393" s="48"/>
      <c r="F393" s="34">
        <v>0</v>
      </c>
      <c r="G393" s="34">
        <f ca="1">+F400</f>
        <v>100152177.31526883</v>
      </c>
      <c r="H393" s="34">
        <f t="shared" ref="H393:Z393" ca="1" si="205">+G400</f>
        <v>83155679.325495243</v>
      </c>
      <c r="I393" s="34">
        <f t="shared" ca="1" si="205"/>
        <v>84532263.86224556</v>
      </c>
      <c r="J393" s="34">
        <f t="shared" ca="1" si="205"/>
        <v>84532263.86224553</v>
      </c>
      <c r="K393" s="34">
        <f t="shared" ca="1" si="205"/>
        <v>78764057.942771375</v>
      </c>
      <c r="L393" s="34">
        <f t="shared" ca="1" si="205"/>
        <v>72995852.023297161</v>
      </c>
      <c r="M393" s="34">
        <f t="shared" ca="1" si="205"/>
        <v>67227646.103823006</v>
      </c>
      <c r="N393" s="34">
        <f t="shared" ca="1" si="205"/>
        <v>61459440.184348792</v>
      </c>
      <c r="O393" s="34">
        <f t="shared" ca="1" si="205"/>
        <v>0</v>
      </c>
      <c r="P393" s="34">
        <f t="shared" ca="1" si="205"/>
        <v>0</v>
      </c>
      <c r="Q393" s="34">
        <f t="shared" ca="1" si="205"/>
        <v>0</v>
      </c>
      <c r="R393" s="34">
        <f t="shared" ca="1" si="205"/>
        <v>0</v>
      </c>
      <c r="S393" s="34">
        <f t="shared" ca="1" si="205"/>
        <v>0</v>
      </c>
      <c r="T393" s="34">
        <f t="shared" ca="1" si="205"/>
        <v>0</v>
      </c>
      <c r="U393" s="34">
        <f t="shared" ca="1" si="205"/>
        <v>0</v>
      </c>
      <c r="V393" s="34">
        <f t="shared" ca="1" si="205"/>
        <v>0</v>
      </c>
      <c r="W393" s="34">
        <f t="shared" ca="1" si="205"/>
        <v>0</v>
      </c>
      <c r="X393" s="34">
        <f t="shared" ca="1" si="205"/>
        <v>0</v>
      </c>
      <c r="Y393" s="34">
        <f t="shared" ca="1" si="205"/>
        <v>0</v>
      </c>
      <c r="Z393" s="34">
        <f t="shared" ca="1" si="205"/>
        <v>0</v>
      </c>
    </row>
    <row r="394" spans="2:26" ht="15.5">
      <c r="B394" s="33" t="s">
        <v>380</v>
      </c>
      <c r="D394" s="48">
        <f t="shared" ref="D394:D399" ca="1" si="206">+SUM(F394:Z394)</f>
        <v>149769658.83677348</v>
      </c>
      <c r="E394" s="48"/>
      <c r="F394" s="151">
        <f ca="1">-F365</f>
        <v>100152177.31526883</v>
      </c>
      <c r="G394" s="151">
        <f t="shared" ref="G394:Z394" ca="1" si="207">-G365</f>
        <v>48240896.984754339</v>
      </c>
      <c r="H394" s="151">
        <f t="shared" ca="1" si="207"/>
        <v>1376584.5367502868</v>
      </c>
      <c r="I394" s="151">
        <f t="shared" ca="1" si="207"/>
        <v>0</v>
      </c>
      <c r="J394" s="151">
        <f t="shared" ca="1" si="207"/>
        <v>0</v>
      </c>
      <c r="K394" s="151">
        <f t="shared" ca="1" si="207"/>
        <v>0</v>
      </c>
      <c r="L394" s="151">
        <f t="shared" ca="1" si="207"/>
        <v>0</v>
      </c>
      <c r="M394" s="151">
        <f t="shared" ca="1" si="207"/>
        <v>0</v>
      </c>
      <c r="N394" s="151">
        <f t="shared" ca="1" si="207"/>
        <v>0</v>
      </c>
      <c r="O394" s="151">
        <f t="shared" ca="1" si="207"/>
        <v>0</v>
      </c>
      <c r="P394" s="151">
        <f t="shared" ca="1" si="207"/>
        <v>0</v>
      </c>
      <c r="Q394" s="151">
        <f t="shared" ca="1" si="207"/>
        <v>0</v>
      </c>
      <c r="R394" s="151">
        <f t="shared" ca="1" si="207"/>
        <v>0</v>
      </c>
      <c r="S394" s="151">
        <f t="shared" ca="1" si="207"/>
        <v>0</v>
      </c>
      <c r="T394" s="151">
        <f t="shared" ca="1" si="207"/>
        <v>0</v>
      </c>
      <c r="U394" s="151">
        <f t="shared" ca="1" si="207"/>
        <v>0</v>
      </c>
      <c r="V394" s="151">
        <f t="shared" ca="1" si="207"/>
        <v>0</v>
      </c>
      <c r="W394" s="151">
        <f t="shared" ca="1" si="207"/>
        <v>0</v>
      </c>
      <c r="X394" s="151">
        <f t="shared" ca="1" si="207"/>
        <v>0</v>
      </c>
      <c r="Y394" s="151">
        <f t="shared" ca="1" si="207"/>
        <v>0</v>
      </c>
      <c r="Z394" s="151">
        <f t="shared" ca="1" si="207"/>
        <v>0</v>
      </c>
    </row>
    <row r="395" spans="2:26" ht="15.5">
      <c r="B395" s="33" t="s">
        <v>233</v>
      </c>
      <c r="D395" s="48">
        <f t="shared" ca="1" si="206"/>
        <v>78139798.696508586</v>
      </c>
      <c r="E395" s="48"/>
      <c r="F395" s="151">
        <f ca="1">IF(F362&lt;=Assumptions!$G$30,F325,0)</f>
        <v>0</v>
      </c>
      <c r="G395" s="151">
        <f ca="1">IF(G362&lt;=Assumptions!$G$30,G325,0)</f>
        <v>0</v>
      </c>
      <c r="H395" s="151">
        <f ca="1">IF(H362&lt;=Assumptions!$G$30,H325,0)</f>
        <v>0</v>
      </c>
      <c r="I395" s="151">
        <f ca="1">IF(I362&lt;=Assumptions!$G$30,I325,0)</f>
        <v>6864661.6291115722</v>
      </c>
      <c r="J395" s="151">
        <f ca="1">IF(J362&lt;=Assumptions!$G$30,J325,0)</f>
        <v>13729323.269132411</v>
      </c>
      <c r="K395" s="151">
        <f ca="1">IF(K362&lt;=Assumptions!$G$30,K325,0)</f>
        <v>13729323.275225734</v>
      </c>
      <c r="L395" s="151">
        <f ca="1">IF(L362&lt;=Assumptions!$G$30,L325,0)</f>
        <v>14605496.83298758</v>
      </c>
      <c r="M395" s="151">
        <f ca="1">IF(M362&lt;=Assumptions!$G$30,M325,0)</f>
        <v>14605496.840943698</v>
      </c>
      <c r="N395" s="151">
        <f ca="1">IF(N362&lt;=Assumptions!$G$30,N325,0)</f>
        <v>14605496.849107634</v>
      </c>
      <c r="O395" s="151">
        <f>IF(O362&lt;=Assumptions!$G$30,O325,0)</f>
        <v>0</v>
      </c>
      <c r="P395" s="151">
        <f>IF(P362&lt;=Assumptions!$G$30,P325,0)</f>
        <v>0</v>
      </c>
      <c r="Q395" s="151">
        <f>IF(Q362&lt;=Assumptions!$G$30,Q325,0)</f>
        <v>0</v>
      </c>
      <c r="R395" s="151">
        <f>IF(R362&lt;=Assumptions!$G$30,R325,0)</f>
        <v>0</v>
      </c>
      <c r="S395" s="151">
        <f>IF(S362&lt;=Assumptions!$G$30,S325,0)</f>
        <v>0</v>
      </c>
      <c r="T395" s="151">
        <f>IF(T362&lt;=Assumptions!$G$30,T325,0)</f>
        <v>0</v>
      </c>
      <c r="U395" s="151">
        <f>IF(U362&lt;=Assumptions!$G$30,U325,0)</f>
        <v>0</v>
      </c>
      <c r="V395" s="151">
        <f>IF(V362&lt;=Assumptions!$G$30,V325,0)</f>
        <v>0</v>
      </c>
      <c r="W395" s="151">
        <f>IF(W362&lt;=Assumptions!$G$30,W325,0)</f>
        <v>0</v>
      </c>
      <c r="X395" s="151">
        <f>IF(X362&lt;=Assumptions!$G$30,X325,0)</f>
        <v>0</v>
      </c>
      <c r="Y395" s="151">
        <f>IF(Y362&lt;=Assumptions!$G$30,Y325,0)</f>
        <v>0</v>
      </c>
      <c r="Z395" s="151">
        <f>IF(Z362&lt;=Assumptions!$G$30,Z325,0)</f>
        <v>0</v>
      </c>
    </row>
    <row r="396" spans="2:26" ht="15.5">
      <c r="B396" s="33" t="s">
        <v>392</v>
      </c>
      <c r="D396" s="48">
        <f t="shared" si="206"/>
        <v>-28841029.597370923</v>
      </c>
      <c r="E396" s="48"/>
      <c r="F396" s="151">
        <f>-IF(AND(F362&gt;Assumptions!$G$26,F362&lt;=Assumptions!$G$30),Budget!$I$82*Assumptions!$M$194/Assumptions!$M$193,0)</f>
        <v>0</v>
      </c>
      <c r="G396" s="151">
        <f>-IF(AND(G362&gt;Assumptions!$G$26,G362&lt;=Assumptions!$G$30),Budget!$I$82*Assumptions!$M$194/Assumptions!$M$193,0)</f>
        <v>0</v>
      </c>
      <c r="H396" s="151">
        <f>-IF(AND(H362&gt;Assumptions!$G$26,H362&lt;=Assumptions!$G$30),Budget!$I$82*Assumptions!$M$194/Assumptions!$M$193,0)</f>
        <v>0</v>
      </c>
      <c r="I396" s="151">
        <f>-IF(AND(I362&gt;Assumptions!$G$26,I362&lt;=Assumptions!$G$30),Budget!$I$82*Assumptions!$M$194/Assumptions!$M$193,0)</f>
        <v>0</v>
      </c>
      <c r="J396" s="151">
        <f>-IF(AND(J362&gt;Assumptions!$G$26,J362&lt;=Assumptions!$G$30),Budget!$I$82*Assumptions!$M$194/Assumptions!$M$193,0)</f>
        <v>-5768205.9194741845</v>
      </c>
      <c r="K396" s="151">
        <f>-IF(AND(K362&gt;Assumptions!$G$26,K362&lt;=Assumptions!$G$30),Budget!$I$82*Assumptions!$M$194/Assumptions!$M$193,0)</f>
        <v>-5768205.9194741845</v>
      </c>
      <c r="L396" s="151">
        <f>-IF(AND(L362&gt;Assumptions!$G$26,L362&lt;=Assumptions!$G$30),Budget!$I$82*Assumptions!$M$194/Assumptions!$M$193,0)</f>
        <v>-5768205.9194741845</v>
      </c>
      <c r="M396" s="151">
        <f>-IF(AND(M362&gt;Assumptions!$G$26,M362&lt;=Assumptions!$G$30),Budget!$I$82*Assumptions!$M$194/Assumptions!$M$193,0)</f>
        <v>-5768205.9194741845</v>
      </c>
      <c r="N396" s="151">
        <f>-IF(AND(N362&gt;Assumptions!$G$26,N362&lt;=Assumptions!$G$30),Budget!$I$82*Assumptions!$M$194/Assumptions!$M$193,0)</f>
        <v>-5768205.9194741845</v>
      </c>
      <c r="O396" s="151">
        <f>-IF(AND(O362&gt;Assumptions!$G$26,O362&lt;=Assumptions!$G$30),Budget!$I$82*Assumptions!$M$194/Assumptions!$M$193,0)</f>
        <v>0</v>
      </c>
      <c r="P396" s="151">
        <f>-IF(AND(P362&gt;Assumptions!$G$26,P362&lt;=Assumptions!$G$30),Budget!$I$82*Assumptions!$M$194/Assumptions!$M$193,0)</f>
        <v>0</v>
      </c>
      <c r="Q396" s="151">
        <f>-IF(AND(Q362&gt;Assumptions!$G$26,Q362&lt;=Assumptions!$G$30),Budget!$I$82*Assumptions!$M$194/Assumptions!$M$193,0)</f>
        <v>0</v>
      </c>
      <c r="R396" s="151">
        <f>-IF(AND(R362&gt;Assumptions!$G$26,R362&lt;=Assumptions!$G$30),Budget!$I$82*Assumptions!$M$194/Assumptions!$M$193,0)</f>
        <v>0</v>
      </c>
      <c r="S396" s="151">
        <f>-IF(AND(S362&gt;Assumptions!$G$26,S362&lt;=Assumptions!$G$30),Budget!$I$82*Assumptions!$M$194/Assumptions!$M$193,0)</f>
        <v>0</v>
      </c>
      <c r="T396" s="151">
        <f>-IF(AND(T362&gt;Assumptions!$G$26,T362&lt;=Assumptions!$G$30),Budget!$I$82*Assumptions!$M$194/Assumptions!$M$193,0)</f>
        <v>0</v>
      </c>
      <c r="U396" s="151">
        <f>-IF(AND(U362&gt;Assumptions!$G$26,U362&lt;=Assumptions!$G$30),Budget!$I$82*Assumptions!$M$194/Assumptions!$M$193,0)</f>
        <v>0</v>
      </c>
      <c r="V396" s="151">
        <f>-IF(AND(V362&gt;Assumptions!$G$26,V362&lt;=Assumptions!$G$30),Budget!$I$82*Assumptions!$M$194/Assumptions!$M$193,0)</f>
        <v>0</v>
      </c>
      <c r="W396" s="151">
        <f>-IF(AND(W362&gt;Assumptions!$G$26,W362&lt;=Assumptions!$G$30),Budget!$I$82*Assumptions!$M$194/Assumptions!$M$193,0)</f>
        <v>0</v>
      </c>
      <c r="X396" s="151">
        <f>-IF(AND(X362&gt;Assumptions!$G$26,X362&lt;=Assumptions!$G$30),Budget!$I$82*Assumptions!$M$194/Assumptions!$M$193,0)</f>
        <v>0</v>
      </c>
      <c r="Y396" s="151">
        <f>-IF(AND(Y362&gt;Assumptions!$G$26,Y362&lt;=Assumptions!$G$30),Budget!$I$82*Assumptions!$M$194/Assumptions!$M$193,0)</f>
        <v>0</v>
      </c>
      <c r="Z396" s="151">
        <f>-IF(AND(Z362&gt;Assumptions!$G$26,Z362&lt;=Assumptions!$G$30),Budget!$I$82*Assumptions!$M$194/Assumptions!$M$193,0)</f>
        <v>0</v>
      </c>
    </row>
    <row r="397" spans="2:26" ht="15.5">
      <c r="B397" s="33" t="s">
        <v>383</v>
      </c>
      <c r="D397" s="48">
        <f t="shared" ca="1" si="206"/>
        <v>-78139798.696508586</v>
      </c>
      <c r="E397" s="48"/>
      <c r="F397" s="151">
        <f ca="1">-F369</f>
        <v>0</v>
      </c>
      <c r="G397" s="151">
        <f t="shared" ref="G397:Z398" ca="1" si="208">-G369</f>
        <v>0</v>
      </c>
      <c r="H397" s="151">
        <f t="shared" ca="1" si="208"/>
        <v>0</v>
      </c>
      <c r="I397" s="151">
        <f t="shared" ca="1" si="208"/>
        <v>-6864661.6291115722</v>
      </c>
      <c r="J397" s="151">
        <f t="shared" ca="1" si="208"/>
        <v>-13729323.269132411</v>
      </c>
      <c r="K397" s="151">
        <f t="shared" ca="1" si="208"/>
        <v>-13729323.275225734</v>
      </c>
      <c r="L397" s="151">
        <f t="shared" ca="1" si="208"/>
        <v>-14605496.83298758</v>
      </c>
      <c r="M397" s="151">
        <f t="shared" ca="1" si="208"/>
        <v>-14605496.840943698</v>
      </c>
      <c r="N397" s="151">
        <f t="shared" ca="1" si="208"/>
        <v>-14605496.849107634</v>
      </c>
      <c r="O397" s="151">
        <f t="shared" si="208"/>
        <v>0</v>
      </c>
      <c r="P397" s="151">
        <f t="shared" si="208"/>
        <v>0</v>
      </c>
      <c r="Q397" s="151">
        <f t="shared" si="208"/>
        <v>0</v>
      </c>
      <c r="R397" s="151">
        <f t="shared" si="208"/>
        <v>0</v>
      </c>
      <c r="S397" s="151">
        <f t="shared" si="208"/>
        <v>0</v>
      </c>
      <c r="T397" s="151">
        <f t="shared" si="208"/>
        <v>0</v>
      </c>
      <c r="U397" s="151">
        <f t="shared" si="208"/>
        <v>0</v>
      </c>
      <c r="V397" s="151">
        <f t="shared" si="208"/>
        <v>0</v>
      </c>
      <c r="W397" s="151">
        <f t="shared" si="208"/>
        <v>0</v>
      </c>
      <c r="X397" s="151">
        <f t="shared" si="208"/>
        <v>0</v>
      </c>
      <c r="Y397" s="151">
        <f t="shared" si="208"/>
        <v>0</v>
      </c>
      <c r="Z397" s="151">
        <f t="shared" si="208"/>
        <v>0</v>
      </c>
    </row>
    <row r="398" spans="2:26" ht="15.5">
      <c r="B398" s="33" t="s">
        <v>385</v>
      </c>
      <c r="D398" s="48">
        <f t="shared" ca="1" si="206"/>
        <v>-229955711.11916333</v>
      </c>
      <c r="E398" s="48"/>
      <c r="F398" s="151">
        <f>-F370</f>
        <v>0</v>
      </c>
      <c r="G398" s="151">
        <f t="shared" si="208"/>
        <v>-65237394.974527918</v>
      </c>
      <c r="H398" s="151">
        <f t="shared" si="208"/>
        <v>0</v>
      </c>
      <c r="I398" s="151">
        <f t="shared" si="208"/>
        <v>0</v>
      </c>
      <c r="J398" s="151">
        <f t="shared" si="208"/>
        <v>0</v>
      </c>
      <c r="K398" s="151">
        <f t="shared" si="208"/>
        <v>0</v>
      </c>
      <c r="L398" s="151">
        <f t="shared" si="208"/>
        <v>0</v>
      </c>
      <c r="M398" s="151">
        <f t="shared" si="208"/>
        <v>0</v>
      </c>
      <c r="N398" s="151">
        <f t="shared" ca="1" si="208"/>
        <v>-164718316.1446355</v>
      </c>
      <c r="O398" s="151">
        <f t="shared" si="208"/>
        <v>0</v>
      </c>
      <c r="P398" s="151">
        <f t="shared" si="208"/>
        <v>0</v>
      </c>
      <c r="Q398" s="151">
        <f t="shared" si="208"/>
        <v>0</v>
      </c>
      <c r="R398" s="151">
        <f t="shared" si="208"/>
        <v>0</v>
      </c>
      <c r="S398" s="151">
        <f t="shared" si="208"/>
        <v>0</v>
      </c>
      <c r="T398" s="151">
        <f t="shared" si="208"/>
        <v>0</v>
      </c>
      <c r="U398" s="151">
        <f t="shared" si="208"/>
        <v>0</v>
      </c>
      <c r="V398" s="151">
        <f t="shared" si="208"/>
        <v>0</v>
      </c>
      <c r="W398" s="151">
        <f t="shared" si="208"/>
        <v>0</v>
      </c>
      <c r="X398" s="151">
        <f t="shared" si="208"/>
        <v>0</v>
      </c>
      <c r="Y398" s="151">
        <f t="shared" si="208"/>
        <v>0</v>
      </c>
      <c r="Z398" s="151">
        <f t="shared" si="208"/>
        <v>0</v>
      </c>
    </row>
    <row r="399" spans="2:26" ht="15.5">
      <c r="B399" s="33" t="s">
        <v>396</v>
      </c>
      <c r="D399" s="48">
        <f t="shared" ca="1" si="206"/>
        <v>109027081.87976077</v>
      </c>
      <c r="E399" s="48"/>
      <c r="F399" s="151">
        <f>-IF(YEAR(F362)=YEAR(Assumptions!$G$30),SUM(F393:F398),0)</f>
        <v>0</v>
      </c>
      <c r="G399" s="151">
        <f>-IF(YEAR(G362)=YEAR(Assumptions!$G$30),SUM(G393:G398),0)</f>
        <v>0</v>
      </c>
      <c r="H399" s="151">
        <f>-IF(YEAR(H362)=YEAR(Assumptions!$G$30),SUM(H393:H398),0)</f>
        <v>0</v>
      </c>
      <c r="I399" s="151">
        <f>-IF(YEAR(I362)=YEAR(Assumptions!$G$30),SUM(I393:I398),0)</f>
        <v>0</v>
      </c>
      <c r="J399" s="151">
        <f>-IF(YEAR(J362)=YEAR(Assumptions!$G$30),SUM(J393:J398),0)</f>
        <v>0</v>
      </c>
      <c r="K399" s="151">
        <f>-IF(YEAR(K362)=YEAR(Assumptions!$G$30),SUM(K393:K398),0)</f>
        <v>0</v>
      </c>
      <c r="L399" s="151">
        <f>-IF(YEAR(L362)=YEAR(Assumptions!$G$30),SUM(L393:L398),0)</f>
        <v>0</v>
      </c>
      <c r="M399" s="151">
        <f>-IF(YEAR(M362)=YEAR(Assumptions!$G$30),SUM(M393:M398),0)</f>
        <v>0</v>
      </c>
      <c r="N399" s="151">
        <f ca="1">-IF(YEAR(N362)=YEAR(Assumptions!$G$30),SUM(N393:N398),0)</f>
        <v>109027081.87976089</v>
      </c>
      <c r="O399" s="151">
        <f>-IF(YEAR(O362)=YEAR(Assumptions!$G$30),SUM(O393:O398),0)</f>
        <v>0</v>
      </c>
      <c r="P399" s="151">
        <f>-IF(YEAR(P362)=YEAR(Assumptions!$G$30),SUM(P393:P398),0)</f>
        <v>0</v>
      </c>
      <c r="Q399" s="151">
        <f>-IF(YEAR(Q362)=YEAR(Assumptions!$G$30),SUM(Q393:Q398),0)</f>
        <v>0</v>
      </c>
      <c r="R399" s="151">
        <f>-IF(YEAR(R362)=YEAR(Assumptions!$G$30),SUM(R393:R398),0)</f>
        <v>0</v>
      </c>
      <c r="S399" s="151">
        <f>-IF(YEAR(S362)=YEAR(Assumptions!$G$30),SUM(S393:S398),0)</f>
        <v>0</v>
      </c>
      <c r="T399" s="151">
        <f>-IF(YEAR(T362)=YEAR(Assumptions!$G$30),SUM(T393:T398),0)</f>
        <v>0</v>
      </c>
      <c r="U399" s="151">
        <f>-IF(YEAR(U362)=YEAR(Assumptions!$G$30),SUM(U393:U398),0)</f>
        <v>0</v>
      </c>
      <c r="V399" s="151">
        <f>-IF(YEAR(V362)=YEAR(Assumptions!$G$30),SUM(V393:V398),0)</f>
        <v>0</v>
      </c>
      <c r="W399" s="151">
        <f>-IF(YEAR(W362)=YEAR(Assumptions!$G$30),SUM(W393:W398),0)</f>
        <v>0</v>
      </c>
      <c r="X399" s="151">
        <f>-IF(YEAR(X362)=YEAR(Assumptions!$G$30),SUM(X393:X398),0)</f>
        <v>0</v>
      </c>
      <c r="Y399" s="151">
        <f>-IF(YEAR(Y362)=YEAR(Assumptions!$G$30),SUM(Y393:Y398),0)</f>
        <v>0</v>
      </c>
      <c r="Z399" s="151">
        <f>-IF(YEAR(Z362)=YEAR(Assumptions!$G$30),SUM(Z393:Z398),0)</f>
        <v>0</v>
      </c>
    </row>
    <row r="400" spans="2:26" ht="15.5">
      <c r="B400" s="137" t="s">
        <v>384</v>
      </c>
      <c r="C400" s="137"/>
      <c r="D400" s="36">
        <f t="shared" ref="D400" ca="1" si="209">+SUM(F400:Z400)</f>
        <v>632819380.61949539</v>
      </c>
      <c r="E400" s="129"/>
      <c r="F400" s="129">
        <f ca="1">+SUM(F393:F399)</f>
        <v>100152177.31526883</v>
      </c>
      <c r="G400" s="129">
        <f t="shared" ref="G400:Z400" ca="1" si="210">+SUM(G393:G399)</f>
        <v>83155679.325495243</v>
      </c>
      <c r="H400" s="129">
        <f t="shared" ca="1" si="210"/>
        <v>84532263.86224553</v>
      </c>
      <c r="I400" s="129">
        <f t="shared" ca="1" si="210"/>
        <v>84532263.86224556</v>
      </c>
      <c r="J400" s="129">
        <f t="shared" ca="1" si="210"/>
        <v>78764057.942771345</v>
      </c>
      <c r="K400" s="129">
        <f t="shared" ca="1" si="210"/>
        <v>72995852.023297191</v>
      </c>
      <c r="L400" s="129">
        <f t="shared" ca="1" si="210"/>
        <v>67227646.103822976</v>
      </c>
      <c r="M400" s="129">
        <f t="shared" ca="1" si="210"/>
        <v>61459440.184348822</v>
      </c>
      <c r="N400" s="129">
        <f t="shared" ca="1" si="210"/>
        <v>0</v>
      </c>
      <c r="O400" s="129">
        <f t="shared" ca="1" si="210"/>
        <v>0</v>
      </c>
      <c r="P400" s="129">
        <f t="shared" ca="1" si="210"/>
        <v>0</v>
      </c>
      <c r="Q400" s="129">
        <f t="shared" ca="1" si="210"/>
        <v>0</v>
      </c>
      <c r="R400" s="129">
        <f t="shared" ca="1" si="210"/>
        <v>0</v>
      </c>
      <c r="S400" s="129">
        <f t="shared" ca="1" si="210"/>
        <v>0</v>
      </c>
      <c r="T400" s="129">
        <f t="shared" ca="1" si="210"/>
        <v>0</v>
      </c>
      <c r="U400" s="129">
        <f t="shared" ca="1" si="210"/>
        <v>0</v>
      </c>
      <c r="V400" s="129">
        <f t="shared" ca="1" si="210"/>
        <v>0</v>
      </c>
      <c r="W400" s="129">
        <f t="shared" ca="1" si="210"/>
        <v>0</v>
      </c>
      <c r="X400" s="129">
        <f t="shared" ca="1" si="210"/>
        <v>0</v>
      </c>
      <c r="Y400" s="129">
        <f t="shared" ca="1" si="210"/>
        <v>0</v>
      </c>
      <c r="Z400" s="129">
        <f t="shared" ca="1" si="210"/>
        <v>0</v>
      </c>
    </row>
    <row r="402" spans="2:26" ht="15.5">
      <c r="B402" s="37" t="s">
        <v>579</v>
      </c>
      <c r="C402" s="38"/>
      <c r="D402" s="38"/>
      <c r="E402" s="38"/>
      <c r="F402" s="136">
        <f>+F362</f>
        <v>45291</v>
      </c>
      <c r="G402" s="136">
        <f t="shared" ref="G402:Z402" si="211">+G362</f>
        <v>45657</v>
      </c>
      <c r="H402" s="136">
        <f t="shared" si="211"/>
        <v>46022</v>
      </c>
      <c r="I402" s="136">
        <f t="shared" si="211"/>
        <v>46387</v>
      </c>
      <c r="J402" s="136">
        <f t="shared" si="211"/>
        <v>46752</v>
      </c>
      <c r="K402" s="136">
        <f t="shared" si="211"/>
        <v>47118</v>
      </c>
      <c r="L402" s="136">
        <f t="shared" si="211"/>
        <v>47483</v>
      </c>
      <c r="M402" s="136">
        <f t="shared" si="211"/>
        <v>47848</v>
      </c>
      <c r="N402" s="136">
        <f t="shared" si="211"/>
        <v>48213</v>
      </c>
      <c r="O402" s="136">
        <f t="shared" si="211"/>
        <v>48579</v>
      </c>
      <c r="P402" s="136">
        <f t="shared" si="211"/>
        <v>48944</v>
      </c>
      <c r="Q402" s="136">
        <f t="shared" si="211"/>
        <v>49309</v>
      </c>
      <c r="R402" s="136">
        <f t="shared" si="211"/>
        <v>49674</v>
      </c>
      <c r="S402" s="136">
        <f t="shared" si="211"/>
        <v>50040</v>
      </c>
      <c r="T402" s="136">
        <f t="shared" si="211"/>
        <v>50405</v>
      </c>
      <c r="U402" s="136">
        <f t="shared" si="211"/>
        <v>50770</v>
      </c>
      <c r="V402" s="136">
        <f t="shared" si="211"/>
        <v>51135</v>
      </c>
      <c r="W402" s="136">
        <f t="shared" si="211"/>
        <v>51501</v>
      </c>
      <c r="X402" s="136">
        <f t="shared" si="211"/>
        <v>51866</v>
      </c>
      <c r="Y402" s="136">
        <f t="shared" si="211"/>
        <v>52231</v>
      </c>
      <c r="Z402" s="136">
        <f t="shared" si="211"/>
        <v>52596</v>
      </c>
    </row>
    <row r="403" spans="2:26" ht="15.5">
      <c r="B403" s="119"/>
    </row>
    <row r="404" spans="2:26" ht="15.5">
      <c r="B404" s="148" t="s">
        <v>589</v>
      </c>
      <c r="F404" s="148">
        <v>0</v>
      </c>
      <c r="G404" s="148">
        <f>+F404+1</f>
        <v>1</v>
      </c>
      <c r="H404" s="148">
        <f t="shared" ref="H404:Z404" si="212">+G404+1</f>
        <v>2</v>
      </c>
      <c r="I404" s="148">
        <f t="shared" si="212"/>
        <v>3</v>
      </c>
      <c r="J404" s="148">
        <f t="shared" si="212"/>
        <v>4</v>
      </c>
      <c r="K404" s="148">
        <f t="shared" si="212"/>
        <v>5</v>
      </c>
      <c r="L404" s="148">
        <f t="shared" si="212"/>
        <v>6</v>
      </c>
      <c r="M404" s="148">
        <f t="shared" si="212"/>
        <v>7</v>
      </c>
      <c r="N404" s="148">
        <f t="shared" si="212"/>
        <v>8</v>
      </c>
      <c r="O404" s="148">
        <f t="shared" si="212"/>
        <v>9</v>
      </c>
      <c r="P404" s="148">
        <f t="shared" si="212"/>
        <v>10</v>
      </c>
      <c r="Q404" s="148">
        <f t="shared" si="212"/>
        <v>11</v>
      </c>
      <c r="R404" s="148">
        <f t="shared" si="212"/>
        <v>12</v>
      </c>
      <c r="S404" s="148">
        <f t="shared" si="212"/>
        <v>13</v>
      </c>
      <c r="T404" s="148">
        <f t="shared" si="212"/>
        <v>14</v>
      </c>
      <c r="U404" s="148">
        <f t="shared" si="212"/>
        <v>15</v>
      </c>
      <c r="V404" s="148">
        <f t="shared" si="212"/>
        <v>16</v>
      </c>
      <c r="W404" s="148">
        <f t="shared" si="212"/>
        <v>17</v>
      </c>
      <c r="X404" s="148">
        <f t="shared" si="212"/>
        <v>18</v>
      </c>
      <c r="Y404" s="148">
        <f t="shared" si="212"/>
        <v>19</v>
      </c>
      <c r="Z404" s="148">
        <f t="shared" si="212"/>
        <v>20</v>
      </c>
    </row>
    <row r="405" spans="2:26" ht="15.5">
      <c r="B405" s="33" t="s">
        <v>380</v>
      </c>
      <c r="D405" s="48"/>
      <c r="E405" s="48"/>
      <c r="F405" s="34">
        <f ca="1">+F$311</f>
        <v>-64517857.38131696</v>
      </c>
      <c r="G405" s="34">
        <f t="shared" ref="G405:Z405" ca="1" si="213">+G$311</f>
        <v>0</v>
      </c>
      <c r="H405" s="34">
        <f t="shared" ca="1" si="213"/>
        <v>0</v>
      </c>
      <c r="I405" s="34">
        <f t="shared" ca="1" si="213"/>
        <v>0</v>
      </c>
      <c r="J405" s="34">
        <f t="shared" ca="1" si="213"/>
        <v>0</v>
      </c>
      <c r="K405" s="34">
        <f t="shared" ca="1" si="213"/>
        <v>0</v>
      </c>
      <c r="L405" s="34">
        <f t="shared" ca="1" si="213"/>
        <v>0</v>
      </c>
      <c r="M405" s="34">
        <f t="shared" ca="1" si="213"/>
        <v>0</v>
      </c>
      <c r="N405" s="34">
        <f t="shared" ca="1" si="213"/>
        <v>0</v>
      </c>
      <c r="O405" s="34">
        <f t="shared" ca="1" si="213"/>
        <v>0</v>
      </c>
      <c r="P405" s="34">
        <f t="shared" ca="1" si="213"/>
        <v>0</v>
      </c>
      <c r="Q405" s="34">
        <f t="shared" ca="1" si="213"/>
        <v>0</v>
      </c>
      <c r="R405" s="34">
        <f t="shared" ca="1" si="213"/>
        <v>0</v>
      </c>
      <c r="S405" s="34">
        <f t="shared" ca="1" si="213"/>
        <v>0</v>
      </c>
      <c r="T405" s="34">
        <f t="shared" ca="1" si="213"/>
        <v>0</v>
      </c>
      <c r="U405" s="34">
        <f t="shared" ca="1" si="213"/>
        <v>0</v>
      </c>
      <c r="V405" s="34">
        <f t="shared" ca="1" si="213"/>
        <v>0</v>
      </c>
      <c r="W405" s="34">
        <f t="shared" ca="1" si="213"/>
        <v>0</v>
      </c>
      <c r="X405" s="34">
        <f t="shared" ca="1" si="213"/>
        <v>0</v>
      </c>
      <c r="Y405" s="34">
        <f t="shared" ca="1" si="213"/>
        <v>0</v>
      </c>
      <c r="Z405" s="34">
        <f t="shared" ca="1" si="213"/>
        <v>0</v>
      </c>
    </row>
    <row r="406" spans="2:26" ht="15.5">
      <c r="B406" s="33" t="s">
        <v>398</v>
      </c>
      <c r="D406" s="48"/>
      <c r="E406" s="48"/>
      <c r="F406" s="151">
        <v>0</v>
      </c>
      <c r="G406" s="151">
        <v>0</v>
      </c>
      <c r="H406" s="151">
        <v>0</v>
      </c>
      <c r="I406" s="151">
        <v>0</v>
      </c>
      <c r="J406" s="151">
        <v>0</v>
      </c>
      <c r="K406" s="151">
        <v>0</v>
      </c>
      <c r="L406" s="151">
        <v>0</v>
      </c>
      <c r="M406" s="151">
        <v>0</v>
      </c>
      <c r="N406" s="151">
        <v>0</v>
      </c>
      <c r="O406" s="151">
        <v>0</v>
      </c>
      <c r="P406" s="151">
        <v>0</v>
      </c>
      <c r="Q406" s="151">
        <v>0</v>
      </c>
      <c r="R406" s="151">
        <v>0</v>
      </c>
      <c r="S406" s="151">
        <v>0</v>
      </c>
      <c r="T406" s="151">
        <v>0</v>
      </c>
      <c r="U406" s="151">
        <v>0</v>
      </c>
      <c r="V406" s="151">
        <v>0</v>
      </c>
      <c r="W406" s="151">
        <v>0</v>
      </c>
      <c r="X406" s="151">
        <v>0</v>
      </c>
      <c r="Y406" s="151">
        <v>0</v>
      </c>
      <c r="Z406" s="151">
        <v>0</v>
      </c>
    </row>
    <row r="407" spans="2:26" ht="15.5">
      <c r="B407" s="33" t="s">
        <v>399</v>
      </c>
      <c r="D407" s="48"/>
      <c r="E407" s="48"/>
      <c r="F407" s="151">
        <v>0</v>
      </c>
      <c r="G407" s="151">
        <v>0</v>
      </c>
      <c r="H407" s="151">
        <v>0</v>
      </c>
      <c r="I407" s="151">
        <v>0</v>
      </c>
      <c r="J407" s="151">
        <v>0</v>
      </c>
      <c r="K407" s="151">
        <v>0</v>
      </c>
      <c r="L407" s="151">
        <v>0</v>
      </c>
      <c r="M407" s="151">
        <v>0</v>
      </c>
      <c r="N407" s="151">
        <v>0</v>
      </c>
      <c r="O407" s="151">
        <v>0</v>
      </c>
      <c r="P407" s="151">
        <v>0</v>
      </c>
      <c r="Q407" s="151">
        <v>0</v>
      </c>
      <c r="R407" s="151">
        <v>0</v>
      </c>
      <c r="S407" s="151">
        <v>0</v>
      </c>
      <c r="T407" s="151">
        <v>0</v>
      </c>
      <c r="U407" s="151">
        <v>0</v>
      </c>
      <c r="V407" s="151">
        <v>0</v>
      </c>
      <c r="W407" s="151">
        <v>0</v>
      </c>
      <c r="X407" s="151">
        <v>0</v>
      </c>
      <c r="Y407" s="151">
        <v>0</v>
      </c>
      <c r="Z407" s="151">
        <v>0</v>
      </c>
    </row>
    <row r="408" spans="2:26" ht="15.5">
      <c r="B408" s="33" t="s">
        <v>584</v>
      </c>
      <c r="D408" s="48"/>
      <c r="E408" s="48"/>
      <c r="F408" s="151">
        <f ca="1">-SUM(F437:F438)*Assumptions!$M$192</f>
        <v>0</v>
      </c>
      <c r="G408" s="151">
        <f ca="1">-SUM(G437:G438)*Assumptions!$M$192</f>
        <v>0</v>
      </c>
      <c r="H408" s="151">
        <f ca="1">-SUM(H437:H438)*Assumptions!$M$192</f>
        <v>0</v>
      </c>
      <c r="I408" s="151">
        <f ca="1">-SUM(I437:I438)*Assumptions!$M$192</f>
        <v>-248477.22660758582</v>
      </c>
      <c r="J408" s="151">
        <f ca="1">-SUM(J437:J438)*Assumptions!$M$192</f>
        <v>-489289.13682950247</v>
      </c>
      <c r="K408" s="151">
        <f ca="1">-SUM(K437:K438)*Assumptions!$M$192</f>
        <v>-500478.71955064719</v>
      </c>
      <c r="L408" s="151">
        <f ca="1">-SUM(L437:L438)*Assumptions!$M$192</f>
        <v>-696336.12300867517</v>
      </c>
      <c r="M408" s="151">
        <f ca="1">-SUM(M437:M438)*Assumptions!$M$192</f>
        <v>-708908.73838718107</v>
      </c>
      <c r="N408" s="151">
        <f ca="1">-SUM(N437:N438)*Assumptions!$M$192</f>
        <v>-722235.71063179336</v>
      </c>
      <c r="O408" s="151">
        <f>-SUM(O437:O438)*Assumptions!$M$192</f>
        <v>0</v>
      </c>
      <c r="P408" s="151">
        <f>-SUM(P437:P438)*Assumptions!$M$192</f>
        <v>0</v>
      </c>
      <c r="Q408" s="151">
        <f>-SUM(Q437:Q438)*Assumptions!$M$192</f>
        <v>0</v>
      </c>
      <c r="R408" s="151">
        <f>-SUM(R437:R438)*Assumptions!$M$192</f>
        <v>0</v>
      </c>
      <c r="S408" s="151">
        <f>-SUM(S437:S438)*Assumptions!$M$192</f>
        <v>0</v>
      </c>
      <c r="T408" s="151">
        <f>-SUM(T437:T438)*Assumptions!$M$192</f>
        <v>0</v>
      </c>
      <c r="U408" s="151">
        <f>-SUM(U437:U438)*Assumptions!$M$192</f>
        <v>0</v>
      </c>
      <c r="V408" s="151">
        <f>-SUM(V437:V438)*Assumptions!$M$192</f>
        <v>0</v>
      </c>
      <c r="W408" s="151">
        <f>-SUM(W437:W438)*Assumptions!$M$192</f>
        <v>0</v>
      </c>
      <c r="X408" s="151">
        <f>-SUM(X437:X438)*Assumptions!$M$192</f>
        <v>0</v>
      </c>
      <c r="Y408" s="151">
        <f>-SUM(Y437:Y438)*Assumptions!$M$192</f>
        <v>0</v>
      </c>
      <c r="Z408" s="151">
        <f>-SUM(Z437:Z438)*Assumptions!$M$192</f>
        <v>0</v>
      </c>
    </row>
    <row r="409" spans="2:26" ht="15.5">
      <c r="B409" s="33" t="s">
        <v>586</v>
      </c>
      <c r="D409" s="48"/>
      <c r="E409" s="48"/>
      <c r="F409" s="151">
        <f ca="1">+IF(YEAR(F$140)&lt;=YEAR(Assumptions!$G$30),F269+F223+F152,0)</f>
        <v>0</v>
      </c>
      <c r="G409" s="151">
        <f ca="1">+IF(YEAR(G$140)&lt;=YEAR(Assumptions!$G$30),G269+G223+G152,0)</f>
        <v>0</v>
      </c>
      <c r="H409" s="151">
        <f ca="1">+IF(YEAR(H$140)&lt;=YEAR(Assumptions!$G$30),H269+H223+H152,0)</f>
        <v>0</v>
      </c>
      <c r="I409" s="151">
        <f ca="1">+IF(YEAR(I$140)&lt;=YEAR(Assumptions!$G$30),I269+I223+I152,0)</f>
        <v>-530335.31751769967</v>
      </c>
      <c r="J409" s="151">
        <f ca="1">+IF(YEAR(J$140)&lt;=YEAR(Assumptions!$G$30),J269+J223+J152,0)</f>
        <v>7210092.1709204763</v>
      </c>
      <c r="K409" s="151">
        <f ca="1">+IF(YEAR(K$140)&lt;=YEAR(Assumptions!$G$30),K269+K223+K152,0)</f>
        <v>7210092.1770137986</v>
      </c>
      <c r="L409" s="151">
        <f ca="1">+IF(YEAR(L$140)&lt;=YEAR(Assumptions!$G$30),L269+L223+L152,0)</f>
        <v>8086265.7347756457</v>
      </c>
      <c r="M409" s="151">
        <f ca="1">+IF(YEAR(M$140)&lt;=YEAR(Assumptions!$G$30),M269+M223+M152,0)</f>
        <v>8086265.7427317612</v>
      </c>
      <c r="N409" s="151">
        <f ca="1">+IF(YEAR(N$140)&lt;=YEAR(Assumptions!$G$30),N269+N223+N152,0)</f>
        <v>8086265.7508956976</v>
      </c>
      <c r="O409" s="151">
        <f>+IF(YEAR(O$140)&lt;=YEAR(Assumptions!$G$30),O269+O223+O152,0)</f>
        <v>0</v>
      </c>
      <c r="P409" s="151">
        <f>+IF(YEAR(P$140)&lt;=YEAR(Assumptions!$G$30),P269+P223+P152,0)</f>
        <v>0</v>
      </c>
      <c r="Q409" s="151">
        <f>+IF(YEAR(Q$140)&lt;=YEAR(Assumptions!$G$30),Q269+Q223+Q152,0)</f>
        <v>0</v>
      </c>
      <c r="R409" s="151">
        <f>+IF(YEAR(R$140)&lt;=YEAR(Assumptions!$G$30),R269+R223+R152,0)</f>
        <v>0</v>
      </c>
      <c r="S409" s="151">
        <f>+IF(YEAR(S$140)&lt;=YEAR(Assumptions!$G$30),S269+S223+S152,0)</f>
        <v>0</v>
      </c>
      <c r="T409" s="151">
        <f>+IF(YEAR(T$140)&lt;=YEAR(Assumptions!$G$30),T269+T223+T152,0)</f>
        <v>0</v>
      </c>
      <c r="U409" s="151">
        <f>+IF(YEAR(U$140)&lt;=YEAR(Assumptions!$G$30),U269+U223+U152,0)</f>
        <v>0</v>
      </c>
      <c r="V409" s="151">
        <f>+IF(YEAR(V$140)&lt;=YEAR(Assumptions!$G$30),V269+V223+V152,0)</f>
        <v>0</v>
      </c>
      <c r="W409" s="151">
        <f>+IF(YEAR(W$140)&lt;=YEAR(Assumptions!$G$30),W269+W223+W152,0)</f>
        <v>0</v>
      </c>
      <c r="X409" s="151">
        <f>+IF(YEAR(X$140)&lt;=YEAR(Assumptions!$G$30),X269+X223+X152,0)</f>
        <v>0</v>
      </c>
      <c r="Y409" s="151">
        <f>+IF(YEAR(Y$140)&lt;=YEAR(Assumptions!$G$30),Y269+Y223+Y152,0)</f>
        <v>0</v>
      </c>
      <c r="Z409" s="151">
        <f>+IF(YEAR(Z$140)&lt;=YEAR(Assumptions!$G$30),Z269+Z223+Z152,0)</f>
        <v>0</v>
      </c>
    </row>
    <row r="410" spans="2:26" ht="15.5">
      <c r="B410" s="33" t="s">
        <v>585</v>
      </c>
      <c r="D410" s="48"/>
      <c r="E410" s="48"/>
      <c r="F410" s="151">
        <f>-IF(YEAR(F$140)&lt;=YEAR(Assumptions!$G$30),F440,0)</f>
        <v>0</v>
      </c>
      <c r="G410" s="151">
        <f>-IF(YEAR(G$140)&lt;=YEAR(Assumptions!$G$30),G440,0)</f>
        <v>0</v>
      </c>
      <c r="H410" s="151">
        <f>-IF(YEAR(H$140)&lt;=YEAR(Assumptions!$G$30),H440,0)</f>
        <v>0</v>
      </c>
      <c r="I410" s="151">
        <f ca="1">-IF(YEAR(I$140)&lt;=YEAR(Assumptions!$G$30),I440,0)</f>
        <v>-0.14425680041313171</v>
      </c>
      <c r="J410" s="151">
        <f>-IF(YEAR(J$140)&lt;=YEAR(Assumptions!$G$30),J440,0)</f>
        <v>0</v>
      </c>
      <c r="K410" s="151">
        <f>-IF(YEAR(K$140)&lt;=YEAR(Assumptions!$G$30),K440,0)</f>
        <v>0</v>
      </c>
      <c r="L410" s="151">
        <f>-IF(YEAR(L$140)&lt;=YEAR(Assumptions!$G$30),L440,0)</f>
        <v>0</v>
      </c>
      <c r="M410" s="151">
        <f>-IF(YEAR(M$140)&lt;=YEAR(Assumptions!$G$30),M440,0)</f>
        <v>0</v>
      </c>
      <c r="N410" s="151">
        <f ca="1">-IF(YEAR(N$140)&lt;=YEAR(Assumptions!$G$30),N440,0)</f>
        <v>75871586.316918463</v>
      </c>
      <c r="O410" s="151">
        <f>-IF(YEAR(O$140)&lt;=YEAR(Assumptions!$G$30),O440,0)</f>
        <v>0</v>
      </c>
      <c r="P410" s="151">
        <f>-IF(YEAR(P$140)&lt;=YEAR(Assumptions!$G$30),P440,0)</f>
        <v>0</v>
      </c>
      <c r="Q410" s="151">
        <f>-IF(YEAR(Q$140)&lt;=YEAR(Assumptions!$G$30),Q440,0)</f>
        <v>0</v>
      </c>
      <c r="R410" s="151">
        <f>-IF(YEAR(R$140)&lt;=YEAR(Assumptions!$G$30),R440,0)</f>
        <v>0</v>
      </c>
      <c r="S410" s="151">
        <f>-IF(YEAR(S$140)&lt;=YEAR(Assumptions!$G$30),S440,0)</f>
        <v>0</v>
      </c>
      <c r="T410" s="151">
        <f>-IF(YEAR(T$140)&lt;=YEAR(Assumptions!$G$30),T440,0)</f>
        <v>0</v>
      </c>
      <c r="U410" s="151">
        <f>-IF(YEAR(U$140)&lt;=YEAR(Assumptions!$G$30),U440,0)</f>
        <v>0</v>
      </c>
      <c r="V410" s="151">
        <f>-IF(YEAR(V$140)&lt;=YEAR(Assumptions!$G$30),V440,0)</f>
        <v>0</v>
      </c>
      <c r="W410" s="151">
        <f>-IF(YEAR(W$140)&lt;=YEAR(Assumptions!$G$30),W440,0)</f>
        <v>0</v>
      </c>
      <c r="X410" s="151">
        <f>-IF(YEAR(X$140)&lt;=YEAR(Assumptions!$G$30),X440,0)</f>
        <v>0</v>
      </c>
      <c r="Y410" s="151">
        <f>-IF(YEAR(Y$140)&lt;=YEAR(Assumptions!$G$30),Y440,0)</f>
        <v>0</v>
      </c>
      <c r="Z410" s="151">
        <f>-IF(YEAR(Z$140)&lt;=YEAR(Assumptions!$G$30),Z440,0)</f>
        <v>0</v>
      </c>
    </row>
    <row r="411" spans="2:26" ht="15.5">
      <c r="B411" s="33" t="s">
        <v>397</v>
      </c>
      <c r="D411" s="48"/>
      <c r="E411" s="48"/>
      <c r="F411" s="151">
        <f>-F442*Assumptions!$M$192</f>
        <v>0</v>
      </c>
      <c r="G411" s="151">
        <f>-G442*Assumptions!$M$192</f>
        <v>0</v>
      </c>
      <c r="H411" s="151">
        <f>-H442*Assumptions!$M$192</f>
        <v>0</v>
      </c>
      <c r="I411" s="151">
        <f>-I442*Assumptions!$M$192</f>
        <v>0</v>
      </c>
      <c r="J411" s="151">
        <f>-J442*Assumptions!$M$192</f>
        <v>0</v>
      </c>
      <c r="K411" s="151">
        <f>-K442*Assumptions!$M$192</f>
        <v>0</v>
      </c>
      <c r="L411" s="151">
        <f>-L442*Assumptions!$M$192</f>
        <v>0</v>
      </c>
      <c r="M411" s="151">
        <f>-M442*Assumptions!$M$192</f>
        <v>0</v>
      </c>
      <c r="N411" s="151">
        <f ca="1">-N442*Assumptions!$M$192</f>
        <v>6670079.8391317381</v>
      </c>
      <c r="O411" s="151">
        <f>-O442*Assumptions!$M$192</f>
        <v>0</v>
      </c>
      <c r="P411" s="151">
        <f>-P442*Assumptions!$M$192</f>
        <v>0</v>
      </c>
      <c r="Q411" s="151">
        <f>-Q442*Assumptions!$M$192</f>
        <v>0</v>
      </c>
      <c r="R411" s="151">
        <f>-R442*Assumptions!$M$192</f>
        <v>0</v>
      </c>
      <c r="S411" s="151">
        <f>-S442*Assumptions!$M$192</f>
        <v>0</v>
      </c>
      <c r="T411" s="151">
        <f>-T442*Assumptions!$M$192</f>
        <v>0</v>
      </c>
      <c r="U411" s="151">
        <f>-U442*Assumptions!$M$192</f>
        <v>0</v>
      </c>
      <c r="V411" s="151">
        <f>-V442*Assumptions!$M$192</f>
        <v>0</v>
      </c>
      <c r="W411" s="151">
        <f>-W442*Assumptions!$M$192</f>
        <v>0</v>
      </c>
      <c r="X411" s="151">
        <f>-X442*Assumptions!$M$192</f>
        <v>0</v>
      </c>
      <c r="Y411" s="151">
        <f>-Y442*Assumptions!$M$192</f>
        <v>0</v>
      </c>
      <c r="Z411" s="151">
        <f>-Z442*Assumptions!$M$192</f>
        <v>0</v>
      </c>
    </row>
    <row r="412" spans="2:26" ht="15.5">
      <c r="B412" s="33" t="str">
        <f>B328</f>
        <v>Pads (Net of sale costs)</v>
      </c>
      <c r="D412" s="48"/>
      <c r="E412" s="48"/>
      <c r="F412" s="33">
        <f>F328</f>
        <v>0</v>
      </c>
      <c r="G412" s="33">
        <f t="shared" ref="G412:Z412" si="214">G328</f>
        <v>65237394.974527918</v>
      </c>
      <c r="H412" s="33">
        <f t="shared" si="214"/>
        <v>0</v>
      </c>
      <c r="I412" s="33">
        <f t="shared" si="214"/>
        <v>0</v>
      </c>
      <c r="J412" s="33">
        <f t="shared" si="214"/>
        <v>0</v>
      </c>
      <c r="K412" s="33">
        <f t="shared" si="214"/>
        <v>0</v>
      </c>
      <c r="L412" s="33">
        <f t="shared" si="214"/>
        <v>0</v>
      </c>
      <c r="M412" s="33">
        <f t="shared" si="214"/>
        <v>0</v>
      </c>
      <c r="N412" s="33">
        <f t="shared" si="214"/>
        <v>0</v>
      </c>
      <c r="O412" s="33">
        <f t="shared" si="214"/>
        <v>0</v>
      </c>
      <c r="P412" s="33">
        <f t="shared" si="214"/>
        <v>0</v>
      </c>
      <c r="Q412" s="33">
        <f t="shared" si="214"/>
        <v>0</v>
      </c>
      <c r="R412" s="33">
        <f t="shared" si="214"/>
        <v>0</v>
      </c>
      <c r="S412" s="33">
        <f t="shared" si="214"/>
        <v>0</v>
      </c>
      <c r="T412" s="33">
        <f t="shared" si="214"/>
        <v>0</v>
      </c>
      <c r="U412" s="33">
        <f t="shared" si="214"/>
        <v>0</v>
      </c>
      <c r="V412" s="33">
        <f t="shared" si="214"/>
        <v>0</v>
      </c>
      <c r="W412" s="33">
        <f t="shared" si="214"/>
        <v>0</v>
      </c>
      <c r="X412" s="33">
        <f t="shared" si="214"/>
        <v>0</v>
      </c>
      <c r="Y412" s="33">
        <f t="shared" si="214"/>
        <v>0</v>
      </c>
      <c r="Z412" s="33">
        <f t="shared" si="214"/>
        <v>0</v>
      </c>
    </row>
    <row r="413" spans="2:26" ht="15.5">
      <c r="B413" s="138" t="s">
        <v>389</v>
      </c>
      <c r="C413" s="138"/>
      <c r="D413" s="139">
        <f t="shared" ref="D413" ca="1" si="215">+SUM(F413:Z413)</f>
        <v>118044124.20880868</v>
      </c>
      <c r="E413" s="139"/>
      <c r="F413" s="139">
        <f t="shared" ref="F413" ca="1" si="216">+SUM(F405:F412)</f>
        <v>-64517857.38131696</v>
      </c>
      <c r="G413" s="139">
        <f ca="1">+SUM(G405:G412)</f>
        <v>65237394.974527918</v>
      </c>
      <c r="H413" s="139">
        <f t="shared" ref="H413:Z413" ca="1" si="217">+SUM(H405:H412)</f>
        <v>0</v>
      </c>
      <c r="I413" s="139">
        <f t="shared" ca="1" si="217"/>
        <v>-778812.68838208588</v>
      </c>
      <c r="J413" s="139">
        <f t="shared" ca="1" si="217"/>
        <v>6720803.0340909734</v>
      </c>
      <c r="K413" s="139">
        <f t="shared" ca="1" si="217"/>
        <v>6709613.4574631518</v>
      </c>
      <c r="L413" s="139">
        <f t="shared" ca="1" si="217"/>
        <v>7389929.6117669707</v>
      </c>
      <c r="M413" s="139">
        <f t="shared" ca="1" si="217"/>
        <v>7377357.0043445798</v>
      </c>
      <c r="N413" s="139">
        <f t="shared" ca="1" si="217"/>
        <v>89905696.196314111</v>
      </c>
      <c r="O413" s="139">
        <f t="shared" ca="1" si="217"/>
        <v>0</v>
      </c>
      <c r="P413" s="139">
        <f t="shared" ca="1" si="217"/>
        <v>0</v>
      </c>
      <c r="Q413" s="139">
        <f t="shared" ca="1" si="217"/>
        <v>0</v>
      </c>
      <c r="R413" s="139">
        <f t="shared" ca="1" si="217"/>
        <v>0</v>
      </c>
      <c r="S413" s="139">
        <f t="shared" ca="1" si="217"/>
        <v>0</v>
      </c>
      <c r="T413" s="139">
        <f t="shared" ca="1" si="217"/>
        <v>0</v>
      </c>
      <c r="U413" s="139">
        <f t="shared" ca="1" si="217"/>
        <v>0</v>
      </c>
      <c r="V413" s="139">
        <f t="shared" ca="1" si="217"/>
        <v>0</v>
      </c>
      <c r="W413" s="139">
        <f t="shared" ca="1" si="217"/>
        <v>0</v>
      </c>
      <c r="X413" s="139">
        <f t="shared" ca="1" si="217"/>
        <v>0</v>
      </c>
      <c r="Y413" s="139">
        <f t="shared" ca="1" si="217"/>
        <v>0</v>
      </c>
      <c r="Z413" s="139">
        <f t="shared" ca="1" si="217"/>
        <v>0</v>
      </c>
    </row>
    <row r="414" spans="2:26" ht="15.5">
      <c r="B414" s="119"/>
    </row>
    <row r="415" spans="2:26" ht="15.5">
      <c r="B415" s="226" t="s">
        <v>587</v>
      </c>
      <c r="C415" s="226"/>
      <c r="D415" s="227">
        <f ca="1">+IRR(F413:Z413)</f>
        <v>0.32555044686124335</v>
      </c>
      <c r="F415" s="544"/>
      <c r="G415" s="34"/>
    </row>
    <row r="416" spans="2:26" ht="15.5">
      <c r="B416" s="119"/>
      <c r="D416" s="108"/>
    </row>
    <row r="417" spans="2:26" ht="15.5">
      <c r="B417" s="148" t="s">
        <v>588</v>
      </c>
      <c r="F417" s="148">
        <f t="shared" ref="F417:Z417" si="218">+F404</f>
        <v>0</v>
      </c>
      <c r="G417" s="148">
        <f t="shared" si="218"/>
        <v>1</v>
      </c>
      <c r="H417" s="148">
        <f t="shared" si="218"/>
        <v>2</v>
      </c>
      <c r="I417" s="148">
        <f t="shared" si="218"/>
        <v>3</v>
      </c>
      <c r="J417" s="148">
        <f t="shared" si="218"/>
        <v>4</v>
      </c>
      <c r="K417" s="148">
        <f t="shared" si="218"/>
        <v>5</v>
      </c>
      <c r="L417" s="148">
        <f t="shared" si="218"/>
        <v>6</v>
      </c>
      <c r="M417" s="148">
        <f t="shared" si="218"/>
        <v>7</v>
      </c>
      <c r="N417" s="148">
        <f t="shared" si="218"/>
        <v>8</v>
      </c>
      <c r="O417" s="148">
        <f t="shared" si="218"/>
        <v>9</v>
      </c>
      <c r="P417" s="148">
        <f t="shared" si="218"/>
        <v>10</v>
      </c>
      <c r="Q417" s="148">
        <f t="shared" si="218"/>
        <v>11</v>
      </c>
      <c r="R417" s="148">
        <f t="shared" si="218"/>
        <v>12</v>
      </c>
      <c r="S417" s="148">
        <f t="shared" si="218"/>
        <v>13</v>
      </c>
      <c r="T417" s="148">
        <f t="shared" si="218"/>
        <v>14</v>
      </c>
      <c r="U417" s="148">
        <f t="shared" si="218"/>
        <v>15</v>
      </c>
      <c r="V417" s="148">
        <f t="shared" si="218"/>
        <v>16</v>
      </c>
      <c r="W417" s="148">
        <f t="shared" si="218"/>
        <v>17</v>
      </c>
      <c r="X417" s="148">
        <f t="shared" si="218"/>
        <v>18</v>
      </c>
      <c r="Y417" s="148">
        <f t="shared" si="218"/>
        <v>19</v>
      </c>
      <c r="Z417" s="148">
        <f t="shared" si="218"/>
        <v>20</v>
      </c>
    </row>
    <row r="418" spans="2:26" ht="15.5">
      <c r="B418" s="33" t="s">
        <v>380</v>
      </c>
      <c r="D418" s="48"/>
      <c r="E418" s="48"/>
      <c r="F418" s="34">
        <f t="shared" ref="F418:Z418" ca="1" si="219">+F405</f>
        <v>-64517857.38131696</v>
      </c>
      <c r="G418" s="34">
        <f t="shared" ca="1" si="219"/>
        <v>0</v>
      </c>
      <c r="H418" s="34">
        <f t="shared" ca="1" si="219"/>
        <v>0</v>
      </c>
      <c r="I418" s="34">
        <f t="shared" ca="1" si="219"/>
        <v>0</v>
      </c>
      <c r="J418" s="34">
        <f t="shared" ca="1" si="219"/>
        <v>0</v>
      </c>
      <c r="K418" s="34">
        <f t="shared" ca="1" si="219"/>
        <v>0</v>
      </c>
      <c r="L418" s="34">
        <f t="shared" ca="1" si="219"/>
        <v>0</v>
      </c>
      <c r="M418" s="34">
        <f t="shared" ca="1" si="219"/>
        <v>0</v>
      </c>
      <c r="N418" s="34">
        <f t="shared" ca="1" si="219"/>
        <v>0</v>
      </c>
      <c r="O418" s="34">
        <f t="shared" ca="1" si="219"/>
        <v>0</v>
      </c>
      <c r="P418" s="34">
        <f t="shared" ca="1" si="219"/>
        <v>0</v>
      </c>
      <c r="Q418" s="34">
        <f t="shared" ca="1" si="219"/>
        <v>0</v>
      </c>
      <c r="R418" s="34">
        <f t="shared" ca="1" si="219"/>
        <v>0</v>
      </c>
      <c r="S418" s="34">
        <f t="shared" ca="1" si="219"/>
        <v>0</v>
      </c>
      <c r="T418" s="34">
        <f t="shared" ca="1" si="219"/>
        <v>0</v>
      </c>
      <c r="U418" s="34">
        <f t="shared" ca="1" si="219"/>
        <v>0</v>
      </c>
      <c r="V418" s="34">
        <f t="shared" ca="1" si="219"/>
        <v>0</v>
      </c>
      <c r="W418" s="34">
        <f t="shared" ca="1" si="219"/>
        <v>0</v>
      </c>
      <c r="X418" s="34">
        <f t="shared" ca="1" si="219"/>
        <v>0</v>
      </c>
      <c r="Y418" s="34">
        <f t="shared" ca="1" si="219"/>
        <v>0</v>
      </c>
      <c r="Z418" s="34">
        <f t="shared" ca="1" si="219"/>
        <v>0</v>
      </c>
    </row>
    <row r="419" spans="2:26" ht="15.5">
      <c r="B419" s="33" t="s">
        <v>398</v>
      </c>
      <c r="D419" s="48"/>
      <c r="E419" s="48"/>
      <c r="F419" s="151">
        <f ca="1">-F418*Assumptions!$M$192</f>
        <v>13548750.050076561</v>
      </c>
      <c r="G419" s="151">
        <f ca="1">-G418*Assumptions!$M$192</f>
        <v>0</v>
      </c>
      <c r="H419" s="151">
        <f ca="1">-H418*Assumptions!$M$192</f>
        <v>0</v>
      </c>
      <c r="I419" s="151">
        <f ca="1">-I418*Assumptions!$M$192</f>
        <v>0</v>
      </c>
      <c r="J419" s="151">
        <f ca="1">-J418*Assumptions!$M$192</f>
        <v>0</v>
      </c>
      <c r="K419" s="151">
        <f ca="1">-K418*Assumptions!$M$192</f>
        <v>0</v>
      </c>
      <c r="L419" s="151">
        <f ca="1">-L418*Assumptions!$M$192</f>
        <v>0</v>
      </c>
      <c r="M419" s="151">
        <f ca="1">-M418*Assumptions!$M$192</f>
        <v>0</v>
      </c>
      <c r="N419" s="151">
        <f ca="1">-N418*Assumptions!$M$192</f>
        <v>0</v>
      </c>
      <c r="O419" s="151">
        <f ca="1">-O418*Assumptions!$M$192</f>
        <v>0</v>
      </c>
      <c r="P419" s="151">
        <f ca="1">-P418*Assumptions!$M$192</f>
        <v>0</v>
      </c>
      <c r="Q419" s="151">
        <f ca="1">-Q418*Assumptions!$M$192</f>
        <v>0</v>
      </c>
      <c r="R419" s="151">
        <f ca="1">-R418*Assumptions!$M$192</f>
        <v>0</v>
      </c>
      <c r="S419" s="151">
        <f ca="1">-S418*Assumptions!$M$192</f>
        <v>0</v>
      </c>
      <c r="T419" s="151">
        <f ca="1">-T418*Assumptions!$M$192</f>
        <v>0</v>
      </c>
      <c r="U419" s="151">
        <f ca="1">-U418*Assumptions!$M$192</f>
        <v>0</v>
      </c>
      <c r="V419" s="151">
        <f ca="1">-V418*Assumptions!$M$192</f>
        <v>0</v>
      </c>
      <c r="W419" s="151">
        <f ca="1">-W418*Assumptions!$M$192</f>
        <v>0</v>
      </c>
      <c r="X419" s="151">
        <f ca="1">-X418*Assumptions!$M$192</f>
        <v>0</v>
      </c>
      <c r="Y419" s="151">
        <f ca="1">-Y418*Assumptions!$M$192</f>
        <v>0</v>
      </c>
      <c r="Z419" s="151">
        <f ca="1">-Z418*Assumptions!$M$192</f>
        <v>0</v>
      </c>
    </row>
    <row r="420" spans="2:26" ht="15.5">
      <c r="B420" s="33" t="s">
        <v>399</v>
      </c>
      <c r="D420" s="48"/>
      <c r="E420" s="48"/>
      <c r="F420" s="151">
        <f ca="1">IFERROR(-IF(YEAR(F402)&lt;MIN(YEAR(Assumptions!$G$30),2026),(OFFSET(F419,0,-10)),IF(YEAR(F402)=MIN(YEAR(Assumptions!$G$30),2026),SUM($E$419:F$419)-SUM($E$420:E$420),0)),0)</f>
        <v>0</v>
      </c>
      <c r="G420" s="151">
        <f ca="1">IFERROR(-IF(YEAR(G402)&lt;MIN(YEAR(Assumptions!$G$30),2026),(OFFSET(G419,0,-10)),IF(YEAR(G402)=MIN(YEAR(Assumptions!$G$30),2026),SUM($E$419:G$419)-SUM($E$420:F$420),0)),0)</f>
        <v>0</v>
      </c>
      <c r="H420" s="151">
        <f ca="1">IFERROR(-IF(YEAR(H402)&lt;MIN(YEAR(Assumptions!$G$30),2026),(OFFSET(H419,0,-10)),IF(YEAR(H402)=MIN(YEAR(Assumptions!$G$30),2026),SUM($E$419:H$419)-SUM($E$420:G$420),0)),0)</f>
        <v>0</v>
      </c>
      <c r="I420" s="151">
        <f ca="1">IFERROR(-IF(YEAR(I402)&lt;MIN(YEAR(Assumptions!$G$30),2026),(OFFSET(I419,0,-10)),IF(YEAR(I402)=MIN(YEAR(Assumptions!$G$30),2026),SUM($E$419:I$419)-SUM($E$420:H$420),0)),0)</f>
        <v>-13548750.050076561</v>
      </c>
      <c r="J420" s="151">
        <f ca="1">IFERROR(-IF(YEAR(J402)&lt;MIN(YEAR(Assumptions!$G$30),2026),(OFFSET(J419,0,-10)),IF(YEAR(J402)=MIN(YEAR(Assumptions!$G$30),2026),SUM($E$419:J$419)-SUM($E$420:I$420),0)),0)</f>
        <v>0</v>
      </c>
      <c r="K420" s="151">
        <f ca="1">IFERROR(-IF(YEAR(K402)&lt;MIN(YEAR(Assumptions!$G$30),2026),(OFFSET(K419,0,-10)),IF(YEAR(K402)=MIN(YEAR(Assumptions!$G$30),2026),SUM($E$419:K$419)-SUM($E$420:J$420),0)),0)</f>
        <v>0</v>
      </c>
      <c r="L420" s="151">
        <f ca="1">IFERROR(-IF(YEAR(L402)&lt;MIN(YEAR(Assumptions!$G$30),2026),(OFFSET(L419,0,-10)),IF(YEAR(L402)=MIN(YEAR(Assumptions!$G$30),2026),SUM($E$419:L$419)-SUM($E$420:K$420),0)),0)</f>
        <v>0</v>
      </c>
      <c r="M420" s="151">
        <f ca="1">IFERROR(-IF(YEAR(M402)&lt;MIN(YEAR(Assumptions!$G$30),2026),(OFFSET(M419,0,-10)),IF(YEAR(M402)=MIN(YEAR(Assumptions!$G$30),2026),SUM($E$419:M$419)-SUM($E$420:L$420),0)),0)</f>
        <v>0</v>
      </c>
      <c r="N420" s="151">
        <f ca="1">IFERROR(-IF(YEAR(N402)&lt;MIN(YEAR(Assumptions!$G$30),2026),(OFFSET(N419,0,-10)),IF(YEAR(N402)=MIN(YEAR(Assumptions!$G$30),2026),SUM($E$419:N$419)-SUM($E$420:M$420),0)),0)</f>
        <v>0</v>
      </c>
      <c r="O420" s="151">
        <f ca="1">IFERROR(-IF(YEAR(O402)&lt;MIN(YEAR(Assumptions!$G$30),2026),(OFFSET(O419,0,-10)),IF(YEAR(O402)=MIN(YEAR(Assumptions!$G$30),2026),SUM($E$419:O$419)-SUM($E$420:N$420),0)),0)</f>
        <v>0</v>
      </c>
      <c r="P420" s="151">
        <f ca="1">IFERROR(-IF(YEAR(P402)&lt;MIN(YEAR(Assumptions!$G$30),2026),(OFFSET(P419,0,-10)),IF(YEAR(P402)=MIN(YEAR(Assumptions!$G$30),2026),SUM($E$419:P$419)-SUM($E$420:O$420),0)),0)</f>
        <v>0</v>
      </c>
      <c r="Q420" s="151">
        <f ca="1">IFERROR(-IF(YEAR(Q402)&lt;MIN(YEAR(Assumptions!$G$30),2026),(OFFSET(Q419,0,-10)),IF(YEAR(Q402)=MIN(YEAR(Assumptions!$G$30),2026),SUM($E$419:Q$419)-SUM($E$420:P$420),0)),0)</f>
        <v>0</v>
      </c>
      <c r="R420" s="151">
        <f ca="1">IFERROR(-IF(YEAR(R402)&lt;MIN(YEAR(Assumptions!$G$30),2026),(OFFSET(R419,0,-10)),IF(YEAR(R402)=MIN(YEAR(Assumptions!$G$30),2026),SUM($E$419:R$419)-SUM($E$420:Q$420),0)),0)</f>
        <v>0</v>
      </c>
      <c r="S420" s="151">
        <f ca="1">IFERROR(-IF(YEAR(S402)&lt;MIN(YEAR(Assumptions!$G$30),2026),(OFFSET(S419,0,-10)),IF(YEAR(S402)=MIN(YEAR(Assumptions!$G$30),2026),SUM($E$419:S$419)-SUM($E$420:R$420),0)),0)</f>
        <v>0</v>
      </c>
      <c r="T420" s="151">
        <f ca="1">IFERROR(-IF(YEAR(T402)&lt;MIN(YEAR(Assumptions!$G$30),2026),(OFFSET(T419,0,-10)),IF(YEAR(T402)=MIN(YEAR(Assumptions!$G$30),2026),SUM($E$419:T$419)-SUM($E$420:S$420),0)),0)</f>
        <v>0</v>
      </c>
      <c r="U420" s="151">
        <f ca="1">IFERROR(-IF(YEAR(U402)&lt;MIN(YEAR(Assumptions!$G$30),2026),(OFFSET(U419,0,-10)),IF(YEAR(U402)=MIN(YEAR(Assumptions!$G$30),2026),SUM($E$419:U$419)-SUM($E$420:T$420),0)),0)</f>
        <v>0</v>
      </c>
      <c r="V420" s="151">
        <f ca="1">IFERROR(-IF(YEAR(V402)&lt;MIN(YEAR(Assumptions!$G$30),2026),(OFFSET(V419,0,-10)),IF(YEAR(V402)=MIN(YEAR(Assumptions!$G$30),2026),SUM($E$419:V$419)-SUM($E$420:U$420),0)),0)</f>
        <v>0</v>
      </c>
      <c r="W420" s="151">
        <f ca="1">IFERROR(-IF(YEAR(W402)&lt;MIN(YEAR(Assumptions!$G$30),2026),(OFFSET(W419,0,-10)),IF(YEAR(W402)=MIN(YEAR(Assumptions!$G$30),2026),SUM($E$419:W$419)-SUM($E$420:V$420),0)),0)</f>
        <v>0</v>
      </c>
      <c r="X420" s="151">
        <f ca="1">IFERROR(-IF(YEAR(X402)&lt;MIN(YEAR(Assumptions!$G$30),2026),(OFFSET(X419,0,-10)),IF(YEAR(X402)=MIN(YEAR(Assumptions!$G$30),2026),SUM($E$419:X$419)-SUM($E$420:W$420),0)),0)</f>
        <v>0</v>
      </c>
      <c r="Y420" s="151">
        <f ca="1">IFERROR(-IF(YEAR(Y402)&lt;MIN(YEAR(Assumptions!$G$30),2026),(OFFSET(Y419,0,-10)),IF(YEAR(Y402)=MIN(YEAR(Assumptions!$G$30),2026),SUM($E$419:Y$419)-SUM($E$420:X$420),0)),0)</f>
        <v>0</v>
      </c>
      <c r="Z420" s="151">
        <f ca="1">IFERROR(-IF(YEAR(Z402)&lt;MIN(YEAR(Assumptions!$G$30),2026),(OFFSET(Z419,0,-10)),IF(YEAR(Z402)=MIN(YEAR(Assumptions!$G$30),2026),SUM($E$419:Z$419)-SUM($E$420:Y$420),0)),0)</f>
        <v>0</v>
      </c>
    </row>
    <row r="421" spans="2:26" ht="15.5">
      <c r="B421" s="33" t="s">
        <v>400</v>
      </c>
      <c r="D421" s="48"/>
      <c r="E421" s="48"/>
      <c r="F421" s="151">
        <f>+IF(YEAR(F402)=MIN(YEAR(Assumptions!$G$30),2026),SUM($F$432:$Z$432),0)</f>
        <v>0</v>
      </c>
      <c r="G421" s="151">
        <f>+IF(YEAR(G402)=MIN(YEAR(Assumptions!$G$30),2026),SUM($F$432:$Z$432),0)</f>
        <v>0</v>
      </c>
      <c r="H421" s="151">
        <f>+IF(YEAR(H402)=MIN(YEAR(Assumptions!$G$30),2026),SUM($F$432:$Z$432),0)</f>
        <v>0</v>
      </c>
      <c r="I421" s="151">
        <f ca="1">+IF(YEAR(I402)=MIN(YEAR(Assumptions!$G$30),2026),SUM($F$432:$Z$432),0)</f>
        <v>2032312.5075114851</v>
      </c>
      <c r="J421" s="151">
        <f>+IF(YEAR(J402)=MIN(YEAR(Assumptions!$G$30),2026),SUM($F$432:$Z$432),0)</f>
        <v>0</v>
      </c>
      <c r="K421" s="151">
        <f>+IF(YEAR(K402)=MIN(YEAR(Assumptions!$G$30),2026),SUM($F$432:$Z$432),0)</f>
        <v>0</v>
      </c>
      <c r="L421" s="151">
        <f>+IF(YEAR(L402)=MIN(YEAR(Assumptions!$G$30),2026),SUM($F$432:$Z$432),0)</f>
        <v>0</v>
      </c>
      <c r="M421" s="151">
        <f>+IF(YEAR(M402)=MIN(YEAR(Assumptions!$G$30),2026),SUM($F$432:$Z$432),0)</f>
        <v>0</v>
      </c>
      <c r="N421" s="151">
        <f>+IF(YEAR(N402)=MIN(YEAR(Assumptions!$G$30),2026),SUM($F$432:$Z$432),0)</f>
        <v>0</v>
      </c>
      <c r="O421" s="151">
        <f>+IF(YEAR(O402)=MIN(YEAR(Assumptions!$G$30),2026),SUM($F$432:$Z$432),0)</f>
        <v>0</v>
      </c>
      <c r="P421" s="151">
        <f>+IF(YEAR(P402)=MIN(YEAR(Assumptions!$G$30),2026),SUM($F$432:$Z$432),0)</f>
        <v>0</v>
      </c>
      <c r="Q421" s="151">
        <f>+IF(YEAR(Q402)=MIN(YEAR(Assumptions!$G$30),2026),SUM($F$432:$Z$432),0)</f>
        <v>0</v>
      </c>
      <c r="R421" s="151">
        <f>+IF(YEAR(R402)=MIN(YEAR(Assumptions!$G$30),2026),SUM($F$432:$Z$432),0)</f>
        <v>0</v>
      </c>
      <c r="S421" s="151">
        <f>+IF(YEAR(S402)=MIN(YEAR(Assumptions!$G$30),2026),SUM($F$432:$Z$432),0)</f>
        <v>0</v>
      </c>
      <c r="T421" s="151">
        <f>+IF(YEAR(T402)=MIN(YEAR(Assumptions!$G$30),2026),SUM($F$432:$Z$432),0)</f>
        <v>0</v>
      </c>
      <c r="U421" s="151">
        <f>+IF(YEAR(U402)=MIN(YEAR(Assumptions!$G$30),2026),SUM($F$432:$Z$432),0)</f>
        <v>0</v>
      </c>
      <c r="V421" s="151">
        <f>+IF(YEAR(V402)=MIN(YEAR(Assumptions!$G$30),2026),SUM($F$432:$Z$432),0)</f>
        <v>0</v>
      </c>
      <c r="W421" s="151">
        <f>+IF(YEAR(W402)=MIN(YEAR(Assumptions!$G$30),2026),SUM($F$432:$Z$432),0)</f>
        <v>0</v>
      </c>
      <c r="X421" s="151">
        <f>+IF(YEAR(X402)=MIN(YEAR(Assumptions!$G$30),2026),SUM($F$432:$Z$432),0)</f>
        <v>0</v>
      </c>
      <c r="Y421" s="151">
        <f>+IF(YEAR(Y402)=MIN(YEAR(Assumptions!$G$30),2026),SUM($F$432:$Z$432),0)</f>
        <v>0</v>
      </c>
      <c r="Z421" s="151">
        <f>+IF(YEAR(Z402)=MIN(YEAR(Assumptions!$G$30),2026),SUM($F$432:$Z$432),0)</f>
        <v>0</v>
      </c>
    </row>
    <row r="422" spans="2:26" ht="15.5">
      <c r="B422" s="33" t="s">
        <v>584</v>
      </c>
      <c r="D422" s="48"/>
      <c r="E422" s="48"/>
      <c r="F422" s="151">
        <f t="shared" ref="F422:Z422" ca="1" si="220">+F408</f>
        <v>0</v>
      </c>
      <c r="G422" s="151">
        <f t="shared" ca="1" si="220"/>
        <v>0</v>
      </c>
      <c r="H422" s="151">
        <f t="shared" ca="1" si="220"/>
        <v>0</v>
      </c>
      <c r="I422" s="151">
        <f t="shared" ca="1" si="220"/>
        <v>-248477.22660758582</v>
      </c>
      <c r="J422" s="151">
        <f t="shared" ca="1" si="220"/>
        <v>-489289.13682950247</v>
      </c>
      <c r="K422" s="151">
        <f t="shared" ca="1" si="220"/>
        <v>-500478.71955064719</v>
      </c>
      <c r="L422" s="151">
        <f t="shared" ca="1" si="220"/>
        <v>-696336.12300867517</v>
      </c>
      <c r="M422" s="151">
        <f t="shared" ca="1" si="220"/>
        <v>-708908.73838718107</v>
      </c>
      <c r="N422" s="151">
        <f t="shared" ca="1" si="220"/>
        <v>-722235.71063179336</v>
      </c>
      <c r="O422" s="151">
        <f t="shared" si="220"/>
        <v>0</v>
      </c>
      <c r="P422" s="151">
        <f t="shared" si="220"/>
        <v>0</v>
      </c>
      <c r="Q422" s="151">
        <f t="shared" si="220"/>
        <v>0</v>
      </c>
      <c r="R422" s="151">
        <f t="shared" si="220"/>
        <v>0</v>
      </c>
      <c r="S422" s="151">
        <f t="shared" si="220"/>
        <v>0</v>
      </c>
      <c r="T422" s="151">
        <f t="shared" si="220"/>
        <v>0</v>
      </c>
      <c r="U422" s="151">
        <f t="shared" si="220"/>
        <v>0</v>
      </c>
      <c r="V422" s="151">
        <f t="shared" si="220"/>
        <v>0</v>
      </c>
      <c r="W422" s="151">
        <f t="shared" si="220"/>
        <v>0</v>
      </c>
      <c r="X422" s="151">
        <f t="shared" si="220"/>
        <v>0</v>
      </c>
      <c r="Y422" s="151">
        <f t="shared" si="220"/>
        <v>0</v>
      </c>
      <c r="Z422" s="151">
        <f t="shared" si="220"/>
        <v>0</v>
      </c>
    </row>
    <row r="423" spans="2:26" ht="15.5">
      <c r="B423" s="33" t="s">
        <v>586</v>
      </c>
      <c r="D423" s="48"/>
      <c r="E423" s="48"/>
      <c r="F423" s="151">
        <f t="shared" ref="F423:Z423" ca="1" si="221">+F409</f>
        <v>0</v>
      </c>
      <c r="G423" s="151">
        <f t="shared" ca="1" si="221"/>
        <v>0</v>
      </c>
      <c r="H423" s="151">
        <f t="shared" ca="1" si="221"/>
        <v>0</v>
      </c>
      <c r="I423" s="151">
        <f t="shared" ca="1" si="221"/>
        <v>-530335.31751769967</v>
      </c>
      <c r="J423" s="151">
        <f t="shared" ca="1" si="221"/>
        <v>7210092.1709204763</v>
      </c>
      <c r="K423" s="151">
        <f t="shared" ca="1" si="221"/>
        <v>7210092.1770137986</v>
      </c>
      <c r="L423" s="151">
        <f t="shared" ca="1" si="221"/>
        <v>8086265.7347756457</v>
      </c>
      <c r="M423" s="151">
        <f t="shared" ca="1" si="221"/>
        <v>8086265.7427317612</v>
      </c>
      <c r="N423" s="151">
        <f t="shared" ca="1" si="221"/>
        <v>8086265.7508956976</v>
      </c>
      <c r="O423" s="151">
        <f t="shared" si="221"/>
        <v>0</v>
      </c>
      <c r="P423" s="151">
        <f t="shared" si="221"/>
        <v>0</v>
      </c>
      <c r="Q423" s="151">
        <f t="shared" si="221"/>
        <v>0</v>
      </c>
      <c r="R423" s="151">
        <f t="shared" si="221"/>
        <v>0</v>
      </c>
      <c r="S423" s="151">
        <f t="shared" si="221"/>
        <v>0</v>
      </c>
      <c r="T423" s="151">
        <f t="shared" si="221"/>
        <v>0</v>
      </c>
      <c r="U423" s="151">
        <f t="shared" si="221"/>
        <v>0</v>
      </c>
      <c r="V423" s="151">
        <f t="shared" si="221"/>
        <v>0</v>
      </c>
      <c r="W423" s="151">
        <f t="shared" si="221"/>
        <v>0</v>
      </c>
      <c r="X423" s="151">
        <f t="shared" si="221"/>
        <v>0</v>
      </c>
      <c r="Y423" s="151">
        <f t="shared" si="221"/>
        <v>0</v>
      </c>
      <c r="Z423" s="151">
        <f t="shared" si="221"/>
        <v>0</v>
      </c>
    </row>
    <row r="424" spans="2:26" ht="15.5">
      <c r="B424" s="33" t="s">
        <v>585</v>
      </c>
      <c r="D424" s="48"/>
      <c r="E424" s="48"/>
      <c r="F424" s="151">
        <f>-F276-F230-F160</f>
        <v>0</v>
      </c>
      <c r="G424" s="151">
        <f t="shared" ref="G424:Z424" si="222">+G410</f>
        <v>0</v>
      </c>
      <c r="H424" s="151">
        <f t="shared" si="222"/>
        <v>0</v>
      </c>
      <c r="I424" s="151">
        <f t="shared" ca="1" si="222"/>
        <v>-0.14425680041313171</v>
      </c>
      <c r="J424" s="151">
        <f t="shared" si="222"/>
        <v>0</v>
      </c>
      <c r="K424" s="151">
        <f t="shared" si="222"/>
        <v>0</v>
      </c>
      <c r="L424" s="151">
        <f t="shared" si="222"/>
        <v>0</v>
      </c>
      <c r="M424" s="151">
        <f t="shared" si="222"/>
        <v>0</v>
      </c>
      <c r="N424" s="151">
        <f t="shared" ca="1" si="222"/>
        <v>75871586.316918463</v>
      </c>
      <c r="O424" s="151">
        <f t="shared" si="222"/>
        <v>0</v>
      </c>
      <c r="P424" s="151">
        <f t="shared" si="222"/>
        <v>0</v>
      </c>
      <c r="Q424" s="151">
        <f t="shared" si="222"/>
        <v>0</v>
      </c>
      <c r="R424" s="151">
        <f t="shared" si="222"/>
        <v>0</v>
      </c>
      <c r="S424" s="151">
        <f t="shared" si="222"/>
        <v>0</v>
      </c>
      <c r="T424" s="151">
        <f t="shared" si="222"/>
        <v>0</v>
      </c>
      <c r="U424" s="151">
        <f t="shared" si="222"/>
        <v>0</v>
      </c>
      <c r="V424" s="151">
        <f t="shared" si="222"/>
        <v>0</v>
      </c>
      <c r="W424" s="151">
        <f t="shared" si="222"/>
        <v>0</v>
      </c>
      <c r="X424" s="151">
        <f t="shared" si="222"/>
        <v>0</v>
      </c>
      <c r="Y424" s="151">
        <f t="shared" si="222"/>
        <v>0</v>
      </c>
      <c r="Z424" s="151">
        <f t="shared" si="222"/>
        <v>0</v>
      </c>
    </row>
    <row r="425" spans="2:26" ht="15.5">
      <c r="B425" s="33" t="s">
        <v>397</v>
      </c>
      <c r="D425" s="48"/>
      <c r="E425" s="48"/>
      <c r="F425" s="151">
        <f>+IF(F404&gt;=10,0,F411)</f>
        <v>0</v>
      </c>
      <c r="G425" s="151">
        <f t="shared" ref="G425:Z425" si="223">+IF(G404&gt;=10,0,G411)</f>
        <v>0</v>
      </c>
      <c r="H425" s="151">
        <f t="shared" si="223"/>
        <v>0</v>
      </c>
      <c r="I425" s="151">
        <f t="shared" si="223"/>
        <v>0</v>
      </c>
      <c r="J425" s="151">
        <f t="shared" si="223"/>
        <v>0</v>
      </c>
      <c r="K425" s="151">
        <f t="shared" si="223"/>
        <v>0</v>
      </c>
      <c r="L425" s="151">
        <f t="shared" si="223"/>
        <v>0</v>
      </c>
      <c r="M425" s="151">
        <f t="shared" si="223"/>
        <v>0</v>
      </c>
      <c r="N425" s="151">
        <f t="shared" ca="1" si="223"/>
        <v>6670079.8391317381</v>
      </c>
      <c r="O425" s="151">
        <f t="shared" si="223"/>
        <v>0</v>
      </c>
      <c r="P425" s="151">
        <f t="shared" si="223"/>
        <v>0</v>
      </c>
      <c r="Q425" s="151">
        <f t="shared" si="223"/>
        <v>0</v>
      </c>
      <c r="R425" s="151">
        <f t="shared" si="223"/>
        <v>0</v>
      </c>
      <c r="S425" s="151">
        <f t="shared" si="223"/>
        <v>0</v>
      </c>
      <c r="T425" s="151">
        <f t="shared" si="223"/>
        <v>0</v>
      </c>
      <c r="U425" s="151">
        <f t="shared" si="223"/>
        <v>0</v>
      </c>
      <c r="V425" s="151">
        <f t="shared" si="223"/>
        <v>0</v>
      </c>
      <c r="W425" s="151">
        <f t="shared" si="223"/>
        <v>0</v>
      </c>
      <c r="X425" s="151">
        <f t="shared" si="223"/>
        <v>0</v>
      </c>
      <c r="Y425" s="151">
        <f t="shared" si="223"/>
        <v>0</v>
      </c>
      <c r="Z425" s="151">
        <f t="shared" si="223"/>
        <v>0</v>
      </c>
    </row>
    <row r="426" spans="2:26" ht="15.5">
      <c r="B426" s="33" t="str">
        <f>B412</f>
        <v>Pads (Net of sale costs)</v>
      </c>
      <c r="D426" s="48"/>
      <c r="E426" s="48"/>
      <c r="F426" s="33">
        <f>F412</f>
        <v>0</v>
      </c>
      <c r="G426" s="151">
        <f t="shared" ref="G426:Z426" si="224">G412</f>
        <v>65237394.974527918</v>
      </c>
      <c r="H426" s="151">
        <f t="shared" si="224"/>
        <v>0</v>
      </c>
      <c r="I426" s="151">
        <f t="shared" si="224"/>
        <v>0</v>
      </c>
      <c r="J426" s="151">
        <f t="shared" si="224"/>
        <v>0</v>
      </c>
      <c r="K426" s="151">
        <f t="shared" si="224"/>
        <v>0</v>
      </c>
      <c r="L426" s="151">
        <f t="shared" si="224"/>
        <v>0</v>
      </c>
      <c r="M426" s="151">
        <f t="shared" si="224"/>
        <v>0</v>
      </c>
      <c r="N426" s="151">
        <f t="shared" si="224"/>
        <v>0</v>
      </c>
      <c r="O426" s="151">
        <f t="shared" si="224"/>
        <v>0</v>
      </c>
      <c r="P426" s="151">
        <f t="shared" si="224"/>
        <v>0</v>
      </c>
      <c r="Q426" s="151">
        <f t="shared" si="224"/>
        <v>0</v>
      </c>
      <c r="R426" s="151">
        <f t="shared" si="224"/>
        <v>0</v>
      </c>
      <c r="S426" s="151">
        <f t="shared" si="224"/>
        <v>0</v>
      </c>
      <c r="T426" s="151">
        <f t="shared" si="224"/>
        <v>0</v>
      </c>
      <c r="U426" s="151">
        <f t="shared" si="224"/>
        <v>0</v>
      </c>
      <c r="V426" s="151">
        <f t="shared" si="224"/>
        <v>0</v>
      </c>
      <c r="W426" s="151">
        <f t="shared" si="224"/>
        <v>0</v>
      </c>
      <c r="X426" s="151">
        <f t="shared" si="224"/>
        <v>0</v>
      </c>
      <c r="Y426" s="151">
        <f t="shared" si="224"/>
        <v>0</v>
      </c>
      <c r="Z426" s="151">
        <f t="shared" si="224"/>
        <v>0</v>
      </c>
    </row>
    <row r="427" spans="2:26" ht="15.5">
      <c r="B427" s="138" t="s">
        <v>388</v>
      </c>
      <c r="C427" s="138"/>
      <c r="D427" s="139">
        <f t="shared" ref="D427" ca="1" si="225">+SUM(F427:Z427)</f>
        <v>120076436.71632016</v>
      </c>
      <c r="E427" s="139"/>
      <c r="F427" s="139">
        <f ca="1">+SUM(F418:F426)</f>
        <v>-50969107.331240401</v>
      </c>
      <c r="G427" s="139">
        <f t="shared" ref="G427:Z427" ca="1" si="226">+SUM(G418:G426)</f>
        <v>65237394.974527918</v>
      </c>
      <c r="H427" s="139">
        <f t="shared" ca="1" si="226"/>
        <v>0</v>
      </c>
      <c r="I427" s="139">
        <f t="shared" ca="1" si="226"/>
        <v>-12295250.230947161</v>
      </c>
      <c r="J427" s="139">
        <f t="shared" ca="1" si="226"/>
        <v>6720803.0340909734</v>
      </c>
      <c r="K427" s="139">
        <f t="shared" ca="1" si="226"/>
        <v>6709613.4574631518</v>
      </c>
      <c r="L427" s="139">
        <f t="shared" ca="1" si="226"/>
        <v>7389929.6117669707</v>
      </c>
      <c r="M427" s="139">
        <f t="shared" ca="1" si="226"/>
        <v>7377357.0043445798</v>
      </c>
      <c r="N427" s="139">
        <f t="shared" ca="1" si="226"/>
        <v>89905696.196314111</v>
      </c>
      <c r="O427" s="139">
        <f t="shared" ca="1" si="226"/>
        <v>0</v>
      </c>
      <c r="P427" s="139">
        <f t="shared" ca="1" si="226"/>
        <v>0</v>
      </c>
      <c r="Q427" s="139">
        <f t="shared" ca="1" si="226"/>
        <v>0</v>
      </c>
      <c r="R427" s="139">
        <f t="shared" ca="1" si="226"/>
        <v>0</v>
      </c>
      <c r="S427" s="139">
        <f t="shared" ca="1" si="226"/>
        <v>0</v>
      </c>
      <c r="T427" s="139">
        <f t="shared" ca="1" si="226"/>
        <v>0</v>
      </c>
      <c r="U427" s="139">
        <f t="shared" ca="1" si="226"/>
        <v>0</v>
      </c>
      <c r="V427" s="139">
        <f t="shared" ca="1" si="226"/>
        <v>0</v>
      </c>
      <c r="W427" s="139">
        <f t="shared" ca="1" si="226"/>
        <v>0</v>
      </c>
      <c r="X427" s="139">
        <f t="shared" ca="1" si="226"/>
        <v>0</v>
      </c>
      <c r="Y427" s="139">
        <f t="shared" ca="1" si="226"/>
        <v>0</v>
      </c>
      <c r="Z427" s="139">
        <f t="shared" ca="1" si="226"/>
        <v>0</v>
      </c>
    </row>
    <row r="429" spans="2:26" ht="15.5">
      <c r="B429" s="190" t="s">
        <v>581</v>
      </c>
      <c r="C429" s="190"/>
      <c r="D429" s="191">
        <f ca="1">+IRR(F427:Z427)</f>
        <v>0.42680770265364254</v>
      </c>
    </row>
    <row r="430" spans="2:26" ht="15.5">
      <c r="B430" s="194" t="s">
        <v>582</v>
      </c>
      <c r="C430" s="193"/>
      <c r="D430" s="228">
        <f ca="1">+D429/(1-Assumptions!$M$192)</f>
        <v>0.54026291475144628</v>
      </c>
    </row>
    <row r="432" spans="2:26">
      <c r="B432" s="41" t="s">
        <v>401</v>
      </c>
      <c r="F432" s="151">
        <f ca="1">IFERROR(IF(YEAR(F402)&lt;=YEAR(Assumptions!$G$30),10%*(OFFSET(F419,0,-5))+5%*(OFFSET(F419,0,-7)),0),0)</f>
        <v>0</v>
      </c>
      <c r="G432" s="151">
        <f ca="1">IFERROR(IF(YEAR(G402)&lt;=YEAR(Assumptions!$G$30),10%*(OFFSET(G419,0,-5))+5%*(OFFSET(G419,0,-7)),0),0)</f>
        <v>0</v>
      </c>
      <c r="H432" s="151">
        <f ca="1">IFERROR(IF(YEAR(H402)&lt;=YEAR(Assumptions!$G$30),10%*(OFFSET(H419,0,-5))+5%*(OFFSET(H419,0,-7)),0),0)</f>
        <v>0</v>
      </c>
      <c r="I432" s="151">
        <f ca="1">IFERROR(IF(YEAR(I402)&lt;=YEAR(Assumptions!$G$30),10%*(OFFSET(I419,0,-5))+5%*(OFFSET(I419,0,-7)),0),0)</f>
        <v>0</v>
      </c>
      <c r="J432" s="151">
        <f ca="1">IFERROR(IF(YEAR(J402)&lt;=YEAR(Assumptions!$G$30),10%*(OFFSET(J419,0,-5))+5%*(OFFSET(J419,0,-7)),0),0)</f>
        <v>0</v>
      </c>
      <c r="K432" s="151">
        <f ca="1">IFERROR(IF(YEAR(K402)&lt;=YEAR(Assumptions!$G$30),10%*(OFFSET(K419,0,-5))+5%*(OFFSET(K419,0,-7)),0),0)</f>
        <v>1354875.0050076563</v>
      </c>
      <c r="L432" s="151">
        <f ca="1">IFERROR(IF(YEAR(L402)&lt;=YEAR(Assumptions!$G$30),10%*(OFFSET(L419,0,-5))+5%*(OFFSET(L419,0,-7)),0),0)</f>
        <v>0</v>
      </c>
      <c r="M432" s="151">
        <f ca="1">IFERROR(IF(YEAR(M402)&lt;=YEAR(Assumptions!$G$30),10%*(OFFSET(M419,0,-5))+5%*(OFFSET(M419,0,-7)),0),0)</f>
        <v>677437.50250382815</v>
      </c>
      <c r="N432" s="151">
        <f ca="1">IFERROR(IF(YEAR(N402)&lt;=YEAR(Assumptions!$G$30),10%*(OFFSET(N419,0,-5))+5%*(OFFSET(N419,0,-7)),0),0)</f>
        <v>0</v>
      </c>
      <c r="O432" s="151">
        <f ca="1">IFERROR(IF(YEAR(O402)&lt;=YEAR(Assumptions!$G$30),10%*(OFFSET(O419,0,-5))+5%*(OFFSET(O419,0,-7)),0),0)</f>
        <v>0</v>
      </c>
      <c r="P432" s="151">
        <f ca="1">IFERROR(IF(YEAR(P402)&lt;=YEAR(Assumptions!$G$30),10%*(OFFSET(P419,0,-5))+5%*(OFFSET(P419,0,-7)),0),0)</f>
        <v>0</v>
      </c>
      <c r="Q432" s="151">
        <f ca="1">IFERROR(IF(YEAR(Q402)&lt;=YEAR(Assumptions!$G$30),10%*(OFFSET(Q419,0,-5))+5%*(OFFSET(Q419,0,-7)),0),0)</f>
        <v>0</v>
      </c>
      <c r="R432" s="151">
        <f ca="1">IFERROR(IF(YEAR(R402)&lt;=YEAR(Assumptions!$G$30),10%*(OFFSET(R419,0,-5))+5%*(OFFSET(R419,0,-7)),0),0)</f>
        <v>0</v>
      </c>
      <c r="S432" s="151">
        <f ca="1">IFERROR(IF(YEAR(S402)&lt;=YEAR(Assumptions!$G$30),10%*(OFFSET(S419,0,-5))+5%*(OFFSET(S419,0,-7)),0),0)</f>
        <v>0</v>
      </c>
      <c r="T432" s="151">
        <f ca="1">IFERROR(IF(YEAR(T402)&lt;=YEAR(Assumptions!$G$30),10%*(OFFSET(T419,0,-5))+5%*(OFFSET(T419,0,-7)),0),0)</f>
        <v>0</v>
      </c>
      <c r="U432" s="151">
        <f ca="1">IFERROR(IF(YEAR(U402)&lt;=YEAR(Assumptions!$G$30),10%*(OFFSET(U419,0,-5))+5%*(OFFSET(U419,0,-7)),0),0)</f>
        <v>0</v>
      </c>
      <c r="V432" s="151">
        <f ca="1">IFERROR(IF(YEAR(V402)&lt;=YEAR(Assumptions!$G$30),10%*(OFFSET(V419,0,-5))+5%*(OFFSET(V419,0,-7)),0),0)</f>
        <v>0</v>
      </c>
      <c r="W432" s="151">
        <f ca="1">IFERROR(IF(YEAR(W402)&lt;=YEAR(Assumptions!$G$30),10%*(OFFSET(W419,0,-5))+5%*(OFFSET(W419,0,-7)),0),0)</f>
        <v>0</v>
      </c>
      <c r="X432" s="151">
        <f ca="1">IFERROR(IF(YEAR(X402)&lt;=YEAR(Assumptions!$G$30),10%*(OFFSET(X419,0,-5))+5%*(OFFSET(X419,0,-7)),0),0)</f>
        <v>0</v>
      </c>
      <c r="Y432" s="151">
        <f ca="1">IFERROR(IF(YEAR(Y402)&lt;=YEAR(Assumptions!$G$30),10%*(OFFSET(Y419,0,-5))+5%*(OFFSET(Y419,0,-7)),0),0)</f>
        <v>0</v>
      </c>
      <c r="Z432" s="151">
        <f ca="1">IFERROR(IF(YEAR(Z402)&lt;=YEAR(Assumptions!$G$30),10%*(OFFSET(Z419,0,-5))+5%*(OFFSET(Z419,0,-7)),0),0)</f>
        <v>0</v>
      </c>
    </row>
    <row r="434" spans="1:26" ht="15.5">
      <c r="B434" s="148" t="s">
        <v>381</v>
      </c>
    </row>
    <row r="435" spans="1:26" ht="15.5">
      <c r="B435" s="33" t="s">
        <v>382</v>
      </c>
      <c r="D435" s="48">
        <f ca="1">+SUM(F435:Z435)</f>
        <v>933120000.77034724</v>
      </c>
      <c r="E435" s="48"/>
      <c r="F435" s="34">
        <v>0</v>
      </c>
      <c r="G435" s="34">
        <f ca="1">+F443</f>
        <v>64517857.38131699</v>
      </c>
      <c r="H435" s="34">
        <f t="shared" ref="H435:Z435" ca="1" si="227">+G443</f>
        <v>129755252.35584489</v>
      </c>
      <c r="I435" s="34">
        <f t="shared" ca="1" si="227"/>
        <v>129755252.35584491</v>
      </c>
      <c r="J435" s="34">
        <f t="shared" ca="1" si="227"/>
        <v>131468812.70622693</v>
      </c>
      <c r="K435" s="34">
        <f t="shared" ca="1" si="227"/>
        <v>126588668.80592318</v>
      </c>
      <c r="L435" s="34">
        <f t="shared" ca="1" si="227"/>
        <v>121761808.62676959</v>
      </c>
      <c r="M435" s="34">
        <f t="shared" ca="1" si="227"/>
        <v>116991429.19203527</v>
      </c>
      <c r="N435" s="34">
        <f t="shared" ca="1" si="227"/>
        <v>112280919.34638533</v>
      </c>
      <c r="O435" s="34">
        <f t="shared" ca="1" si="227"/>
        <v>0</v>
      </c>
      <c r="P435" s="34">
        <f t="shared" ca="1" si="227"/>
        <v>0</v>
      </c>
      <c r="Q435" s="34">
        <f t="shared" ca="1" si="227"/>
        <v>0</v>
      </c>
      <c r="R435" s="34">
        <f t="shared" ca="1" si="227"/>
        <v>0</v>
      </c>
      <c r="S435" s="34">
        <f t="shared" ca="1" si="227"/>
        <v>0</v>
      </c>
      <c r="T435" s="34">
        <f t="shared" ca="1" si="227"/>
        <v>0</v>
      </c>
      <c r="U435" s="34">
        <f t="shared" ca="1" si="227"/>
        <v>0</v>
      </c>
      <c r="V435" s="34">
        <f t="shared" ca="1" si="227"/>
        <v>0</v>
      </c>
      <c r="W435" s="34">
        <f t="shared" ca="1" si="227"/>
        <v>0</v>
      </c>
      <c r="X435" s="34">
        <f t="shared" ca="1" si="227"/>
        <v>0</v>
      </c>
      <c r="Y435" s="34">
        <f t="shared" ca="1" si="227"/>
        <v>0</v>
      </c>
      <c r="Z435" s="34">
        <f t="shared" ca="1" si="227"/>
        <v>0</v>
      </c>
    </row>
    <row r="436" spans="1:26" ht="15.5">
      <c r="B436" s="33" t="s">
        <v>380</v>
      </c>
      <c r="D436" s="48">
        <f t="shared" ref="D436:D442" ca="1" si="228">+SUM(F436:Z436)</f>
        <v>64517857.38131699</v>
      </c>
      <c r="E436" s="48"/>
      <c r="F436" s="151">
        <f ca="1">-F405</f>
        <v>64517857.38131696</v>
      </c>
      <c r="G436" s="151">
        <f t="shared" ref="G436:Z436" ca="1" si="229">-G405</f>
        <v>0</v>
      </c>
      <c r="H436" s="151">
        <f t="shared" ca="1" si="229"/>
        <v>0</v>
      </c>
      <c r="I436" s="151">
        <f t="shared" ca="1" si="229"/>
        <v>0</v>
      </c>
      <c r="J436" s="151">
        <f t="shared" ca="1" si="229"/>
        <v>0</v>
      </c>
      <c r="K436" s="151">
        <f t="shared" ca="1" si="229"/>
        <v>0</v>
      </c>
      <c r="L436" s="151">
        <f t="shared" ca="1" si="229"/>
        <v>0</v>
      </c>
      <c r="M436" s="151">
        <f t="shared" ca="1" si="229"/>
        <v>0</v>
      </c>
      <c r="N436" s="151">
        <f t="shared" ca="1" si="229"/>
        <v>0</v>
      </c>
      <c r="O436" s="151">
        <f t="shared" ca="1" si="229"/>
        <v>0</v>
      </c>
      <c r="P436" s="151">
        <f t="shared" ca="1" si="229"/>
        <v>0</v>
      </c>
      <c r="Q436" s="151">
        <f t="shared" ca="1" si="229"/>
        <v>0</v>
      </c>
      <c r="R436" s="151">
        <f t="shared" ca="1" si="229"/>
        <v>0</v>
      </c>
      <c r="S436" s="151">
        <f t="shared" ca="1" si="229"/>
        <v>0</v>
      </c>
      <c r="T436" s="151">
        <f t="shared" ca="1" si="229"/>
        <v>0</v>
      </c>
      <c r="U436" s="151">
        <f t="shared" ca="1" si="229"/>
        <v>0</v>
      </c>
      <c r="V436" s="151">
        <f t="shared" ca="1" si="229"/>
        <v>0</v>
      </c>
      <c r="W436" s="151">
        <f t="shared" ca="1" si="229"/>
        <v>0</v>
      </c>
      <c r="X436" s="151">
        <f t="shared" ca="1" si="229"/>
        <v>0</v>
      </c>
      <c r="Y436" s="151">
        <f t="shared" ca="1" si="229"/>
        <v>0</v>
      </c>
      <c r="Z436" s="151">
        <f t="shared" ca="1" si="229"/>
        <v>0</v>
      </c>
    </row>
    <row r="437" spans="1:26" ht="15.5">
      <c r="B437" s="33" t="s">
        <v>580</v>
      </c>
      <c r="D437" s="48">
        <f t="shared" ca="1" si="228"/>
        <v>44868294.621253714</v>
      </c>
      <c r="E437" s="48"/>
      <c r="F437" s="151">
        <f ca="1">IF(F402&lt;=Assumptions!$G$30,F395-F146-F217-F263,0)</f>
        <v>0</v>
      </c>
      <c r="G437" s="151">
        <f ca="1">IF(G402&lt;=Assumptions!$G$30,G395-G146-G217-G263,0)</f>
        <v>0</v>
      </c>
      <c r="H437" s="151">
        <f ca="1">IF(H402&lt;=Assumptions!$G$30,H395-H146-H217-H263,0)</f>
        <v>0</v>
      </c>
      <c r="I437" s="151">
        <f ca="1">IF(I402&lt;=Assumptions!$G$30,I395-I146-I217-I263,0)</f>
        <v>1183224.888607552</v>
      </c>
      <c r="J437" s="151">
        <f ca="1">IF(J402&lt;=Assumptions!$G$30,J395-J146-J217-J263,0)</f>
        <v>8098154.1900908668</v>
      </c>
      <c r="K437" s="151">
        <f ca="1">IF(K402&lt;=Assumptions!$G$30,K395-K146-K217-K263,0)</f>
        <v>8151437.9173344132</v>
      </c>
      <c r="L437" s="151">
        <f ca="1">IF(L402&lt;=Assumptions!$G$30,L395-L146-L217-L263,0)</f>
        <v>9084092.2195154969</v>
      </c>
      <c r="M437" s="151">
        <f ca="1">IF(M402&lt;=Assumptions!$G$30,M395-M146-M217-M263,0)</f>
        <v>9143961.8165560048</v>
      </c>
      <c r="N437" s="151">
        <f ca="1">IF(N402&lt;=Assumptions!$G$30,N395-N146-N217-N263,0)</f>
        <v>9207423.589149395</v>
      </c>
      <c r="O437" s="151">
        <f>IF(O402&lt;=Assumptions!$G$30,O395-O146-O217-O263,0)</f>
        <v>0</v>
      </c>
      <c r="P437" s="151">
        <f>IF(P402&lt;=Assumptions!$G$30,P395-P146-P217-P263,0)</f>
        <v>0</v>
      </c>
      <c r="Q437" s="151">
        <f>IF(Q402&lt;=Assumptions!$G$30,Q395-Q146-Q217-Q263,0)</f>
        <v>0</v>
      </c>
      <c r="R437" s="151">
        <f>IF(R402&lt;=Assumptions!$G$30,R395-R146-R217-R263,0)</f>
        <v>0</v>
      </c>
      <c r="S437" s="151">
        <f>IF(S402&lt;=Assumptions!$G$30,S395-S146-S217-S263,0)</f>
        <v>0</v>
      </c>
      <c r="T437" s="151">
        <f>IF(T402&lt;=Assumptions!$G$30,T395-T146-T217-T263,0)</f>
        <v>0</v>
      </c>
      <c r="U437" s="151">
        <f>IF(U402&lt;=Assumptions!$G$30,U395-U146-U217-U263,0)</f>
        <v>0</v>
      </c>
      <c r="V437" s="151">
        <f>IF(V402&lt;=Assumptions!$G$30,V395-V146-V217-V263,0)</f>
        <v>0</v>
      </c>
      <c r="W437" s="151">
        <f>IF(W402&lt;=Assumptions!$G$30,W395-W146-W217-W263,0)</f>
        <v>0</v>
      </c>
      <c r="X437" s="151">
        <f>IF(X402&lt;=Assumptions!$G$30,X395-X146-X217-X263,0)</f>
        <v>0</v>
      </c>
      <c r="Y437" s="151">
        <f>IF(Y402&lt;=Assumptions!$G$30,Y395-Y146-Y217-Y263,0)</f>
        <v>0</v>
      </c>
      <c r="Z437" s="151">
        <f>IF(Z402&lt;=Assumptions!$G$30,Z395-Z146-Z217-Z263,0)</f>
        <v>0</v>
      </c>
    </row>
    <row r="438" spans="1:26" ht="15.5">
      <c r="B438" s="33" t="s">
        <v>392</v>
      </c>
      <c r="D438" s="48">
        <f t="shared" si="228"/>
        <v>-28841029.597370923</v>
      </c>
      <c r="E438" s="48"/>
      <c r="F438" s="151">
        <f>+F396</f>
        <v>0</v>
      </c>
      <c r="G438" s="151">
        <f t="shared" ref="G438:Z438" si="230">+G396</f>
        <v>0</v>
      </c>
      <c r="H438" s="151">
        <f t="shared" si="230"/>
        <v>0</v>
      </c>
      <c r="I438" s="151">
        <f t="shared" si="230"/>
        <v>0</v>
      </c>
      <c r="J438" s="151">
        <f t="shared" si="230"/>
        <v>-5768205.9194741845</v>
      </c>
      <c r="K438" s="151">
        <f t="shared" si="230"/>
        <v>-5768205.9194741845</v>
      </c>
      <c r="L438" s="151">
        <f t="shared" si="230"/>
        <v>-5768205.9194741845</v>
      </c>
      <c r="M438" s="151">
        <f t="shared" si="230"/>
        <v>-5768205.9194741845</v>
      </c>
      <c r="N438" s="151">
        <f t="shared" si="230"/>
        <v>-5768205.9194741845</v>
      </c>
      <c r="O438" s="151">
        <f t="shared" si="230"/>
        <v>0</v>
      </c>
      <c r="P438" s="151">
        <f t="shared" si="230"/>
        <v>0</v>
      </c>
      <c r="Q438" s="151">
        <f t="shared" si="230"/>
        <v>0</v>
      </c>
      <c r="R438" s="151">
        <f t="shared" si="230"/>
        <v>0</v>
      </c>
      <c r="S438" s="151">
        <f t="shared" si="230"/>
        <v>0</v>
      </c>
      <c r="T438" s="151">
        <f t="shared" si="230"/>
        <v>0</v>
      </c>
      <c r="U438" s="151">
        <f t="shared" si="230"/>
        <v>0</v>
      </c>
      <c r="V438" s="151">
        <f t="shared" si="230"/>
        <v>0</v>
      </c>
      <c r="W438" s="151">
        <f t="shared" si="230"/>
        <v>0</v>
      </c>
      <c r="X438" s="151">
        <f t="shared" si="230"/>
        <v>0</v>
      </c>
      <c r="Y438" s="151">
        <f t="shared" si="230"/>
        <v>0</v>
      </c>
      <c r="Z438" s="151">
        <f t="shared" si="230"/>
        <v>0</v>
      </c>
    </row>
    <row r="439" spans="1:26" ht="15.5">
      <c r="B439" s="33" t="s">
        <v>586</v>
      </c>
      <c r="D439" s="48">
        <f t="shared" ca="1" si="228"/>
        <v>-38148646.258819662</v>
      </c>
      <c r="E439" s="48"/>
      <c r="F439" s="151">
        <f ca="1">-F409</f>
        <v>0</v>
      </c>
      <c r="G439" s="151">
        <f t="shared" ref="G439:Z439" ca="1" si="231">-G409</f>
        <v>0</v>
      </c>
      <c r="H439" s="151">
        <f t="shared" ca="1" si="231"/>
        <v>0</v>
      </c>
      <c r="I439" s="151">
        <f t="shared" ca="1" si="231"/>
        <v>530335.31751769967</v>
      </c>
      <c r="J439" s="151">
        <f t="shared" ca="1" si="231"/>
        <v>-7210092.1709204763</v>
      </c>
      <c r="K439" s="151">
        <f t="shared" ca="1" si="231"/>
        <v>-7210092.1770137986</v>
      </c>
      <c r="L439" s="151">
        <f t="shared" ca="1" si="231"/>
        <v>-8086265.7347756457</v>
      </c>
      <c r="M439" s="151">
        <f t="shared" ca="1" si="231"/>
        <v>-8086265.7427317612</v>
      </c>
      <c r="N439" s="151">
        <f t="shared" ca="1" si="231"/>
        <v>-8086265.7508956976</v>
      </c>
      <c r="O439" s="151">
        <f t="shared" si="231"/>
        <v>0</v>
      </c>
      <c r="P439" s="151">
        <f t="shared" si="231"/>
        <v>0</v>
      </c>
      <c r="Q439" s="151">
        <f t="shared" si="231"/>
        <v>0</v>
      </c>
      <c r="R439" s="151">
        <f t="shared" si="231"/>
        <v>0</v>
      </c>
      <c r="S439" s="151">
        <f t="shared" si="231"/>
        <v>0</v>
      </c>
      <c r="T439" s="151">
        <f t="shared" si="231"/>
        <v>0</v>
      </c>
      <c r="U439" s="151">
        <f t="shared" si="231"/>
        <v>0</v>
      </c>
      <c r="V439" s="151">
        <f t="shared" si="231"/>
        <v>0</v>
      </c>
      <c r="W439" s="151">
        <f t="shared" si="231"/>
        <v>0</v>
      </c>
      <c r="X439" s="151">
        <f t="shared" si="231"/>
        <v>0</v>
      </c>
      <c r="Y439" s="151">
        <f t="shared" si="231"/>
        <v>0</v>
      </c>
      <c r="Z439" s="151">
        <f t="shared" si="231"/>
        <v>0</v>
      </c>
    </row>
    <row r="440" spans="1:26" ht="15.5">
      <c r="B440" s="33" t="s">
        <v>583</v>
      </c>
      <c r="D440" s="48">
        <f t="shared" ca="1" si="228"/>
        <v>-75871586.172661662</v>
      </c>
      <c r="E440" s="48"/>
      <c r="F440" s="151">
        <f>-F276-F230-F160</f>
        <v>0</v>
      </c>
      <c r="G440" s="151">
        <f t="shared" ref="G440:Z440" si="232">-G276-G230-G160</f>
        <v>0</v>
      </c>
      <c r="H440" s="151">
        <f t="shared" si="232"/>
        <v>0</v>
      </c>
      <c r="I440" s="151">
        <f t="shared" ca="1" si="232"/>
        <v>0.1442568302154541</v>
      </c>
      <c r="J440" s="151">
        <f t="shared" si="232"/>
        <v>0</v>
      </c>
      <c r="K440" s="151">
        <f t="shared" si="232"/>
        <v>0</v>
      </c>
      <c r="L440" s="151">
        <f t="shared" si="232"/>
        <v>0</v>
      </c>
      <c r="M440" s="151">
        <f t="shared" si="232"/>
        <v>0</v>
      </c>
      <c r="N440" s="151">
        <f t="shared" ca="1" si="232"/>
        <v>-75871586.316918582</v>
      </c>
      <c r="O440" s="151">
        <f t="shared" si="232"/>
        <v>0</v>
      </c>
      <c r="P440" s="151">
        <f t="shared" si="232"/>
        <v>0</v>
      </c>
      <c r="Q440" s="151">
        <f t="shared" si="232"/>
        <v>0</v>
      </c>
      <c r="R440" s="151">
        <f t="shared" si="232"/>
        <v>0</v>
      </c>
      <c r="S440" s="151">
        <f t="shared" si="232"/>
        <v>0</v>
      </c>
      <c r="T440" s="151">
        <f t="shared" si="232"/>
        <v>0</v>
      </c>
      <c r="U440" s="151">
        <f t="shared" si="232"/>
        <v>0</v>
      </c>
      <c r="V440" s="151">
        <f t="shared" si="232"/>
        <v>0</v>
      </c>
      <c r="W440" s="151">
        <f t="shared" si="232"/>
        <v>0</v>
      </c>
      <c r="X440" s="151">
        <f t="shared" si="232"/>
        <v>0</v>
      </c>
      <c r="Y440" s="151">
        <f t="shared" si="232"/>
        <v>0</v>
      </c>
      <c r="Z440" s="151">
        <f t="shared" si="232"/>
        <v>0</v>
      </c>
    </row>
    <row r="441" spans="1:26" s="157" customFormat="1" ht="15.5">
      <c r="A441" s="41"/>
      <c r="B441" s="840" t="str">
        <f>B426</f>
        <v>Pads (Net of sale costs)</v>
      </c>
      <c r="D441" s="165">
        <f t="shared" si="228"/>
        <v>65237394.974527918</v>
      </c>
      <c r="E441" s="165"/>
      <c r="F441" s="340">
        <f t="shared" ref="F441:Z441" si="233">F426</f>
        <v>0</v>
      </c>
      <c r="G441" s="340">
        <f t="shared" si="233"/>
        <v>65237394.974527918</v>
      </c>
      <c r="H441" s="340">
        <f t="shared" si="233"/>
        <v>0</v>
      </c>
      <c r="I441" s="340">
        <f t="shared" si="233"/>
        <v>0</v>
      </c>
      <c r="J441" s="340">
        <f t="shared" si="233"/>
        <v>0</v>
      </c>
      <c r="K441" s="340">
        <f t="shared" si="233"/>
        <v>0</v>
      </c>
      <c r="L441" s="340">
        <f t="shared" si="233"/>
        <v>0</v>
      </c>
      <c r="M441" s="340">
        <f t="shared" si="233"/>
        <v>0</v>
      </c>
      <c r="N441" s="340">
        <f t="shared" si="233"/>
        <v>0</v>
      </c>
      <c r="O441" s="340">
        <f t="shared" si="233"/>
        <v>0</v>
      </c>
      <c r="P441" s="340">
        <f t="shared" si="233"/>
        <v>0</v>
      </c>
      <c r="Q441" s="340">
        <f t="shared" si="233"/>
        <v>0</v>
      </c>
      <c r="R441" s="340">
        <f t="shared" si="233"/>
        <v>0</v>
      </c>
      <c r="S441" s="340">
        <f t="shared" si="233"/>
        <v>0</v>
      </c>
      <c r="T441" s="340">
        <f t="shared" si="233"/>
        <v>0</v>
      </c>
      <c r="U441" s="340">
        <f t="shared" si="233"/>
        <v>0</v>
      </c>
      <c r="V441" s="340">
        <f t="shared" si="233"/>
        <v>0</v>
      </c>
      <c r="W441" s="340">
        <f t="shared" si="233"/>
        <v>0</v>
      </c>
      <c r="X441" s="340">
        <f t="shared" si="233"/>
        <v>0</v>
      </c>
      <c r="Y441" s="340">
        <f t="shared" si="233"/>
        <v>0</v>
      </c>
      <c r="Z441" s="340">
        <f t="shared" si="233"/>
        <v>0</v>
      </c>
    </row>
    <row r="442" spans="1:26" ht="15.5">
      <c r="B442" s="841" t="s">
        <v>396</v>
      </c>
      <c r="C442" s="842"/>
      <c r="D442" s="843">
        <f t="shared" ca="1" si="228"/>
        <v>-31762284.948246375</v>
      </c>
      <c r="E442" s="843"/>
      <c r="F442" s="844">
        <f>-IF(YEAR(F402)=YEAR(Assumptions!$G$30),SUM(F435:F441),0)</f>
        <v>0</v>
      </c>
      <c r="G442" s="844">
        <f>-IF(YEAR(G402)=YEAR(Assumptions!$G$30),SUM(G435:G441),0)</f>
        <v>0</v>
      </c>
      <c r="H442" s="844">
        <f>-IF(YEAR(H402)=YEAR(Assumptions!$G$30),SUM(H435:H441),0)</f>
        <v>0</v>
      </c>
      <c r="I442" s="844">
        <f>-IF(YEAR(I402)=YEAR(Assumptions!$G$30),SUM(I435:I441),0)</f>
        <v>0</v>
      </c>
      <c r="J442" s="844">
        <f>-IF(YEAR(J402)=YEAR(Assumptions!$G$30),SUM(J435:J441),0)</f>
        <v>0</v>
      </c>
      <c r="K442" s="844">
        <f>-IF(YEAR(K402)=YEAR(Assumptions!$G$30),SUM(K435:K441),0)</f>
        <v>0</v>
      </c>
      <c r="L442" s="844">
        <f>-IF(YEAR(L402)=YEAR(Assumptions!$G$30),SUM(L435:L441),0)</f>
        <v>0</v>
      </c>
      <c r="M442" s="844">
        <f>-IF(YEAR(M402)=YEAR(Assumptions!$G$30),SUM(M435:M441),0)</f>
        <v>0</v>
      </c>
      <c r="N442" s="844">
        <f ca="1">-IF(YEAR(N402)=YEAR(Assumptions!$G$30),SUM(N435:N441),0)</f>
        <v>-31762284.94824627</v>
      </c>
      <c r="O442" s="844">
        <f>-IF(YEAR(O402)=YEAR(Assumptions!$G$30),SUM(O435:O441),0)</f>
        <v>0</v>
      </c>
      <c r="P442" s="844">
        <f>-IF(YEAR(P402)=YEAR(Assumptions!$G$30),SUM(P435:P441),0)</f>
        <v>0</v>
      </c>
      <c r="Q442" s="844">
        <f>-IF(YEAR(Q402)=YEAR(Assumptions!$G$30),SUM(Q435:Q441),0)</f>
        <v>0</v>
      </c>
      <c r="R442" s="844">
        <f>-IF(YEAR(R402)=YEAR(Assumptions!$G$30),SUM(R435:R441),0)</f>
        <v>0</v>
      </c>
      <c r="S442" s="844">
        <f>-IF(YEAR(S402)=YEAR(Assumptions!$G$30),SUM(S435:S441),0)</f>
        <v>0</v>
      </c>
      <c r="T442" s="844">
        <f>-IF(YEAR(T402)=YEAR(Assumptions!$G$30),SUM(T435:T441),0)</f>
        <v>0</v>
      </c>
      <c r="U442" s="844">
        <f>-IF(YEAR(U402)=YEAR(Assumptions!$G$30),SUM(U435:U441),0)</f>
        <v>0</v>
      </c>
      <c r="V442" s="844">
        <f>-IF(YEAR(V402)=YEAR(Assumptions!$G$30),SUM(V435:V441),0)</f>
        <v>0</v>
      </c>
      <c r="W442" s="844">
        <f>-IF(YEAR(W402)=YEAR(Assumptions!$G$30),SUM(W435:W441),0)</f>
        <v>0</v>
      </c>
      <c r="X442" s="844">
        <f>-IF(YEAR(X402)=YEAR(Assumptions!$G$30),SUM(X435:X441),0)</f>
        <v>0</v>
      </c>
      <c r="Y442" s="844">
        <f>-IF(YEAR(Y402)=YEAR(Assumptions!$G$30),SUM(Y435:Y441),0)</f>
        <v>0</v>
      </c>
      <c r="Z442" s="844">
        <f>-IF(YEAR(Z402)=YEAR(Assumptions!$G$30),SUM(Z435:Z441),0)</f>
        <v>0</v>
      </c>
    </row>
    <row r="443" spans="1:26" ht="15.5">
      <c r="B443" s="137" t="s">
        <v>384</v>
      </c>
      <c r="C443" s="137"/>
      <c r="D443" s="36">
        <f t="shared" ref="D443" ca="1" si="234">+SUM(F443:Z443)</f>
        <v>933120000.77034712</v>
      </c>
      <c r="E443" s="129"/>
      <c r="F443" s="129">
        <f t="shared" ref="F443:Z443" ca="1" si="235">+SUM(F435:F442)</f>
        <v>64517857.38131696</v>
      </c>
      <c r="G443" s="129">
        <f t="shared" ca="1" si="235"/>
        <v>129755252.35584491</v>
      </c>
      <c r="H443" s="129">
        <f t="shared" ca="1" si="235"/>
        <v>129755252.35584489</v>
      </c>
      <c r="I443" s="129">
        <f t="shared" ca="1" si="235"/>
        <v>131468812.70622699</v>
      </c>
      <c r="J443" s="129">
        <f t="shared" ca="1" si="235"/>
        <v>126588668.80592315</v>
      </c>
      <c r="K443" s="129">
        <f t="shared" ca="1" si="235"/>
        <v>121761808.62676962</v>
      </c>
      <c r="L443" s="129">
        <f t="shared" ca="1" si="235"/>
        <v>116991429.19203526</v>
      </c>
      <c r="M443" s="129">
        <f t="shared" ca="1" si="235"/>
        <v>112280919.34638533</v>
      </c>
      <c r="N443" s="129">
        <f t="shared" ca="1" si="235"/>
        <v>0</v>
      </c>
      <c r="O443" s="129">
        <f t="shared" ca="1" si="235"/>
        <v>0</v>
      </c>
      <c r="P443" s="129">
        <f t="shared" ca="1" si="235"/>
        <v>0</v>
      </c>
      <c r="Q443" s="129">
        <f t="shared" ca="1" si="235"/>
        <v>0</v>
      </c>
      <c r="R443" s="129">
        <f t="shared" ca="1" si="235"/>
        <v>0</v>
      </c>
      <c r="S443" s="129">
        <f t="shared" ca="1" si="235"/>
        <v>0</v>
      </c>
      <c r="T443" s="129">
        <f t="shared" ca="1" si="235"/>
        <v>0</v>
      </c>
      <c r="U443" s="129">
        <f t="shared" ca="1" si="235"/>
        <v>0</v>
      </c>
      <c r="V443" s="129">
        <f t="shared" ca="1" si="235"/>
        <v>0</v>
      </c>
      <c r="W443" s="129">
        <f t="shared" ca="1" si="235"/>
        <v>0</v>
      </c>
      <c r="X443" s="129">
        <f t="shared" ca="1" si="235"/>
        <v>0</v>
      </c>
      <c r="Y443" s="129">
        <f t="shared" ca="1" si="235"/>
        <v>0</v>
      </c>
      <c r="Z443" s="129">
        <f t="shared" ca="1" si="235"/>
        <v>0</v>
      </c>
    </row>
  </sheetData>
  <phoneticPr fontId="79"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2:Z435"/>
  <sheetViews>
    <sheetView showGridLines="0" topLeftCell="A281" zoomScale="55" zoomScaleNormal="55" workbookViewId="0">
      <selection activeCell="I289" sqref="I289"/>
    </sheetView>
  </sheetViews>
  <sheetFormatPr defaultColWidth="14.453125" defaultRowHeight="15.25"/>
  <cols>
    <col min="1" max="1" width="8.453125" style="41" customWidth="1"/>
    <col min="2" max="3" width="14.453125" style="41"/>
    <col min="4" max="4" width="16.453125" style="41" bestFit="1" customWidth="1"/>
    <col min="5" max="5" width="14.81640625" style="41" customWidth="1"/>
    <col min="6" max="6" width="14.453125" style="41"/>
    <col min="7" max="7" width="16.453125" style="41" customWidth="1"/>
    <col min="8" max="8" width="15.453125" style="41" customWidth="1"/>
    <col min="9" max="16384" width="14.453125" style="41"/>
  </cols>
  <sheetData>
    <row r="2" spans="1:26" ht="15.5">
      <c r="B2" s="146" t="s">
        <v>243</v>
      </c>
      <c r="E2" s="146">
        <v>0</v>
      </c>
      <c r="F2" s="147">
        <f>+IF(F7&gt;=Assumptions!$H$26,'Phase III Pro Forma'!E2+1,'Phase III Pro Forma'!E2)</f>
        <v>0</v>
      </c>
      <c r="G2" s="147">
        <f>+IF(G7&gt;=Assumptions!$H$26,'Phase III Pro Forma'!F2+1,'Phase III Pro Forma'!F2)</f>
        <v>0</v>
      </c>
      <c r="H2" s="147">
        <f>+IF(H7&gt;=Assumptions!$H$26,'Phase III Pro Forma'!G2+1,'Phase III Pro Forma'!G2)</f>
        <v>0</v>
      </c>
      <c r="I2" s="147">
        <f>+IF(I7&gt;=Assumptions!$H$26,'Phase III Pro Forma'!H2+1,'Phase III Pro Forma'!H2)</f>
        <v>0</v>
      </c>
      <c r="J2" s="147">
        <f>+IF(J7&gt;=Assumptions!$H$26,'Phase III Pro Forma'!I2+1,'Phase III Pro Forma'!I2)</f>
        <v>1</v>
      </c>
      <c r="K2" s="147">
        <f>+IF(K7&gt;=Assumptions!$H$26,'Phase III Pro Forma'!J2+1,'Phase III Pro Forma'!J2)</f>
        <v>2</v>
      </c>
      <c r="L2" s="147">
        <f>+IF(L7&gt;=Assumptions!$H$26,'Phase III Pro Forma'!K2+1,'Phase III Pro Forma'!K2)</f>
        <v>3</v>
      </c>
      <c r="M2" s="147">
        <f>+IF(M7&gt;=Assumptions!$H$26,'Phase III Pro Forma'!L2+1,'Phase III Pro Forma'!L2)</f>
        <v>4</v>
      </c>
      <c r="N2" s="147">
        <f>+IF(N7&gt;=Assumptions!$H$26,'Phase III Pro Forma'!M2+1,'Phase III Pro Forma'!M2)</f>
        <v>5</v>
      </c>
      <c r="O2" s="147">
        <f>+IF(O7&gt;=Assumptions!$H$26,'Phase III Pro Forma'!N2+1,'Phase III Pro Forma'!N2)</f>
        <v>6</v>
      </c>
      <c r="P2" s="147">
        <f>+IF(P7&gt;=Assumptions!$H$26,'Phase III Pro Forma'!O2+1,'Phase III Pro Forma'!O2)</f>
        <v>7</v>
      </c>
      <c r="Q2" s="147">
        <f>+IF(Q7&gt;=Assumptions!$H$26,'Phase III Pro Forma'!P2+1,'Phase III Pro Forma'!P2)</f>
        <v>8</v>
      </c>
      <c r="R2" s="147">
        <f>+IF(R7&gt;=Assumptions!$H$26,'Phase III Pro Forma'!Q2+1,'Phase III Pro Forma'!Q2)</f>
        <v>9</v>
      </c>
      <c r="S2" s="147">
        <f>+IF(S7&gt;=Assumptions!$H$26,'Phase III Pro Forma'!R2+1,'Phase III Pro Forma'!R2)</f>
        <v>10</v>
      </c>
      <c r="T2" s="147">
        <f>+IF(T7&gt;=Assumptions!$H$26,'Phase III Pro Forma'!S2+1,'Phase III Pro Forma'!S2)</f>
        <v>11</v>
      </c>
      <c r="U2" s="147">
        <f>+IF(U7&gt;=Assumptions!$H$26,'Phase III Pro Forma'!T2+1,'Phase III Pro Forma'!T2)</f>
        <v>12</v>
      </c>
      <c r="V2" s="147">
        <f>+IF(V7&gt;=Assumptions!$H$26,'Phase III Pro Forma'!U2+1,'Phase III Pro Forma'!U2)</f>
        <v>13</v>
      </c>
      <c r="W2" s="147">
        <f>+IF(W7&gt;=Assumptions!$H$26,'Phase III Pro Forma'!V2+1,'Phase III Pro Forma'!V2)</f>
        <v>14</v>
      </c>
      <c r="X2" s="147">
        <f>+IF(X7&gt;=Assumptions!$H$26,'Phase III Pro Forma'!W2+1,'Phase III Pro Forma'!W2)</f>
        <v>15</v>
      </c>
      <c r="Y2" s="147">
        <f>+IF(Y7&gt;=Assumptions!$H$26,'Phase III Pro Forma'!X2+1,'Phase III Pro Forma'!X2)</f>
        <v>16</v>
      </c>
      <c r="Z2" s="147">
        <f>+IF(Z7&gt;=Assumptions!$H$26,'Phase III Pro Forma'!Y2+1,'Phase III Pro Forma'!Y2)</f>
        <v>17</v>
      </c>
    </row>
    <row r="3" spans="1:26" ht="15.5">
      <c r="B3" s="146" t="s">
        <v>261</v>
      </c>
      <c r="F3" s="147">
        <f>+IF(F7&gt;=Assumptions!$H$28,'Phase III Pro Forma'!E3+1,'Phase III Pro Forma'!E3)</f>
        <v>0</v>
      </c>
      <c r="G3" s="147">
        <f>+IF(G7&gt;=Assumptions!$H$28,'Phase III Pro Forma'!F3+1,'Phase III Pro Forma'!F3)</f>
        <v>0</v>
      </c>
      <c r="H3" s="147">
        <f>+IF(H7&gt;=Assumptions!$H$28,'Phase III Pro Forma'!G3+1,'Phase III Pro Forma'!G3)</f>
        <v>0</v>
      </c>
      <c r="I3" s="147">
        <f>+IF(I7&gt;=Assumptions!$H$28,'Phase III Pro Forma'!H3+1,'Phase III Pro Forma'!H3)</f>
        <v>0</v>
      </c>
      <c r="J3" s="147">
        <f>+IF(J7&gt;=Assumptions!$H$28,'Phase III Pro Forma'!I3+1,'Phase III Pro Forma'!I3)</f>
        <v>0</v>
      </c>
      <c r="K3" s="147">
        <f>+IF(K7&gt;=Assumptions!$H$28,'Phase III Pro Forma'!J3+1,'Phase III Pro Forma'!J3)</f>
        <v>0</v>
      </c>
      <c r="L3" s="147">
        <f>+IF(L7&gt;=Assumptions!$H$28,'Phase III Pro Forma'!K3+1,'Phase III Pro Forma'!K3)</f>
        <v>1</v>
      </c>
      <c r="M3" s="147">
        <f>+IF(M7&gt;=Assumptions!$H$28,'Phase III Pro Forma'!L3+1,'Phase III Pro Forma'!L3)</f>
        <v>2</v>
      </c>
      <c r="N3" s="147">
        <f>+IF(N7&gt;=Assumptions!$H$28,'Phase III Pro Forma'!M3+1,'Phase III Pro Forma'!M3)</f>
        <v>3</v>
      </c>
      <c r="O3" s="147">
        <f>+IF(O7&gt;=Assumptions!$H$28,'Phase III Pro Forma'!N3+1,'Phase III Pro Forma'!N3)</f>
        <v>4</v>
      </c>
      <c r="P3" s="147">
        <f>+IF(P7&gt;=Assumptions!$H$28,'Phase III Pro Forma'!O3+1,'Phase III Pro Forma'!O3)</f>
        <v>5</v>
      </c>
      <c r="Q3" s="147">
        <f>+IF(Q7&gt;=Assumptions!$H$28,'Phase III Pro Forma'!P3+1,'Phase III Pro Forma'!P3)</f>
        <v>6</v>
      </c>
      <c r="R3" s="147">
        <f>+IF(R7&gt;=Assumptions!$H$28,'Phase III Pro Forma'!Q3+1,'Phase III Pro Forma'!Q3)</f>
        <v>7</v>
      </c>
      <c r="S3" s="147">
        <f>+IF(S7&gt;=Assumptions!$H$28,'Phase III Pro Forma'!R3+1,'Phase III Pro Forma'!R3)</f>
        <v>8</v>
      </c>
      <c r="T3" s="147">
        <f>+IF(T7&gt;=Assumptions!$H$28,'Phase III Pro Forma'!S3+1,'Phase III Pro Forma'!S3)</f>
        <v>9</v>
      </c>
      <c r="U3" s="147">
        <f>+IF(U7&gt;=Assumptions!$H$28,'Phase III Pro Forma'!T3+1,'Phase III Pro Forma'!T3)</f>
        <v>10</v>
      </c>
      <c r="V3" s="147">
        <f>+IF(V7&gt;=Assumptions!$H$28,'Phase III Pro Forma'!U3+1,'Phase III Pro Forma'!U3)</f>
        <v>11</v>
      </c>
      <c r="W3" s="147">
        <f>+IF(W7&gt;=Assumptions!$H$28,'Phase III Pro Forma'!V3+1,'Phase III Pro Forma'!V3)</f>
        <v>12</v>
      </c>
      <c r="X3" s="147">
        <f>+IF(X7&gt;=Assumptions!$H$28,'Phase III Pro Forma'!W3+1,'Phase III Pro Forma'!W3)</f>
        <v>13</v>
      </c>
      <c r="Y3" s="147">
        <f>+IF(Y7&gt;=Assumptions!$H$28,'Phase III Pro Forma'!X3+1,'Phase III Pro Forma'!X3)</f>
        <v>14</v>
      </c>
      <c r="Z3" s="147">
        <f>+IF(Z7&gt;=Assumptions!$H$28,'Phase III Pro Forma'!Y3+1,'Phase III Pro Forma'!Y3)</f>
        <v>15</v>
      </c>
    </row>
    <row r="4" spans="1:26">
      <c r="F4" s="42"/>
      <c r="G4" s="42"/>
      <c r="H4" s="42"/>
      <c r="I4" s="42"/>
      <c r="J4" s="42"/>
      <c r="K4" s="42"/>
      <c r="L4" s="42"/>
      <c r="M4" s="42"/>
      <c r="N4" s="42"/>
    </row>
    <row r="5" spans="1:26" ht="15.5">
      <c r="B5" s="37" t="s">
        <v>697</v>
      </c>
      <c r="C5" s="38"/>
      <c r="D5" s="38"/>
      <c r="E5" s="38"/>
      <c r="F5" s="136"/>
      <c r="G5" s="136"/>
      <c r="H5" s="136"/>
      <c r="I5" s="136"/>
      <c r="J5" s="136"/>
      <c r="K5" s="136"/>
      <c r="L5" s="136"/>
      <c r="M5" s="136"/>
      <c r="N5" s="136"/>
      <c r="O5" s="136"/>
      <c r="P5" s="136"/>
      <c r="Q5" s="136"/>
      <c r="R5" s="136"/>
      <c r="S5" s="136"/>
      <c r="T5" s="136"/>
      <c r="U5" s="136"/>
      <c r="V5" s="136"/>
      <c r="W5" s="136"/>
      <c r="X5" s="136"/>
      <c r="Y5" s="136"/>
      <c r="Z5" s="136"/>
    </row>
    <row r="6" spans="1:26" ht="15.5">
      <c r="B6" s="119"/>
      <c r="F6" s="229">
        <f>+YEAR(F7)</f>
        <v>2025</v>
      </c>
      <c r="G6" s="229">
        <f t="shared" ref="G6:Z6" si="0">+YEAR(G7)</f>
        <v>2026</v>
      </c>
      <c r="H6" s="229">
        <f t="shared" si="0"/>
        <v>2027</v>
      </c>
      <c r="I6" s="229">
        <f t="shared" si="0"/>
        <v>2028</v>
      </c>
      <c r="J6" s="229">
        <f t="shared" si="0"/>
        <v>2029</v>
      </c>
      <c r="K6" s="229">
        <f t="shared" si="0"/>
        <v>2030</v>
      </c>
      <c r="L6" s="229">
        <f t="shared" si="0"/>
        <v>2031</v>
      </c>
      <c r="M6" s="229">
        <f t="shared" si="0"/>
        <v>2032</v>
      </c>
      <c r="N6" s="229">
        <f t="shared" si="0"/>
        <v>2033</v>
      </c>
      <c r="O6" s="229">
        <f t="shared" si="0"/>
        <v>2034</v>
      </c>
      <c r="P6" s="229">
        <f t="shared" si="0"/>
        <v>2035</v>
      </c>
      <c r="Q6" s="229">
        <f t="shared" si="0"/>
        <v>2036</v>
      </c>
      <c r="R6" s="229">
        <f t="shared" si="0"/>
        <v>2037</v>
      </c>
      <c r="S6" s="229">
        <f t="shared" si="0"/>
        <v>2038</v>
      </c>
      <c r="T6" s="229">
        <f t="shared" si="0"/>
        <v>2039</v>
      </c>
      <c r="U6" s="229">
        <f t="shared" si="0"/>
        <v>2040</v>
      </c>
      <c r="V6" s="229">
        <f t="shared" si="0"/>
        <v>2041</v>
      </c>
      <c r="W6" s="229">
        <f t="shared" si="0"/>
        <v>2042</v>
      </c>
      <c r="X6" s="229">
        <f t="shared" si="0"/>
        <v>2043</v>
      </c>
      <c r="Y6" s="229">
        <f t="shared" si="0"/>
        <v>2044</v>
      </c>
      <c r="Z6" s="229">
        <f t="shared" si="0"/>
        <v>2045</v>
      </c>
    </row>
    <row r="7" spans="1:26" ht="15.5">
      <c r="B7" s="148" t="s">
        <v>136</v>
      </c>
      <c r="C7" s="149"/>
      <c r="D7" s="149"/>
      <c r="E7" s="149"/>
      <c r="F7" s="150">
        <f>+Assumptions!$H$22</f>
        <v>46022</v>
      </c>
      <c r="G7" s="150">
        <f>+EOMONTH(F7,12)</f>
        <v>46387</v>
      </c>
      <c r="H7" s="150">
        <f t="shared" ref="H7:Z7" si="1">+EOMONTH(G7,12)</f>
        <v>46752</v>
      </c>
      <c r="I7" s="150">
        <f t="shared" si="1"/>
        <v>47118</v>
      </c>
      <c r="J7" s="150">
        <f t="shared" si="1"/>
        <v>47483</v>
      </c>
      <c r="K7" s="150">
        <f t="shared" si="1"/>
        <v>47848</v>
      </c>
      <c r="L7" s="150">
        <f t="shared" si="1"/>
        <v>48213</v>
      </c>
      <c r="M7" s="150">
        <f t="shared" si="1"/>
        <v>48579</v>
      </c>
      <c r="N7" s="150">
        <f t="shared" si="1"/>
        <v>48944</v>
      </c>
      <c r="O7" s="150">
        <f t="shared" si="1"/>
        <v>49309</v>
      </c>
      <c r="P7" s="150">
        <f t="shared" si="1"/>
        <v>49674</v>
      </c>
      <c r="Q7" s="150">
        <f t="shared" si="1"/>
        <v>50040</v>
      </c>
      <c r="R7" s="150">
        <f t="shared" si="1"/>
        <v>50405</v>
      </c>
      <c r="S7" s="150">
        <f t="shared" si="1"/>
        <v>50770</v>
      </c>
      <c r="T7" s="150">
        <f t="shared" si="1"/>
        <v>51135</v>
      </c>
      <c r="U7" s="150">
        <f t="shared" si="1"/>
        <v>51501</v>
      </c>
      <c r="V7" s="150">
        <f t="shared" si="1"/>
        <v>51866</v>
      </c>
      <c r="W7" s="150">
        <f t="shared" si="1"/>
        <v>52231</v>
      </c>
      <c r="X7" s="150">
        <f t="shared" si="1"/>
        <v>52596</v>
      </c>
      <c r="Y7" s="150">
        <f t="shared" si="1"/>
        <v>52962</v>
      </c>
      <c r="Z7" s="150">
        <f t="shared" si="1"/>
        <v>53327</v>
      </c>
    </row>
    <row r="8" spans="1:26" ht="15.5">
      <c r="A8" s="140" t="b">
        <f>+SUM(F8:Z8)=Assumptions!$F$55</f>
        <v>0</v>
      </c>
      <c r="B8" s="33" t="s">
        <v>690</v>
      </c>
      <c r="C8" s="33"/>
      <c r="D8" s="40"/>
      <c r="E8" s="40"/>
      <c r="F8" s="42">
        <f>+IF(AND(F7&gt;=Assumptions!$H$26,F7&lt;Assumptions!$H$28),Assumptions!$H$55/ROUNDUP((Assumptions!$H$27/12),0),0)</f>
        <v>0</v>
      </c>
      <c r="G8" s="42">
        <f>+IF(AND(G7&gt;=Assumptions!$H$26,G7&lt;Assumptions!$H$28),Assumptions!$H$55/ROUNDUP((Assumptions!$H$27/12),0),0)</f>
        <v>0</v>
      </c>
      <c r="H8" s="42">
        <f>+IF(AND(H7&gt;=Assumptions!$H$26,H7&lt;Assumptions!$H$28),Assumptions!$H$55/ROUNDUP((Assumptions!$H$27/12),0),0)</f>
        <v>0</v>
      </c>
      <c r="I8" s="42">
        <f>+IF(AND(I7&gt;=Assumptions!$H$26,I7&lt;Assumptions!$H$28),Assumptions!$H$55/ROUNDUP((Assumptions!$H$27/12),0),0)</f>
        <v>0</v>
      </c>
      <c r="J8" s="42">
        <f>+IF(AND(J7&gt;=Assumptions!$H$26,J7&lt;Assumptions!$H$28),Assumptions!$H$55/ROUNDUP((Assumptions!$H$27/12),0),0)</f>
        <v>2.8999999999999998E-3</v>
      </c>
      <c r="K8" s="42">
        <f>+IF(AND(K7&gt;=Assumptions!$H$26,K7&lt;Assumptions!$H$28),Assumptions!$H$55/ROUNDUP((Assumptions!$H$27/12),0),0)</f>
        <v>2.8999999999999998E-3</v>
      </c>
      <c r="L8" s="42">
        <f>+IF(AND(L7&gt;=Assumptions!$H$26,L7&lt;Assumptions!$H$28),Assumptions!$H$55/ROUNDUP((Assumptions!$H$27/12),0),0)</f>
        <v>0</v>
      </c>
      <c r="M8" s="42">
        <f>+IF(AND(M7&gt;=Assumptions!$H$26,M7&lt;Assumptions!$H$28),Assumptions!$H$55/ROUNDUP((Assumptions!$H$27/12),0),0)</f>
        <v>0</v>
      </c>
      <c r="N8" s="42">
        <f>+IF(AND(N7&gt;=Assumptions!$H$26,N7&lt;Assumptions!$H$28),Assumptions!$H$55/ROUNDUP((Assumptions!$H$27/12),0),0)</f>
        <v>0</v>
      </c>
      <c r="O8" s="42">
        <f>+IF(AND(O7&gt;=Assumptions!$H$26,O7&lt;Assumptions!$H$28),Assumptions!$H$55/ROUNDUP((Assumptions!$H$27/12),0),0)</f>
        <v>0</v>
      </c>
      <c r="P8" s="42">
        <f>+IF(AND(P7&gt;=Assumptions!$H$26,P7&lt;Assumptions!$H$28),Assumptions!$H$55/ROUNDUP((Assumptions!$H$27/12),0),0)</f>
        <v>0</v>
      </c>
      <c r="Q8" s="42">
        <f>+IF(AND(Q7&gt;=Assumptions!$H$26,Q7&lt;Assumptions!$H$28),Assumptions!$H$55/ROUNDUP((Assumptions!$H$27/12),0),0)</f>
        <v>0</v>
      </c>
      <c r="R8" s="42">
        <f>+IF(AND(R7&gt;=Assumptions!$H$26,R7&lt;Assumptions!$H$28),Assumptions!$H$55/ROUNDUP((Assumptions!$H$27/12),0),0)</f>
        <v>0</v>
      </c>
      <c r="S8" s="42">
        <f>+IF(AND(S7&gt;=Assumptions!$H$26,S7&lt;Assumptions!$H$28),Assumptions!$H$55/ROUNDUP((Assumptions!$H$27/12),0),0)</f>
        <v>0</v>
      </c>
      <c r="T8" s="42">
        <f>+IF(AND(T7&gt;=Assumptions!$H$26,T7&lt;Assumptions!$H$28),Assumptions!$H$55/ROUNDUP((Assumptions!$H$27/12),0),0)</f>
        <v>0</v>
      </c>
      <c r="U8" s="42">
        <f>+IF(AND(U7&gt;=Assumptions!$H$26,U7&lt;Assumptions!$H$28),Assumptions!$H$55/ROUNDUP((Assumptions!$H$27/12),0),0)</f>
        <v>0</v>
      </c>
      <c r="V8" s="42">
        <f>+IF(AND(V7&gt;=Assumptions!$H$26,V7&lt;Assumptions!$H$28),Assumptions!$H$55/ROUNDUP((Assumptions!$H$27/12),0),0)</f>
        <v>0</v>
      </c>
      <c r="W8" s="42">
        <f>+IF(AND(W7&gt;=Assumptions!$H$26,W7&lt;Assumptions!$H$28),Assumptions!$H$55/ROUNDUP((Assumptions!$H$27/12),0),0)</f>
        <v>0</v>
      </c>
      <c r="X8" s="42">
        <f>+IF(AND(X7&gt;=Assumptions!$H$26,X7&lt;Assumptions!$H$28),Assumptions!$H$55/ROUNDUP((Assumptions!$H$27/12),0),0)</f>
        <v>0</v>
      </c>
      <c r="Y8" s="42">
        <f>+IF(AND(Y7&gt;=Assumptions!$H$26,Y7&lt;Assumptions!$H$28),Assumptions!$H$55/ROUNDUP((Assumptions!$H$27/12),0),0)</f>
        <v>0</v>
      </c>
      <c r="Z8" s="42">
        <f>+IF(AND(Z7&gt;=Assumptions!$H$26,Z7&lt;Assumptions!$H$28),Assumptions!$H$55/ROUNDUP((Assumptions!$H$27/12),0),0)</f>
        <v>0</v>
      </c>
    </row>
    <row r="9" spans="1:26">
      <c r="B9" s="33" t="s">
        <v>231</v>
      </c>
      <c r="C9" s="33"/>
      <c r="D9" s="42">
        <v>0</v>
      </c>
      <c r="E9" s="42"/>
      <c r="F9" s="42">
        <f>+D9+F8</f>
        <v>0</v>
      </c>
      <c r="G9" s="42">
        <f t="shared" ref="G9:Z9" si="2">+F9+G8</f>
        <v>0</v>
      </c>
      <c r="H9" s="42">
        <f t="shared" si="2"/>
        <v>0</v>
      </c>
      <c r="I9" s="42">
        <f t="shared" si="2"/>
        <v>0</v>
      </c>
      <c r="J9" s="42">
        <f t="shared" si="2"/>
        <v>2.8999999999999998E-3</v>
      </c>
      <c r="K9" s="42">
        <f t="shared" si="2"/>
        <v>5.7999999999999996E-3</v>
      </c>
      <c r="L9" s="42">
        <f t="shared" si="2"/>
        <v>5.7999999999999996E-3</v>
      </c>
      <c r="M9" s="42">
        <f t="shared" si="2"/>
        <v>5.7999999999999996E-3</v>
      </c>
      <c r="N9" s="42">
        <f t="shared" si="2"/>
        <v>5.7999999999999996E-3</v>
      </c>
      <c r="O9" s="42">
        <f t="shared" si="2"/>
        <v>5.7999999999999996E-3</v>
      </c>
      <c r="P9" s="42">
        <f t="shared" si="2"/>
        <v>5.7999999999999996E-3</v>
      </c>
      <c r="Q9" s="42">
        <f t="shared" si="2"/>
        <v>5.7999999999999996E-3</v>
      </c>
      <c r="R9" s="42">
        <f t="shared" si="2"/>
        <v>5.7999999999999996E-3</v>
      </c>
      <c r="S9" s="42">
        <f t="shared" si="2"/>
        <v>5.7999999999999996E-3</v>
      </c>
      <c r="T9" s="42">
        <f t="shared" si="2"/>
        <v>5.7999999999999996E-3</v>
      </c>
      <c r="U9" s="42">
        <f t="shared" si="2"/>
        <v>5.7999999999999996E-3</v>
      </c>
      <c r="V9" s="42">
        <f t="shared" si="2"/>
        <v>5.7999999999999996E-3</v>
      </c>
      <c r="W9" s="42">
        <f t="shared" si="2"/>
        <v>5.7999999999999996E-3</v>
      </c>
      <c r="X9" s="42">
        <f t="shared" si="2"/>
        <v>5.7999999999999996E-3</v>
      </c>
      <c r="Y9" s="42">
        <f t="shared" si="2"/>
        <v>5.7999999999999996E-3</v>
      </c>
      <c r="Z9" s="42">
        <f t="shared" si="2"/>
        <v>5.7999999999999996E-3</v>
      </c>
    </row>
    <row r="10" spans="1:26">
      <c r="B10" s="33" t="s">
        <v>466</v>
      </c>
      <c r="C10" s="33"/>
      <c r="D10" s="42"/>
      <c r="E10" s="42"/>
      <c r="F10" s="42">
        <f>+F11-E11</f>
        <v>0</v>
      </c>
      <c r="G10" s="42">
        <f t="shared" ref="G10:Z10" si="3">+G11-F11</f>
        <v>0</v>
      </c>
      <c r="H10" s="42">
        <f t="shared" si="3"/>
        <v>0</v>
      </c>
      <c r="I10" s="42">
        <f t="shared" si="3"/>
        <v>0</v>
      </c>
      <c r="J10" s="42">
        <f t="shared" si="3"/>
        <v>5.5000000000000007E-6</v>
      </c>
      <c r="K10" s="42">
        <f t="shared" si="3"/>
        <v>5.5000000000000007E-6</v>
      </c>
      <c r="L10" s="42">
        <f t="shared" si="3"/>
        <v>0</v>
      </c>
      <c r="M10" s="42">
        <f t="shared" si="3"/>
        <v>0</v>
      </c>
      <c r="N10" s="42">
        <f t="shared" si="3"/>
        <v>0</v>
      </c>
      <c r="O10" s="42">
        <f t="shared" si="3"/>
        <v>0</v>
      </c>
      <c r="P10" s="42">
        <f t="shared" si="3"/>
        <v>0</v>
      </c>
      <c r="Q10" s="42">
        <f t="shared" si="3"/>
        <v>0</v>
      </c>
      <c r="R10" s="42">
        <f t="shared" si="3"/>
        <v>0</v>
      </c>
      <c r="S10" s="42">
        <f t="shared" si="3"/>
        <v>0</v>
      </c>
      <c r="T10" s="42">
        <f t="shared" si="3"/>
        <v>0</v>
      </c>
      <c r="U10" s="42">
        <f t="shared" si="3"/>
        <v>0</v>
      </c>
      <c r="V10" s="42">
        <f t="shared" si="3"/>
        <v>0</v>
      </c>
      <c r="W10" s="42">
        <f t="shared" si="3"/>
        <v>0</v>
      </c>
      <c r="X10" s="42">
        <f t="shared" si="3"/>
        <v>0</v>
      </c>
      <c r="Y10" s="42">
        <f t="shared" si="3"/>
        <v>0</v>
      </c>
      <c r="Z10" s="42">
        <f t="shared" si="3"/>
        <v>0</v>
      </c>
    </row>
    <row r="11" spans="1:26">
      <c r="B11" s="33" t="s">
        <v>232</v>
      </c>
      <c r="C11" s="33"/>
      <c r="D11" s="42"/>
      <c r="E11" s="42"/>
      <c r="F11" s="42">
        <f>+F12*Assumptions!$H$56</f>
        <v>0</v>
      </c>
      <c r="G11" s="42">
        <f>+G12*Assumptions!$H$56</f>
        <v>0</v>
      </c>
      <c r="H11" s="42">
        <f>+H12*Assumptions!$H$56</f>
        <v>0</v>
      </c>
      <c r="I11" s="42">
        <f>+I12*Assumptions!$H$56</f>
        <v>0</v>
      </c>
      <c r="J11" s="42">
        <f>+J12*Assumptions!$H$56</f>
        <v>5.5000000000000007E-6</v>
      </c>
      <c r="K11" s="42">
        <f>+K12*Assumptions!$H$56</f>
        <v>1.1000000000000001E-5</v>
      </c>
      <c r="L11" s="42">
        <f>+L12*Assumptions!$H$56</f>
        <v>1.1000000000000001E-5</v>
      </c>
      <c r="M11" s="42">
        <f>+M12*Assumptions!$H$56</f>
        <v>1.1000000000000001E-5</v>
      </c>
      <c r="N11" s="42">
        <f>+N12*Assumptions!$H$56</f>
        <v>1.1000000000000001E-5</v>
      </c>
      <c r="O11" s="42">
        <f>+O12*Assumptions!$H$56</f>
        <v>1.1000000000000001E-5</v>
      </c>
      <c r="P11" s="42">
        <f>+P12*Assumptions!$H$56</f>
        <v>1.1000000000000001E-5</v>
      </c>
      <c r="Q11" s="42">
        <f>+Q12*Assumptions!$H$56</f>
        <v>1.1000000000000001E-5</v>
      </c>
      <c r="R11" s="42">
        <f>+R12*Assumptions!$H$56</f>
        <v>1.1000000000000001E-5</v>
      </c>
      <c r="S11" s="42">
        <f>+S12*Assumptions!$H$56</f>
        <v>1.1000000000000001E-5</v>
      </c>
      <c r="T11" s="42">
        <f>+T12*Assumptions!$H$56</f>
        <v>1.1000000000000001E-5</v>
      </c>
      <c r="U11" s="42">
        <f>+U12*Assumptions!$H$56</f>
        <v>1.1000000000000001E-5</v>
      </c>
      <c r="V11" s="42">
        <f>+V12*Assumptions!$H$56</f>
        <v>1.1000000000000001E-5</v>
      </c>
      <c r="W11" s="42">
        <f>+W12*Assumptions!$H$56</f>
        <v>1.1000000000000001E-5</v>
      </c>
      <c r="X11" s="42">
        <f>+X12*Assumptions!$H$56</f>
        <v>1.1000000000000001E-5</v>
      </c>
      <c r="Y11" s="42">
        <f>+Y12*Assumptions!$H$56</f>
        <v>1.1000000000000001E-5</v>
      </c>
      <c r="Z11" s="42">
        <f>+Z12*Assumptions!$H$56</f>
        <v>1.1000000000000001E-5</v>
      </c>
    </row>
    <row r="12" spans="1:26">
      <c r="B12" s="33" t="s">
        <v>285</v>
      </c>
      <c r="C12" s="33"/>
      <c r="D12" s="42"/>
      <c r="E12" s="42"/>
      <c r="F12" s="108">
        <f>+F9/SUM($F$8:$Z$8)</f>
        <v>0</v>
      </c>
      <c r="G12" s="108">
        <f t="shared" ref="G12:Z12" si="4">+G9/SUM($F$8:$Z$8)</f>
        <v>0</v>
      </c>
      <c r="H12" s="108">
        <f t="shared" si="4"/>
        <v>0</v>
      </c>
      <c r="I12" s="108">
        <f t="shared" si="4"/>
        <v>0</v>
      </c>
      <c r="J12" s="108">
        <f t="shared" si="4"/>
        <v>0.5</v>
      </c>
      <c r="K12" s="108">
        <f t="shared" si="4"/>
        <v>1</v>
      </c>
      <c r="L12" s="108">
        <f t="shared" si="4"/>
        <v>1</v>
      </c>
      <c r="M12" s="108">
        <f t="shared" si="4"/>
        <v>1</v>
      </c>
      <c r="N12" s="108">
        <f t="shared" si="4"/>
        <v>1</v>
      </c>
      <c r="O12" s="108">
        <f t="shared" si="4"/>
        <v>1</v>
      </c>
      <c r="P12" s="108">
        <f t="shared" si="4"/>
        <v>1</v>
      </c>
      <c r="Q12" s="108">
        <f t="shared" si="4"/>
        <v>1</v>
      </c>
      <c r="R12" s="108">
        <f t="shared" si="4"/>
        <v>1</v>
      </c>
      <c r="S12" s="108">
        <f t="shared" si="4"/>
        <v>1</v>
      </c>
      <c r="T12" s="108">
        <f t="shared" si="4"/>
        <v>1</v>
      </c>
      <c r="U12" s="108">
        <f t="shared" si="4"/>
        <v>1</v>
      </c>
      <c r="V12" s="108">
        <f t="shared" si="4"/>
        <v>1</v>
      </c>
      <c r="W12" s="108">
        <f t="shared" si="4"/>
        <v>1</v>
      </c>
      <c r="X12" s="108">
        <f t="shared" si="4"/>
        <v>1</v>
      </c>
      <c r="Y12" s="108">
        <f t="shared" si="4"/>
        <v>1</v>
      </c>
      <c r="Z12" s="108">
        <f t="shared" si="4"/>
        <v>1</v>
      </c>
    </row>
    <row r="13" spans="1:26">
      <c r="B13" s="33"/>
      <c r="C13" s="33"/>
      <c r="D13" s="42"/>
      <c r="E13" s="42"/>
      <c r="F13" s="108"/>
      <c r="G13" s="108"/>
      <c r="H13" s="108"/>
      <c r="I13" s="108"/>
      <c r="J13" s="108"/>
      <c r="K13" s="108"/>
      <c r="L13" s="108"/>
      <c r="M13" s="108"/>
      <c r="N13" s="108"/>
      <c r="O13" s="108"/>
      <c r="P13" s="108"/>
      <c r="Q13" s="108"/>
      <c r="R13" s="108"/>
      <c r="S13" s="108"/>
      <c r="T13" s="108"/>
      <c r="U13" s="108"/>
      <c r="V13" s="108"/>
      <c r="W13" s="108"/>
      <c r="X13" s="108"/>
      <c r="Y13" s="108"/>
      <c r="Z13" s="108"/>
    </row>
    <row r="14" spans="1:26">
      <c r="B14" s="33" t="s">
        <v>236</v>
      </c>
      <c r="C14" s="33"/>
      <c r="D14" s="42"/>
      <c r="E14" s="42"/>
      <c r="F14" s="108">
        <v>1</v>
      </c>
      <c r="G14" s="108">
        <f>+F14*(1+Assumptions!$P$63)</f>
        <v>1.02</v>
      </c>
      <c r="H14" s="108">
        <f>+G14*(1+Assumptions!$P$63)</f>
        <v>1.0404</v>
      </c>
      <c r="I14" s="108">
        <f>+H14*(1+Assumptions!$P$63)</f>
        <v>1.0612079999999999</v>
      </c>
      <c r="J14" s="108">
        <f>+I14*(1+Assumptions!$P$63)</f>
        <v>1.08243216</v>
      </c>
      <c r="K14" s="108">
        <f>+J14*(1+Assumptions!$P$63)</f>
        <v>1.1040808032</v>
      </c>
      <c r="L14" s="108">
        <f>+K14*(1+Assumptions!$P$63)</f>
        <v>1.1261624192640001</v>
      </c>
      <c r="M14" s="108">
        <f>+L14*(1+Assumptions!$P$63)</f>
        <v>1.14868566764928</v>
      </c>
      <c r="N14" s="108">
        <f>+M14*(1+Assumptions!$P$63)</f>
        <v>1.1716593810022657</v>
      </c>
      <c r="O14" s="108">
        <f>+N14*(1+Assumptions!$P$63)</f>
        <v>1.1950925686223111</v>
      </c>
      <c r="P14" s="108">
        <f>+O14*(1+Assumptions!$P$63)</f>
        <v>1.2189944199947573</v>
      </c>
      <c r="Q14" s="108">
        <f>+P14*(1+Assumptions!$P$63)</f>
        <v>1.2433743083946525</v>
      </c>
      <c r="R14" s="108">
        <f>+Q14*(1+Assumptions!$P$63)</f>
        <v>1.2682417945625455</v>
      </c>
      <c r="S14" s="108">
        <f>+R14*(1+Assumptions!$P$63)</f>
        <v>1.2936066304537963</v>
      </c>
      <c r="T14" s="108">
        <f>+S14*(1+Assumptions!$P$63)</f>
        <v>1.3194787630628724</v>
      </c>
      <c r="U14" s="108">
        <f>+T14*(1+Assumptions!$P$63)</f>
        <v>1.3458683383241299</v>
      </c>
      <c r="V14" s="108">
        <f>+U14*(1+Assumptions!$P$63)</f>
        <v>1.3727857050906125</v>
      </c>
      <c r="W14" s="108">
        <f>+V14*(1+Assumptions!$P$63)</f>
        <v>1.4002414191924248</v>
      </c>
      <c r="X14" s="108">
        <f>+W14*(1+Assumptions!$P$63)</f>
        <v>1.4282462475762734</v>
      </c>
      <c r="Y14" s="108">
        <f>+X14*(1+Assumptions!$P$63)</f>
        <v>1.4568111725277988</v>
      </c>
      <c r="Z14" s="108">
        <f>+Y14*(1+Assumptions!$P$63)</f>
        <v>1.4859473959783549</v>
      </c>
    </row>
    <row r="15" spans="1:26">
      <c r="B15" s="33" t="s">
        <v>237</v>
      </c>
      <c r="C15" s="33"/>
      <c r="D15" s="42"/>
      <c r="E15" s="42"/>
      <c r="F15" s="108">
        <v>1</v>
      </c>
      <c r="G15" s="108">
        <f>+F15*(1+Assumptions!$P$76)</f>
        <v>1.03</v>
      </c>
      <c r="H15" s="108">
        <f>+G15*(1+Assumptions!$P$76)</f>
        <v>1.0609</v>
      </c>
      <c r="I15" s="108">
        <f>+H15*(1+Assumptions!$P$76)</f>
        <v>1.092727</v>
      </c>
      <c r="J15" s="108">
        <f>+I15*(1+Assumptions!$P$76)</f>
        <v>1.1255088100000001</v>
      </c>
      <c r="K15" s="108">
        <f>+J15*(1+Assumptions!$P$76)</f>
        <v>1.1592740743000001</v>
      </c>
      <c r="L15" s="108">
        <f>+K15*(1+Assumptions!$P$76)</f>
        <v>1.1940522965290001</v>
      </c>
      <c r="M15" s="108">
        <f>+L15*(1+Assumptions!$P$76)</f>
        <v>1.2298738654248702</v>
      </c>
      <c r="N15" s="108">
        <f>+M15*(1+Assumptions!$P$76)</f>
        <v>1.2667700813876164</v>
      </c>
      <c r="O15" s="108">
        <f>+N15*(1+Assumptions!$P$76)</f>
        <v>1.3047731838292449</v>
      </c>
      <c r="P15" s="108">
        <f>+O15*(1+Assumptions!$P$76)</f>
        <v>1.3439163793441222</v>
      </c>
      <c r="Q15" s="108">
        <f>+P15*(1+Assumptions!$P$76)</f>
        <v>1.3842338707244459</v>
      </c>
      <c r="R15" s="108">
        <f>+Q15*(1+Assumptions!$P$76)</f>
        <v>1.4257608868461793</v>
      </c>
      <c r="S15" s="108">
        <f>+R15*(1+Assumptions!$P$76)</f>
        <v>1.4685337134515648</v>
      </c>
      <c r="T15" s="108">
        <f>+S15*(1+Assumptions!$P$76)</f>
        <v>1.5125897248551119</v>
      </c>
      <c r="U15" s="108">
        <f>+T15*(1+Assumptions!$P$76)</f>
        <v>1.5579674166007653</v>
      </c>
      <c r="V15" s="108">
        <f>+U15*(1+Assumptions!$P$76)</f>
        <v>1.6047064390987884</v>
      </c>
      <c r="W15" s="108">
        <f>+V15*(1+Assumptions!$P$76)</f>
        <v>1.652847632271752</v>
      </c>
      <c r="X15" s="108">
        <f>+W15*(1+Assumptions!$P$76)</f>
        <v>1.7024330612399046</v>
      </c>
      <c r="Y15" s="108">
        <f>+X15*(1+Assumptions!$P$76)</f>
        <v>1.7535060530771018</v>
      </c>
      <c r="Z15" s="108">
        <f>+Y15*(1+Assumptions!$P$76)</f>
        <v>1.806111234669415</v>
      </c>
    </row>
    <row r="16" spans="1:26">
      <c r="B16" s="33"/>
      <c r="C16" s="33"/>
      <c r="D16" s="40"/>
      <c r="E16" s="40"/>
      <c r="F16" s="34"/>
      <c r="G16" s="34"/>
      <c r="H16" s="34"/>
      <c r="I16" s="34"/>
      <c r="J16" s="34"/>
      <c r="K16" s="34"/>
      <c r="L16" s="34"/>
      <c r="M16" s="34"/>
      <c r="N16" s="34"/>
      <c r="O16" s="34"/>
      <c r="P16" s="34"/>
      <c r="Q16" s="34"/>
      <c r="R16" s="34"/>
      <c r="S16" s="34"/>
      <c r="T16" s="34"/>
      <c r="U16" s="34"/>
      <c r="V16" s="34"/>
      <c r="W16" s="34"/>
      <c r="X16" s="34"/>
      <c r="Y16" s="34"/>
      <c r="Z16" s="34"/>
    </row>
    <row r="17" spans="2:26">
      <c r="B17" s="33" t="s">
        <v>228</v>
      </c>
      <c r="C17" s="33"/>
      <c r="D17" s="40"/>
      <c r="E17" s="40"/>
      <c r="F17" s="34">
        <f>+F12*Assumptions!$H$54*F14</f>
        <v>0</v>
      </c>
      <c r="G17" s="34">
        <f>+G12*Assumptions!$H$54*G14</f>
        <v>0</v>
      </c>
      <c r="H17" s="34">
        <f>+H12*Assumptions!$H$54*H14</f>
        <v>0</v>
      </c>
      <c r="I17" s="34">
        <f>+I12*Assumptions!$H$54*I14</f>
        <v>0</v>
      </c>
      <c r="J17" s="34">
        <f>+J12*Assumptions!$H$54*J14</f>
        <v>8.2162614092783859E-2</v>
      </c>
      <c r="K17" s="34">
        <f>+K12*Assumptions!$H$54*K14</f>
        <v>0.1676117327492791</v>
      </c>
      <c r="L17" s="34">
        <f>+L12*Assumptions!$H$54*L14</f>
        <v>0.17096396740426467</v>
      </c>
      <c r="M17" s="34">
        <f>+M12*Assumptions!$H$54*M14</f>
        <v>0.17438324675234995</v>
      </c>
      <c r="N17" s="34">
        <f>+N12*Assumptions!$H$54*N14</f>
        <v>0.17787091168739697</v>
      </c>
      <c r="O17" s="34">
        <f>+O12*Assumptions!$H$54*O14</f>
        <v>0.18142832992114491</v>
      </c>
      <c r="P17" s="34">
        <f>+P12*Assumptions!$H$54*P14</f>
        <v>0.18505689651956783</v>
      </c>
      <c r="Q17" s="34">
        <f>+Q12*Assumptions!$H$54*Q14</f>
        <v>0.18875803444995917</v>
      </c>
      <c r="R17" s="34">
        <f>+R12*Assumptions!$H$54*R14</f>
        <v>0.19253319513895836</v>
      </c>
      <c r="S17" s="34">
        <f>+S12*Assumptions!$H$54*S14</f>
        <v>0.19638385904173752</v>
      </c>
      <c r="T17" s="34">
        <f>+T12*Assumptions!$H$54*T14</f>
        <v>0.20031153622257228</v>
      </c>
      <c r="U17" s="34">
        <f>+U12*Assumptions!$H$54*U14</f>
        <v>0.20431776694702375</v>
      </c>
      <c r="V17" s="34">
        <f>+V12*Assumptions!$H$54*V14</f>
        <v>0.20840412228596422</v>
      </c>
      <c r="W17" s="34">
        <f>+W12*Assumptions!$H$54*W14</f>
        <v>0.21257220473168351</v>
      </c>
      <c r="X17" s="34">
        <f>+X12*Assumptions!$H$54*X14</f>
        <v>0.21682364882631719</v>
      </c>
      <c r="Y17" s="34">
        <f>+Y12*Assumptions!$H$54*Y14</f>
        <v>0.22116012180284353</v>
      </c>
      <c r="Z17" s="34">
        <f>+Z12*Assumptions!$H$54*Z14</f>
        <v>0.22558332423890043</v>
      </c>
    </row>
    <row r="18" spans="2:26">
      <c r="B18" s="33" t="s">
        <v>229</v>
      </c>
      <c r="C18" s="33"/>
      <c r="D18" s="40"/>
      <c r="E18" s="40"/>
      <c r="F18" s="42">
        <f>-F17*Assumptions!$P$54</f>
        <v>0</v>
      </c>
      <c r="G18" s="42">
        <f>-G17*Assumptions!$P$54</f>
        <v>0</v>
      </c>
      <c r="H18" s="42">
        <f>-H17*Assumptions!$P$54</f>
        <v>0</v>
      </c>
      <c r="I18" s="42">
        <f>-I17*Assumptions!$P$54</f>
        <v>0</v>
      </c>
      <c r="J18" s="42">
        <f>-J17*Assumptions!$P$54</f>
        <v>-4.1081307046391931E-3</v>
      </c>
      <c r="K18" s="42">
        <f>-K17*Assumptions!$P$54</f>
        <v>-8.3805866374639555E-3</v>
      </c>
      <c r="L18" s="42">
        <f>-L17*Assumptions!$P$54</f>
        <v>-8.5481983702132332E-3</v>
      </c>
      <c r="M18" s="42">
        <f>-M17*Assumptions!$P$54</f>
        <v>-8.7191623376174972E-3</v>
      </c>
      <c r="N18" s="42">
        <f>-N17*Assumptions!$P$54</f>
        <v>-8.8935455843698486E-3</v>
      </c>
      <c r="O18" s="42">
        <f>-O17*Assumptions!$P$54</f>
        <v>-9.0714164960572462E-3</v>
      </c>
      <c r="P18" s="42">
        <f>-P17*Assumptions!$P$54</f>
        <v>-9.2528448259783912E-3</v>
      </c>
      <c r="Q18" s="42">
        <f>-Q17*Assumptions!$P$54</f>
        <v>-9.4379017224979593E-3</v>
      </c>
      <c r="R18" s="42">
        <f>-R17*Assumptions!$P$54</f>
        <v>-9.6266597569479185E-3</v>
      </c>
      <c r="S18" s="42">
        <f>-S17*Assumptions!$P$54</f>
        <v>-9.8191929520868772E-3</v>
      </c>
      <c r="T18" s="42">
        <f>-T17*Assumptions!$P$54</f>
        <v>-1.0015576811128614E-2</v>
      </c>
      <c r="U18" s="42">
        <f>-U17*Assumptions!$P$54</f>
        <v>-1.0215888347351189E-2</v>
      </c>
      <c r="V18" s="42">
        <f>-V17*Assumptions!$P$54</f>
        <v>-1.0420206114298211E-2</v>
      </c>
      <c r="W18" s="42">
        <f>-W17*Assumptions!$P$54</f>
        <v>-1.0628610236584176E-2</v>
      </c>
      <c r="X18" s="42">
        <f>-X17*Assumptions!$P$54</f>
        <v>-1.084118244131586E-2</v>
      </c>
      <c r="Y18" s="42">
        <f>-Y17*Assumptions!$P$54</f>
        <v>-1.1058006090142177E-2</v>
      </c>
      <c r="Z18" s="42">
        <f>-Z17*Assumptions!$P$54</f>
        <v>-1.1279166211945022E-2</v>
      </c>
    </row>
    <row r="19" spans="2:26">
      <c r="B19" s="33" t="s">
        <v>361</v>
      </c>
      <c r="C19" s="33"/>
      <c r="D19" s="40"/>
      <c r="E19" s="40"/>
      <c r="F19" s="151">
        <f>+F11*Assumptions!$H$89*(1-Assumptions!$P$54)*12</f>
        <v>0</v>
      </c>
      <c r="G19" s="151">
        <f>+G11*Assumptions!$H$89*(1-Assumptions!$P$54)*12</f>
        <v>0</v>
      </c>
      <c r="H19" s="151">
        <f>+H11*Assumptions!$H$89*(1-Assumptions!$P$54)*12</f>
        <v>0</v>
      </c>
      <c r="I19" s="151">
        <f>+I11*Assumptions!$H$89*(1-Assumptions!$P$54)*12</f>
        <v>0</v>
      </c>
      <c r="J19" s="151">
        <f>+J11*Assumptions!$H$89*(1-Assumptions!$P$54)*12</f>
        <v>3.1350000000000003E-4</v>
      </c>
      <c r="K19" s="151">
        <f>+K11*Assumptions!$H$89*(1-Assumptions!$P$54)*12</f>
        <v>6.2700000000000006E-4</v>
      </c>
      <c r="L19" s="151">
        <f>+L11*Assumptions!$H$89*(1-Assumptions!$P$54)*12</f>
        <v>6.2700000000000006E-4</v>
      </c>
      <c r="M19" s="151">
        <f>+M11*Assumptions!$H$89*(1-Assumptions!$P$54)*12</f>
        <v>6.2700000000000006E-4</v>
      </c>
      <c r="N19" s="151">
        <f>+N11*Assumptions!$H$89*(1-Assumptions!$P$54)*12</f>
        <v>6.2700000000000006E-4</v>
      </c>
      <c r="O19" s="151">
        <f>+O11*Assumptions!$H$89*(1-Assumptions!$P$54)*12</f>
        <v>6.2700000000000006E-4</v>
      </c>
      <c r="P19" s="151">
        <f>+P11*Assumptions!$H$89*(1-Assumptions!$P$54)*12</f>
        <v>6.2700000000000006E-4</v>
      </c>
      <c r="Q19" s="151">
        <f>+Q11*Assumptions!$H$89*(1-Assumptions!$P$54)*12</f>
        <v>6.2700000000000006E-4</v>
      </c>
      <c r="R19" s="151">
        <f>+R11*Assumptions!$H$89*(1-Assumptions!$P$54)*12</f>
        <v>6.2700000000000006E-4</v>
      </c>
      <c r="S19" s="151">
        <f>+S11*Assumptions!$H$89*(1-Assumptions!$P$54)*12</f>
        <v>6.2700000000000006E-4</v>
      </c>
      <c r="T19" s="151">
        <f>+T11*Assumptions!$H$89*(1-Assumptions!$P$54)*12</f>
        <v>6.2700000000000006E-4</v>
      </c>
      <c r="U19" s="151">
        <f>+U11*Assumptions!$H$89*(1-Assumptions!$P$54)*12</f>
        <v>6.2700000000000006E-4</v>
      </c>
      <c r="V19" s="151">
        <f>+V11*Assumptions!$H$89*(1-Assumptions!$P$54)*12</f>
        <v>6.2700000000000006E-4</v>
      </c>
      <c r="W19" s="151">
        <f>+W11*Assumptions!$H$89*(1-Assumptions!$P$54)*12</f>
        <v>6.2700000000000006E-4</v>
      </c>
      <c r="X19" s="151">
        <f>+X11*Assumptions!$H$89*(1-Assumptions!$P$54)*12</f>
        <v>6.2700000000000006E-4</v>
      </c>
      <c r="Y19" s="151">
        <f>+Y11*Assumptions!$H$89*(1-Assumptions!$P$54)*12</f>
        <v>6.2700000000000006E-4</v>
      </c>
      <c r="Z19" s="151">
        <f>+Z11*Assumptions!$H$89*(1-Assumptions!$P$54)*12</f>
        <v>6.2700000000000006E-4</v>
      </c>
    </row>
    <row r="20" spans="2:26">
      <c r="B20" s="137" t="s">
        <v>238</v>
      </c>
      <c r="C20" s="137"/>
      <c r="D20" s="137"/>
      <c r="E20" s="137"/>
      <c r="F20" s="129">
        <f t="shared" ref="F20:Z20" si="5">+SUM(F17:F19)</f>
        <v>0</v>
      </c>
      <c r="G20" s="129">
        <f t="shared" si="5"/>
        <v>0</v>
      </c>
      <c r="H20" s="129">
        <f t="shared" si="5"/>
        <v>0</v>
      </c>
      <c r="I20" s="129">
        <f t="shared" si="5"/>
        <v>0</v>
      </c>
      <c r="J20" s="129">
        <f t="shared" si="5"/>
        <v>7.8367983388144657E-2</v>
      </c>
      <c r="K20" s="129">
        <f t="shared" si="5"/>
        <v>0.15985814611181512</v>
      </c>
      <c r="L20" s="129">
        <f t="shared" si="5"/>
        <v>0.16304276903405143</v>
      </c>
      <c r="M20" s="129">
        <f t="shared" si="5"/>
        <v>0.16629108441473245</v>
      </c>
      <c r="N20" s="129">
        <f t="shared" si="5"/>
        <v>0.16960436610302709</v>
      </c>
      <c r="O20" s="129">
        <f t="shared" si="5"/>
        <v>0.17298391342508765</v>
      </c>
      <c r="P20" s="129">
        <f t="shared" si="5"/>
        <v>0.17643105169358944</v>
      </c>
      <c r="Q20" s="129">
        <f t="shared" si="5"/>
        <v>0.17994713272746121</v>
      </c>
      <c r="R20" s="129">
        <f t="shared" si="5"/>
        <v>0.18353353538201042</v>
      </c>
      <c r="S20" s="129">
        <f t="shared" si="5"/>
        <v>0.18719166608965063</v>
      </c>
      <c r="T20" s="129">
        <f t="shared" si="5"/>
        <v>0.19092295941144366</v>
      </c>
      <c r="U20" s="129">
        <f t="shared" si="5"/>
        <v>0.19472887859967256</v>
      </c>
      <c r="V20" s="129">
        <f t="shared" si="5"/>
        <v>0.19861091617166599</v>
      </c>
      <c r="W20" s="129">
        <f t="shared" si="5"/>
        <v>0.20257059449509932</v>
      </c>
      <c r="X20" s="129">
        <f t="shared" si="5"/>
        <v>0.20660946638500133</v>
      </c>
      <c r="Y20" s="129">
        <f t="shared" si="5"/>
        <v>0.21072911571270134</v>
      </c>
      <c r="Z20" s="129">
        <f t="shared" si="5"/>
        <v>0.21493115802695539</v>
      </c>
    </row>
    <row r="22" spans="2:26">
      <c r="B22" s="33" t="s">
        <v>371</v>
      </c>
      <c r="F22" s="34">
        <f>+F11*Assumptions!$P$95*F15</f>
        <v>0</v>
      </c>
      <c r="G22" s="34">
        <f>+G11*Assumptions!$P$95*G15</f>
        <v>0</v>
      </c>
      <c r="H22" s="34">
        <f>+H11*Assumptions!$P$95*H15</f>
        <v>0</v>
      </c>
      <c r="I22" s="34">
        <f>+I11*Assumptions!$P$95*I15</f>
        <v>0</v>
      </c>
      <c r="J22" s="34">
        <f>+J11*Assumptions!$P$95*J15</f>
        <v>3.3732627281383216E-2</v>
      </c>
      <c r="K22" s="34">
        <f>+K11*Assumptions!$P$95*K15</f>
        <v>6.9489212199649417E-2</v>
      </c>
      <c r="L22" s="34">
        <f>+L11*Assumptions!$P$95*L15</f>
        <v>7.1573888565638899E-2</v>
      </c>
      <c r="M22" s="34">
        <f>+M11*Assumptions!$P$95*M15</f>
        <v>7.372110522260808E-2</v>
      </c>
      <c r="N22" s="34">
        <f>+N11*Assumptions!$P$95*N15</f>
        <v>7.5932738379286324E-2</v>
      </c>
      <c r="O22" s="34">
        <f>+O11*Assumptions!$P$95*O15</f>
        <v>7.8210720530664912E-2</v>
      </c>
      <c r="P22" s="34">
        <f>+P11*Assumptions!$P$95*P15</f>
        <v>8.0557042146584865E-2</v>
      </c>
      <c r="Q22" s="34">
        <f>+Q11*Assumptions!$P$95*Q15</f>
        <v>8.2973753410982412E-2</v>
      </c>
      <c r="R22" s="34">
        <f>+R11*Assumptions!$P$95*R15</f>
        <v>8.5462966013311881E-2</v>
      </c>
      <c r="S22" s="34">
        <f>+S11*Assumptions!$P$95*S15</f>
        <v>8.802685499371124E-2</v>
      </c>
      <c r="T22" s="34">
        <f>+T11*Assumptions!$P$95*T15</f>
        <v>9.0667660643522593E-2</v>
      </c>
      <c r="U22" s="34">
        <f>+U11*Assumptions!$P$95*U15</f>
        <v>9.3387690462828271E-2</v>
      </c>
      <c r="V22" s="34">
        <f>+V11*Assumptions!$P$95*V15</f>
        <v>9.6189321176713125E-2</v>
      </c>
      <c r="W22" s="34">
        <f>+W11*Assumptions!$P$95*W15</f>
        <v>9.9075000812014521E-2</v>
      </c>
      <c r="X22" s="34">
        <f>+X11*Assumptions!$P$95*X15</f>
        <v>0.10204725083637495</v>
      </c>
      <c r="Y22" s="34">
        <f>+Y11*Assumptions!$P$95*Y15</f>
        <v>0.10510866836146621</v>
      </c>
      <c r="Z22" s="34">
        <f>+Z11*Assumptions!$P$95*Z15</f>
        <v>0.10826192841231021</v>
      </c>
    </row>
    <row r="23" spans="2:26">
      <c r="B23" s="33" t="s">
        <v>308</v>
      </c>
      <c r="F23" s="812">
        <f ca="1">+IFERROR(IFERROR(INDEX('Taxes and TIF'!$AR$11:$AR$45,MATCH('Phase III Pro Forma'!F$7,'Taxes and TIF'!$AG$11:$AG$45,0)),0)*'Loan Sizing'!$M$15*F12,0)</f>
        <v>0</v>
      </c>
      <c r="G23" s="151">
        <f ca="1">+IFERROR(IFERROR(INDEX('Taxes and TIF'!$AR$11:$AR$45,MATCH('Phase III Pro Forma'!G$7,'Taxes and TIF'!$AG$11:$AG$45,0)),0)*'Loan Sizing'!$M$15*G12,0)</f>
        <v>0</v>
      </c>
      <c r="H23" s="151">
        <f ca="1">+IFERROR(IFERROR(INDEX('Taxes and TIF'!$AR$11:$AR$45,MATCH('Phase III Pro Forma'!H$7,'Taxes and TIF'!$AG$11:$AG$45,0)),0)*'Loan Sizing'!$M$15*H12,0)</f>
        <v>0</v>
      </c>
      <c r="I23" s="151">
        <f ca="1">+IFERROR(IFERROR(INDEX('Taxes and TIF'!$AR$11:$AR$45,MATCH('Phase III Pro Forma'!I$7,'Taxes and TIF'!$AG$11:$AG$45,0)),0)*'Loan Sizing'!$M$15*I12,0)</f>
        <v>0</v>
      </c>
      <c r="J23" s="151">
        <f ca="1">+IFERROR(IFERROR(INDEX('Taxes and TIF'!$AR$11:$AR$45,MATCH('Phase III Pro Forma'!J$7,'Taxes and TIF'!$AG$11:$AG$45,0)),0)*'Loan Sizing'!$M$15*J12,0)</f>
        <v>1.2172693384424546E-2</v>
      </c>
      <c r="K23" s="151">
        <f ca="1">+IFERROR(IFERROR(INDEX('Taxes and TIF'!$AR$11:$AR$45,MATCH('Phase III Pro Forma'!K$7,'Taxes and TIF'!$AG$11:$AG$45,0)),0)*'Loan Sizing'!$M$15*K12,0)</f>
        <v>2.4345386768849092E-2</v>
      </c>
      <c r="L23" s="151">
        <f ca="1">+IFERROR(IFERROR(INDEX('Taxes and TIF'!$AR$11:$AR$45,MATCH('Phase III Pro Forma'!L$7,'Taxes and TIF'!$AG$11:$AG$45,0)),0)*'Loan Sizing'!$M$15*L12,0)</f>
        <v>2.4345386768849092E-2</v>
      </c>
      <c r="M23" s="151">
        <f ca="1">+IFERROR(IFERROR(INDEX('Taxes and TIF'!$AR$11:$AR$45,MATCH('Phase III Pro Forma'!M$7,'Taxes and TIF'!$AG$11:$AG$45,0)),0)*'Loan Sizing'!$M$15*M12,0)</f>
        <v>2.4832294504226072E-2</v>
      </c>
      <c r="N23" s="151">
        <f ca="1">+IFERROR(IFERROR(INDEX('Taxes and TIF'!$AR$11:$AR$45,MATCH('Phase III Pro Forma'!N$7,'Taxes and TIF'!$AG$11:$AG$45,0)),0)*'Loan Sizing'!$M$15*N12,0)</f>
        <v>2.4832294504226072E-2</v>
      </c>
      <c r="O23" s="151">
        <f ca="1">+IFERROR(IFERROR(INDEX('Taxes and TIF'!$AR$11:$AR$45,MATCH('Phase III Pro Forma'!O$7,'Taxes and TIF'!$AG$11:$AG$45,0)),0)*'Loan Sizing'!$M$15*O12,0)</f>
        <v>2.4832294504226072E-2</v>
      </c>
      <c r="P23" s="151">
        <f ca="1">+IFERROR(IFERROR(INDEX('Taxes and TIF'!$AR$11:$AR$45,MATCH('Phase III Pro Forma'!P$7,'Taxes and TIF'!$AG$11:$AG$45,0)),0)*'Loan Sizing'!$M$15*P12,0)</f>
        <v>2.5328940394310585E-2</v>
      </c>
      <c r="Q23" s="151">
        <f ca="1">+IFERROR(IFERROR(INDEX('Taxes and TIF'!$AR$11:$AR$45,MATCH('Phase III Pro Forma'!Q$7,'Taxes and TIF'!$AG$11:$AG$45,0)),0)*'Loan Sizing'!$M$15*Q12,0)</f>
        <v>2.5328940394310585E-2</v>
      </c>
      <c r="R23" s="151">
        <f ca="1">+IFERROR(IFERROR(INDEX('Taxes and TIF'!$AR$11:$AR$45,MATCH('Phase III Pro Forma'!R$7,'Taxes and TIF'!$AG$11:$AG$45,0)),0)*'Loan Sizing'!$M$15*R12,0)</f>
        <v>2.5328940394310585E-2</v>
      </c>
      <c r="S23" s="151">
        <f ca="1">+IFERROR(IFERROR(INDEX('Taxes and TIF'!$AR$11:$AR$45,MATCH('Phase III Pro Forma'!S$7,'Taxes and TIF'!$AG$11:$AG$45,0)),0)*'Loan Sizing'!$M$15*S12,0)</f>
        <v>2.5835519202196802E-2</v>
      </c>
      <c r="T23" s="151">
        <f ca="1">+IFERROR(IFERROR(INDEX('Taxes and TIF'!$AR$11:$AR$45,MATCH('Phase III Pro Forma'!T$7,'Taxes and TIF'!$AG$11:$AG$45,0)),0)*'Loan Sizing'!$M$15*T12,0)</f>
        <v>2.5835519202196802E-2</v>
      </c>
      <c r="U23" s="151">
        <f ca="1">+IFERROR(IFERROR(INDEX('Taxes and TIF'!$AR$11:$AR$45,MATCH('Phase III Pro Forma'!U$7,'Taxes and TIF'!$AG$11:$AG$45,0)),0)*'Loan Sizing'!$M$15*U12,0)</f>
        <v>2.5835519202196802E-2</v>
      </c>
      <c r="V23" s="151">
        <f ca="1">+IFERROR(IFERROR(INDEX('Taxes and TIF'!$AR$11:$AR$45,MATCH('Phase III Pro Forma'!V$7,'Taxes and TIF'!$AG$11:$AG$45,0)),0)*'Loan Sizing'!$M$15*V12,0)</f>
        <v>2.6352229586240738E-2</v>
      </c>
      <c r="W23" s="151">
        <f ca="1">+IFERROR(IFERROR(INDEX('Taxes and TIF'!$AR$11:$AR$45,MATCH('Phase III Pro Forma'!W$7,'Taxes and TIF'!$AG$11:$AG$45,0)),0)*'Loan Sizing'!$M$15*W12,0)</f>
        <v>2.6352229586240738E-2</v>
      </c>
      <c r="X23" s="151">
        <f ca="1">+IFERROR(IFERROR(INDEX('Taxes and TIF'!$AR$11:$AR$45,MATCH('Phase III Pro Forma'!X$7,'Taxes and TIF'!$AG$11:$AG$45,0)),0)*'Loan Sizing'!$M$15*X12,0)</f>
        <v>2.6352229586240738E-2</v>
      </c>
      <c r="Y23" s="151">
        <f ca="1">+IFERROR(IFERROR(INDEX('Taxes and TIF'!$AR$11:$AR$45,MATCH('Phase III Pro Forma'!Y$7,'Taxes and TIF'!$AG$11:$AG$45,0)),0)*'Loan Sizing'!$M$15*Y12,0)</f>
        <v>2.6879274177965554E-2</v>
      </c>
      <c r="Z23" s="151">
        <f ca="1">+IFERROR(IFERROR(INDEX('Taxes and TIF'!$AR$11:$AR$45,MATCH('Phase III Pro Forma'!Z$7,'Taxes and TIF'!$AG$11:$AG$45,0)),0)*'Loan Sizing'!$M$15*Z12,0)</f>
        <v>2.6879274177965554E-2</v>
      </c>
    </row>
    <row r="24" spans="2:26">
      <c r="B24" s="137" t="s">
        <v>234</v>
      </c>
      <c r="C24" s="137"/>
      <c r="D24" s="137"/>
      <c r="E24" s="137"/>
      <c r="F24" s="129">
        <f t="shared" ref="F24:Z24" ca="1" si="6">+SUM(F22:F23)</f>
        <v>0</v>
      </c>
      <c r="G24" s="129">
        <f t="shared" ca="1" si="6"/>
        <v>0</v>
      </c>
      <c r="H24" s="129">
        <f t="shared" ca="1" si="6"/>
        <v>0</v>
      </c>
      <c r="I24" s="129">
        <f t="shared" ca="1" si="6"/>
        <v>0</v>
      </c>
      <c r="J24" s="129">
        <f t="shared" ca="1" si="6"/>
        <v>4.5905320665807763E-2</v>
      </c>
      <c r="K24" s="129">
        <f t="shared" ca="1" si="6"/>
        <v>9.3834598968498509E-2</v>
      </c>
      <c r="L24" s="129">
        <f t="shared" ca="1" si="6"/>
        <v>9.5919275334487991E-2</v>
      </c>
      <c r="M24" s="129">
        <f t="shared" ca="1" si="6"/>
        <v>9.8553399726834148E-2</v>
      </c>
      <c r="N24" s="129">
        <f t="shared" ca="1" si="6"/>
        <v>0.10076503288351239</v>
      </c>
      <c r="O24" s="129">
        <f t="shared" ca="1" si="6"/>
        <v>0.10304301503489098</v>
      </c>
      <c r="P24" s="129">
        <f t="shared" ca="1" si="6"/>
        <v>0.10588598254089546</v>
      </c>
      <c r="Q24" s="129">
        <f t="shared" ca="1" si="6"/>
        <v>0.108302693805293</v>
      </c>
      <c r="R24" s="129">
        <f t="shared" ca="1" si="6"/>
        <v>0.11079190640762246</v>
      </c>
      <c r="S24" s="129">
        <f t="shared" ca="1" si="6"/>
        <v>0.11386237419590804</v>
      </c>
      <c r="T24" s="129">
        <f t="shared" ca="1" si="6"/>
        <v>0.1165031798457194</v>
      </c>
      <c r="U24" s="129">
        <f t="shared" ca="1" si="6"/>
        <v>0.11922320966502507</v>
      </c>
      <c r="V24" s="129">
        <f t="shared" ca="1" si="6"/>
        <v>0.12254155076295387</v>
      </c>
      <c r="W24" s="129">
        <f t="shared" ca="1" si="6"/>
        <v>0.12542723039825526</v>
      </c>
      <c r="X24" s="129">
        <f t="shared" ca="1" si="6"/>
        <v>0.12839948042261567</v>
      </c>
      <c r="Y24" s="129">
        <f t="shared" ca="1" si="6"/>
        <v>0.13198794253943175</v>
      </c>
      <c r="Z24" s="129">
        <f t="shared" ca="1" si="6"/>
        <v>0.13514120259027576</v>
      </c>
    </row>
    <row r="25" spans="2:26">
      <c r="B25" s="33"/>
    </row>
    <row r="26" spans="2:26" ht="15.5">
      <c r="B26" s="138" t="s">
        <v>233</v>
      </c>
      <c r="C26" s="138"/>
      <c r="D26" s="138"/>
      <c r="E26" s="138"/>
      <c r="F26" s="139">
        <f t="shared" ref="F26:Z26" ca="1" si="7">+F20-F24</f>
        <v>0</v>
      </c>
      <c r="G26" s="139">
        <f t="shared" ca="1" si="7"/>
        <v>0</v>
      </c>
      <c r="H26" s="139">
        <f t="shared" ca="1" si="7"/>
        <v>0</v>
      </c>
      <c r="I26" s="139">
        <f t="shared" ca="1" si="7"/>
        <v>0</v>
      </c>
      <c r="J26" s="139">
        <f t="shared" ca="1" si="7"/>
        <v>3.2462662722336895E-2</v>
      </c>
      <c r="K26" s="139">
        <f t="shared" ca="1" si="7"/>
        <v>6.602354714331661E-2</v>
      </c>
      <c r="L26" s="139">
        <f t="shared" ca="1" si="7"/>
        <v>6.7123493699563441E-2</v>
      </c>
      <c r="M26" s="139">
        <f t="shared" ca="1" si="7"/>
        <v>6.77376846878983E-2</v>
      </c>
      <c r="N26" s="139">
        <f t="shared" ca="1" si="7"/>
        <v>6.8839333219514701E-2</v>
      </c>
      <c r="O26" s="139">
        <f t="shared" ca="1" si="7"/>
        <v>6.9940898390196668E-2</v>
      </c>
      <c r="P26" s="139">
        <f t="shared" ca="1" si="7"/>
        <v>7.0545069152693984E-2</v>
      </c>
      <c r="Q26" s="139">
        <f t="shared" ca="1" si="7"/>
        <v>7.1644438922168208E-2</v>
      </c>
      <c r="R26" s="139">
        <f t="shared" ca="1" si="7"/>
        <v>7.2741628974387962E-2</v>
      </c>
      <c r="S26" s="139">
        <f t="shared" ca="1" si="7"/>
        <v>7.3329291893742585E-2</v>
      </c>
      <c r="T26" s="139">
        <f t="shared" ca="1" si="7"/>
        <v>7.4419779565724264E-2</v>
      </c>
      <c r="U26" s="139">
        <f t="shared" ca="1" si="7"/>
        <v>7.5505668934647482E-2</v>
      </c>
      <c r="V26" s="139">
        <f t="shared" ca="1" si="7"/>
        <v>7.606936540871212E-2</v>
      </c>
      <c r="W26" s="139">
        <f t="shared" ca="1" si="7"/>
        <v>7.7143364096844053E-2</v>
      </c>
      <c r="X26" s="139">
        <f t="shared" ca="1" si="7"/>
        <v>7.8209985962385653E-2</v>
      </c>
      <c r="Y26" s="139">
        <f t="shared" ca="1" si="7"/>
        <v>7.8741173173269591E-2</v>
      </c>
      <c r="Z26" s="139">
        <f t="shared" ca="1" si="7"/>
        <v>7.9789955436679633E-2</v>
      </c>
    </row>
    <row r="27" spans="2:26" ht="15.5">
      <c r="B27" s="143" t="s">
        <v>239</v>
      </c>
      <c r="C27" s="141"/>
      <c r="D27" s="141"/>
      <c r="E27" s="141"/>
      <c r="F27" s="144" t="str">
        <f t="shared" ref="F27:Z27" ca="1" si="8">+IFERROR(F26/F20,"")</f>
        <v/>
      </c>
      <c r="G27" s="144" t="str">
        <f t="shared" ca="1" si="8"/>
        <v/>
      </c>
      <c r="H27" s="144" t="str">
        <f t="shared" ca="1" si="8"/>
        <v/>
      </c>
      <c r="I27" s="145" t="str">
        <f t="shared" ca="1" si="8"/>
        <v/>
      </c>
      <c r="J27" s="145">
        <f t="shared" ca="1" si="8"/>
        <v>0.41423373830553073</v>
      </c>
      <c r="K27" s="145">
        <f t="shared" ca="1" si="8"/>
        <v>0.41301334182329047</v>
      </c>
      <c r="L27" s="145">
        <f t="shared" ca="1" si="8"/>
        <v>0.41169255218883533</v>
      </c>
      <c r="M27" s="145">
        <f t="shared" ca="1" si="8"/>
        <v>0.4073440553130287</v>
      </c>
      <c r="N27" s="145">
        <f t="shared" ca="1" si="8"/>
        <v>0.40588184609409095</v>
      </c>
      <c r="O27" s="145">
        <f t="shared" ca="1" si="8"/>
        <v>0.40432024576947295</v>
      </c>
      <c r="P27" s="145">
        <f t="shared" ca="1" si="8"/>
        <v>0.39984497329421753</v>
      </c>
      <c r="Q27" s="145">
        <f t="shared" ca="1" si="8"/>
        <v>0.39814159768067681</v>
      </c>
      <c r="R27" s="145">
        <f t="shared" ca="1" si="8"/>
        <v>0.39633971428154569</v>
      </c>
      <c r="S27" s="145">
        <f t="shared" ca="1" si="8"/>
        <v>0.39173374234846231</v>
      </c>
      <c r="T27" s="145">
        <f t="shared" ca="1" si="8"/>
        <v>0.38978957688031546</v>
      </c>
      <c r="U27" s="145">
        <f t="shared" ca="1" si="8"/>
        <v>0.38774766987629766</v>
      </c>
      <c r="V27" s="145">
        <f t="shared" ca="1" si="8"/>
        <v>0.38300697099127651</v>
      </c>
      <c r="W27" s="145">
        <f t="shared" ca="1" si="8"/>
        <v>0.3808221242037691</v>
      </c>
      <c r="X27" s="145">
        <f t="shared" ca="1" si="8"/>
        <v>0.37854018661781536</v>
      </c>
      <c r="Y27" s="145">
        <f t="shared" ca="1" si="8"/>
        <v>0.37366062542881728</v>
      </c>
      <c r="Z27" s="145">
        <f t="shared" ca="1" si="8"/>
        <v>0.37123493945290542</v>
      </c>
    </row>
    <row r="28" spans="2:26" ht="15.5">
      <c r="B28" s="143" t="s">
        <v>179</v>
      </c>
      <c r="C28" s="141"/>
      <c r="D28" s="141"/>
      <c r="E28" s="141"/>
      <c r="F28" s="142">
        <f ca="1">+F26/Assumptions!$P$128</f>
        <v>0</v>
      </c>
      <c r="G28" s="142">
        <f ca="1">+G26/Assumptions!$P$128</f>
        <v>0</v>
      </c>
      <c r="H28" s="142">
        <f ca="1">+H26/Assumptions!$P$128</f>
        <v>0</v>
      </c>
      <c r="I28" s="142">
        <f ca="1">+I26/Assumptions!$P$128</f>
        <v>0</v>
      </c>
      <c r="J28" s="142">
        <f ca="1">+J26/Assumptions!$P$128</f>
        <v>0.43283550296449197</v>
      </c>
      <c r="K28" s="142">
        <f ca="1">+K26/Assumptions!$P$128</f>
        <v>0.88031396191088818</v>
      </c>
      <c r="L28" s="142">
        <f ca="1">+L26/Assumptions!$P$128</f>
        <v>0.89497991599417925</v>
      </c>
      <c r="M28" s="142">
        <f ca="1">+M26/Assumptions!$P$128</f>
        <v>0.90316912917197734</v>
      </c>
      <c r="N28" s="142">
        <f ca="1">+N26/Assumptions!$P$128</f>
        <v>0.91785777626019605</v>
      </c>
      <c r="O28" s="142">
        <f ca="1">+O26/Assumptions!$P$128</f>
        <v>0.93254531186928891</v>
      </c>
      <c r="P28" s="142">
        <f ca="1">+P26/Assumptions!$P$128</f>
        <v>0.94060092203591983</v>
      </c>
      <c r="Q28" s="142">
        <f ca="1">+Q26/Assumptions!$P$128</f>
        <v>0.95525918562890944</v>
      </c>
      <c r="R28" s="142">
        <f ca="1">+R26/Assumptions!$P$128</f>
        <v>0.96988838632517282</v>
      </c>
      <c r="S28" s="142">
        <f ca="1">+S26/Assumptions!$P$128</f>
        <v>0.97772389191656783</v>
      </c>
      <c r="T28" s="142">
        <f ca="1">+T26/Assumptions!$P$128</f>
        <v>0.99226372754299019</v>
      </c>
      <c r="U28" s="142">
        <f ca="1">+U26/Assumptions!$P$128</f>
        <v>1.0067422524619665</v>
      </c>
      <c r="V28" s="142">
        <f ca="1">+V26/Assumptions!$P$128</f>
        <v>1.0142582054494951</v>
      </c>
      <c r="W28" s="142">
        <f ca="1">+W26/Assumptions!$P$128</f>
        <v>1.0285781879579208</v>
      </c>
      <c r="X28" s="142">
        <f ca="1">+X26/Assumptions!$P$128</f>
        <v>1.0427998128318088</v>
      </c>
      <c r="Y28" s="142">
        <f ca="1">+Y26/Assumptions!$P$128</f>
        <v>1.049882308976928</v>
      </c>
      <c r="Z28" s="142">
        <f ca="1">+Z26/Assumptions!$P$128</f>
        <v>1.0638660724890618</v>
      </c>
    </row>
    <row r="30" spans="2:26" ht="15.5">
      <c r="B30" s="148" t="s">
        <v>245</v>
      </c>
      <c r="C30" s="149"/>
      <c r="D30" s="149"/>
      <c r="E30" s="149"/>
      <c r="F30" s="150">
        <f>+Assumptions!$H$22</f>
        <v>46022</v>
      </c>
      <c r="G30" s="150">
        <f>+EOMONTH(F30,12)</f>
        <v>46387</v>
      </c>
      <c r="H30" s="150">
        <f t="shared" ref="H30:Z30" si="9">+EOMONTH(G30,12)</f>
        <v>46752</v>
      </c>
      <c r="I30" s="150">
        <f t="shared" si="9"/>
        <v>47118</v>
      </c>
      <c r="J30" s="150">
        <f t="shared" si="9"/>
        <v>47483</v>
      </c>
      <c r="K30" s="150">
        <f t="shared" si="9"/>
        <v>47848</v>
      </c>
      <c r="L30" s="150">
        <f t="shared" si="9"/>
        <v>48213</v>
      </c>
      <c r="M30" s="150">
        <f t="shared" si="9"/>
        <v>48579</v>
      </c>
      <c r="N30" s="150">
        <f t="shared" si="9"/>
        <v>48944</v>
      </c>
      <c r="O30" s="150">
        <f t="shared" si="9"/>
        <v>49309</v>
      </c>
      <c r="P30" s="150">
        <f t="shared" si="9"/>
        <v>49674</v>
      </c>
      <c r="Q30" s="150">
        <f t="shared" si="9"/>
        <v>50040</v>
      </c>
      <c r="R30" s="150">
        <f t="shared" si="9"/>
        <v>50405</v>
      </c>
      <c r="S30" s="150">
        <f t="shared" si="9"/>
        <v>50770</v>
      </c>
      <c r="T30" s="150">
        <f t="shared" si="9"/>
        <v>51135</v>
      </c>
      <c r="U30" s="150">
        <f t="shared" si="9"/>
        <v>51501</v>
      </c>
      <c r="V30" s="150">
        <f t="shared" si="9"/>
        <v>51866</v>
      </c>
      <c r="W30" s="150">
        <f t="shared" si="9"/>
        <v>52231</v>
      </c>
      <c r="X30" s="150">
        <f t="shared" si="9"/>
        <v>52596</v>
      </c>
      <c r="Y30" s="150">
        <f t="shared" si="9"/>
        <v>52962</v>
      </c>
      <c r="Z30" s="150">
        <f t="shared" si="9"/>
        <v>53327</v>
      </c>
    </row>
    <row r="31" spans="2:26">
      <c r="B31" s="33" t="s">
        <v>690</v>
      </c>
      <c r="C31" s="33"/>
      <c r="D31" s="40"/>
      <c r="E31" s="40"/>
      <c r="F31" s="42">
        <f>+IF(AND(F30&gt;=Assumptions!$H$26,F30&lt;Assumptions!$H$28),Assumptions!$H$83/ROUNDUP((Assumptions!$H$27/12),0),0)</f>
        <v>0</v>
      </c>
      <c r="G31" s="42">
        <f>+IF(AND(G30&gt;=Assumptions!$H$26,G30&lt;Assumptions!$H$28),Assumptions!$H$83/ROUNDUP((Assumptions!$H$27/12),0),0)</f>
        <v>0</v>
      </c>
      <c r="H31" s="42">
        <f>+IF(AND(H30&gt;=Assumptions!$H$26,H30&lt;Assumptions!$H$28),Assumptions!$H$83/ROUNDUP((Assumptions!$H$27/12),0),0)</f>
        <v>0</v>
      </c>
      <c r="I31" s="42">
        <f>+IF(AND(I30&gt;=Assumptions!$H$26,I30&lt;Assumptions!$H$28),Assumptions!$H$83/ROUNDUP((Assumptions!$H$27/12),0),0)</f>
        <v>0</v>
      </c>
      <c r="J31" s="42">
        <f>+IF(AND(J30&gt;=Assumptions!$H$26,J30&lt;Assumptions!$H$28),Assumptions!$H$83/ROUNDUP((Assumptions!$H$27/12),0),0)</f>
        <v>199100</v>
      </c>
      <c r="K31" s="42">
        <f>+IF(AND(K30&gt;=Assumptions!$H$26,K30&lt;Assumptions!$H$28),Assumptions!$H$83/ROUNDUP((Assumptions!$H$27/12),0),0)</f>
        <v>199100</v>
      </c>
      <c r="L31" s="42">
        <f>+IF(AND(L30&gt;=Assumptions!$H$26,L30&lt;Assumptions!$H$28),Assumptions!$H$83/ROUNDUP((Assumptions!$H$27/12),0),0)</f>
        <v>0</v>
      </c>
      <c r="M31" s="42">
        <f>+IF(AND(M30&gt;=Assumptions!$H$26,M30&lt;Assumptions!$H$28),Assumptions!$H$83/ROUNDUP((Assumptions!$H$27/12),0),0)</f>
        <v>0</v>
      </c>
      <c r="N31" s="42">
        <f>+IF(AND(N30&gt;=Assumptions!$H$26,N30&lt;Assumptions!$H$28),Assumptions!$H$83/ROUNDUP((Assumptions!$H$27/12),0),0)</f>
        <v>0</v>
      </c>
      <c r="O31" s="42">
        <f>+IF(AND(O30&gt;=Assumptions!$H$26,O30&lt;Assumptions!$H$28),Assumptions!$H$83/ROUNDUP((Assumptions!$H$27/12),0),0)</f>
        <v>0</v>
      </c>
      <c r="P31" s="42">
        <f>+IF(AND(P30&gt;=Assumptions!$H$26,P30&lt;Assumptions!$H$28),Assumptions!$H$83/ROUNDUP((Assumptions!$H$27/12),0),0)</f>
        <v>0</v>
      </c>
      <c r="Q31" s="42">
        <f>+IF(AND(Q30&gt;=Assumptions!$H$26,Q30&lt;Assumptions!$H$28),Assumptions!$H$83/ROUNDUP((Assumptions!$H$27/12),0),0)</f>
        <v>0</v>
      </c>
      <c r="R31" s="42">
        <f>+IF(AND(R30&gt;=Assumptions!$H$26,R30&lt;Assumptions!$H$28),Assumptions!$H$83/ROUNDUP((Assumptions!$H$27/12),0),0)</f>
        <v>0</v>
      </c>
      <c r="S31" s="42">
        <f>+IF(AND(S30&gt;=Assumptions!$H$26,S30&lt;Assumptions!$H$28),Assumptions!$H$83/ROUNDUP((Assumptions!$H$27/12),0),0)</f>
        <v>0</v>
      </c>
      <c r="T31" s="42">
        <f>+IF(AND(T30&gt;=Assumptions!$H$26,T30&lt;Assumptions!$H$28),Assumptions!$H$83/ROUNDUP((Assumptions!$H$27/12),0),0)</f>
        <v>0</v>
      </c>
      <c r="U31" s="42">
        <f>+IF(AND(U30&gt;=Assumptions!$H$26,U30&lt;Assumptions!$H$28),Assumptions!$H$83/ROUNDUP((Assumptions!$H$27/12),0),0)</f>
        <v>0</v>
      </c>
      <c r="V31" s="42">
        <f>+IF(AND(V30&gt;=Assumptions!$H$26,V30&lt;Assumptions!$H$28),Assumptions!$H$83/ROUNDUP((Assumptions!$H$27/12),0),0)</f>
        <v>0</v>
      </c>
      <c r="W31" s="42">
        <f>+IF(AND(W30&gt;=Assumptions!$H$26,W30&lt;Assumptions!$H$28),Assumptions!$H$83/ROUNDUP((Assumptions!$H$27/12),0),0)</f>
        <v>0</v>
      </c>
      <c r="X31" s="42">
        <f>+IF(AND(X30&gt;=Assumptions!$H$26,X30&lt;Assumptions!$H$28),Assumptions!$H$83/ROUNDUP((Assumptions!$H$27/12),0),0)</f>
        <v>0</v>
      </c>
      <c r="Y31" s="42">
        <f>+IF(AND(Y30&gt;=Assumptions!$H$26,Y30&lt;Assumptions!$H$28),Assumptions!$H$83/ROUNDUP((Assumptions!$H$27/12),0),0)</f>
        <v>0</v>
      </c>
      <c r="Z31" s="42">
        <f>+IF(AND(Z30&gt;=Assumptions!$H$26,Z30&lt;Assumptions!$H$28),Assumptions!$H$83/ROUNDUP((Assumptions!$H$27/12),0),0)</f>
        <v>0</v>
      </c>
    </row>
    <row r="32" spans="2:26">
      <c r="B32" s="33" t="s">
        <v>231</v>
      </c>
      <c r="C32" s="33"/>
      <c r="D32" s="42">
        <v>0</v>
      </c>
      <c r="E32" s="42"/>
      <c r="F32" s="42">
        <f>+D32+F31</f>
        <v>0</v>
      </c>
      <c r="G32" s="42">
        <f t="shared" ref="G32:Z32" si="10">+F32+G31</f>
        <v>0</v>
      </c>
      <c r="H32" s="42">
        <f t="shared" si="10"/>
        <v>0</v>
      </c>
      <c r="I32" s="42">
        <f t="shared" si="10"/>
        <v>0</v>
      </c>
      <c r="J32" s="42">
        <f t="shared" si="10"/>
        <v>199100</v>
      </c>
      <c r="K32" s="42">
        <f t="shared" si="10"/>
        <v>398200</v>
      </c>
      <c r="L32" s="42">
        <f t="shared" si="10"/>
        <v>398200</v>
      </c>
      <c r="M32" s="42">
        <f t="shared" si="10"/>
        <v>398200</v>
      </c>
      <c r="N32" s="42">
        <f t="shared" si="10"/>
        <v>398200</v>
      </c>
      <c r="O32" s="42">
        <f t="shared" si="10"/>
        <v>398200</v>
      </c>
      <c r="P32" s="42">
        <f t="shared" si="10"/>
        <v>398200</v>
      </c>
      <c r="Q32" s="42">
        <f t="shared" si="10"/>
        <v>398200</v>
      </c>
      <c r="R32" s="42">
        <f t="shared" si="10"/>
        <v>398200</v>
      </c>
      <c r="S32" s="42">
        <f t="shared" si="10"/>
        <v>398200</v>
      </c>
      <c r="T32" s="42">
        <f t="shared" si="10"/>
        <v>398200</v>
      </c>
      <c r="U32" s="42">
        <f t="shared" si="10"/>
        <v>398200</v>
      </c>
      <c r="V32" s="42">
        <f t="shared" si="10"/>
        <v>398200</v>
      </c>
      <c r="W32" s="42">
        <f t="shared" si="10"/>
        <v>398200</v>
      </c>
      <c r="X32" s="42">
        <f t="shared" si="10"/>
        <v>398200</v>
      </c>
      <c r="Y32" s="42">
        <f t="shared" si="10"/>
        <v>398200</v>
      </c>
      <c r="Z32" s="42">
        <f t="shared" si="10"/>
        <v>398200</v>
      </c>
    </row>
    <row r="33" spans="2:26">
      <c r="B33" s="33" t="s">
        <v>466</v>
      </c>
      <c r="C33" s="33"/>
      <c r="D33" s="42"/>
      <c r="E33" s="42"/>
      <c r="F33" s="42">
        <f>+F34-E34</f>
        <v>0</v>
      </c>
      <c r="G33" s="42">
        <f t="shared" ref="G33:Z33" si="11">+G34-F34</f>
        <v>0</v>
      </c>
      <c r="H33" s="42">
        <f t="shared" si="11"/>
        <v>0</v>
      </c>
      <c r="I33" s="42">
        <f t="shared" si="11"/>
        <v>0</v>
      </c>
      <c r="J33" s="42">
        <f t="shared" si="11"/>
        <v>249.5</v>
      </c>
      <c r="K33" s="42">
        <f t="shared" si="11"/>
        <v>249.5</v>
      </c>
      <c r="L33" s="42">
        <f t="shared" si="11"/>
        <v>0</v>
      </c>
      <c r="M33" s="42">
        <f t="shared" si="11"/>
        <v>0</v>
      </c>
      <c r="N33" s="42">
        <f t="shared" si="11"/>
        <v>0</v>
      </c>
      <c r="O33" s="42">
        <f t="shared" si="11"/>
        <v>0</v>
      </c>
      <c r="P33" s="42">
        <f t="shared" si="11"/>
        <v>0</v>
      </c>
      <c r="Q33" s="42">
        <f t="shared" si="11"/>
        <v>0</v>
      </c>
      <c r="R33" s="42">
        <f t="shared" si="11"/>
        <v>0</v>
      </c>
      <c r="S33" s="42">
        <f t="shared" si="11"/>
        <v>0</v>
      </c>
      <c r="T33" s="42">
        <f t="shared" si="11"/>
        <v>0</v>
      </c>
      <c r="U33" s="42">
        <f t="shared" si="11"/>
        <v>0</v>
      </c>
      <c r="V33" s="42">
        <f t="shared" si="11"/>
        <v>0</v>
      </c>
      <c r="W33" s="42">
        <f t="shared" si="11"/>
        <v>0</v>
      </c>
      <c r="X33" s="42">
        <f t="shared" si="11"/>
        <v>0</v>
      </c>
      <c r="Y33" s="42">
        <f t="shared" si="11"/>
        <v>0</v>
      </c>
      <c r="Z33" s="42">
        <f t="shared" si="11"/>
        <v>0</v>
      </c>
    </row>
    <row r="34" spans="2:26">
      <c r="B34" s="33" t="s">
        <v>232</v>
      </c>
      <c r="C34" s="33"/>
      <c r="D34" s="42"/>
      <c r="E34" s="42"/>
      <c r="F34" s="42">
        <f>+F35*Assumptions!$H$84</f>
        <v>0</v>
      </c>
      <c r="G34" s="42">
        <f>+G35*Assumptions!$H$84</f>
        <v>0</v>
      </c>
      <c r="H34" s="42">
        <f>+H35*Assumptions!$H$84</f>
        <v>0</v>
      </c>
      <c r="I34" s="42">
        <f>+I35*Assumptions!$H$84</f>
        <v>0</v>
      </c>
      <c r="J34" s="42">
        <f>+J35*Assumptions!$H$84</f>
        <v>249.5</v>
      </c>
      <c r="K34" s="42">
        <f>+K35*Assumptions!$H$84</f>
        <v>499</v>
      </c>
      <c r="L34" s="42">
        <f>+L35*Assumptions!$H$84</f>
        <v>499</v>
      </c>
      <c r="M34" s="42">
        <f>+M35*Assumptions!$H$84</f>
        <v>499</v>
      </c>
      <c r="N34" s="42">
        <f>+N35*Assumptions!$H$84</f>
        <v>499</v>
      </c>
      <c r="O34" s="42">
        <f>+O35*Assumptions!$H$84</f>
        <v>499</v>
      </c>
      <c r="P34" s="42">
        <f>+P35*Assumptions!$H$84</f>
        <v>499</v>
      </c>
      <c r="Q34" s="42">
        <f>+Q35*Assumptions!$H$84</f>
        <v>499</v>
      </c>
      <c r="R34" s="42">
        <f>+R35*Assumptions!$H$84</f>
        <v>499</v>
      </c>
      <c r="S34" s="42">
        <f>+S35*Assumptions!$H$84</f>
        <v>499</v>
      </c>
      <c r="T34" s="42">
        <f>+T35*Assumptions!$H$84</f>
        <v>499</v>
      </c>
      <c r="U34" s="42">
        <f>+U35*Assumptions!$H$84</f>
        <v>499</v>
      </c>
      <c r="V34" s="42">
        <f>+V35*Assumptions!$H$84</f>
        <v>499</v>
      </c>
      <c r="W34" s="42">
        <f>+W35*Assumptions!$H$84</f>
        <v>499</v>
      </c>
      <c r="X34" s="42">
        <f>+X35*Assumptions!$H$84</f>
        <v>499</v>
      </c>
      <c r="Y34" s="42">
        <f>+Y35*Assumptions!$H$84</f>
        <v>499</v>
      </c>
      <c r="Z34" s="42">
        <f>+Z35*Assumptions!$H$84</f>
        <v>499</v>
      </c>
    </row>
    <row r="35" spans="2:26">
      <c r="B35" s="33" t="s">
        <v>285</v>
      </c>
      <c r="C35" s="33"/>
      <c r="D35" s="42"/>
      <c r="E35" s="42"/>
      <c r="F35" s="108">
        <f>+F32/SUM($F31:$Z31)</f>
        <v>0</v>
      </c>
      <c r="G35" s="108">
        <f t="shared" ref="G35:Z35" si="12">+G32/SUM($F31:$Z31)</f>
        <v>0</v>
      </c>
      <c r="H35" s="108">
        <f t="shared" si="12"/>
        <v>0</v>
      </c>
      <c r="I35" s="108">
        <f t="shared" si="12"/>
        <v>0</v>
      </c>
      <c r="J35" s="108">
        <f t="shared" si="12"/>
        <v>0.5</v>
      </c>
      <c r="K35" s="108">
        <f t="shared" si="12"/>
        <v>1</v>
      </c>
      <c r="L35" s="108">
        <f t="shared" si="12"/>
        <v>1</v>
      </c>
      <c r="M35" s="108">
        <f t="shared" si="12"/>
        <v>1</v>
      </c>
      <c r="N35" s="108">
        <f t="shared" si="12"/>
        <v>1</v>
      </c>
      <c r="O35" s="108">
        <f t="shared" si="12"/>
        <v>1</v>
      </c>
      <c r="P35" s="108">
        <f t="shared" si="12"/>
        <v>1</v>
      </c>
      <c r="Q35" s="108">
        <f t="shared" si="12"/>
        <v>1</v>
      </c>
      <c r="R35" s="108">
        <f t="shared" si="12"/>
        <v>1</v>
      </c>
      <c r="S35" s="108">
        <f t="shared" si="12"/>
        <v>1</v>
      </c>
      <c r="T35" s="108">
        <f t="shared" si="12"/>
        <v>1</v>
      </c>
      <c r="U35" s="108">
        <f t="shared" si="12"/>
        <v>1</v>
      </c>
      <c r="V35" s="108">
        <f t="shared" si="12"/>
        <v>1</v>
      </c>
      <c r="W35" s="108">
        <f t="shared" si="12"/>
        <v>1</v>
      </c>
      <c r="X35" s="108">
        <f t="shared" si="12"/>
        <v>1</v>
      </c>
      <c r="Y35" s="108">
        <f t="shared" si="12"/>
        <v>1</v>
      </c>
      <c r="Z35" s="108">
        <f t="shared" si="12"/>
        <v>1</v>
      </c>
    </row>
    <row r="36" spans="2:26">
      <c r="B36" s="33"/>
      <c r="C36" s="33"/>
      <c r="D36" s="40"/>
      <c r="E36" s="40"/>
      <c r="F36" s="34"/>
      <c r="G36" s="34"/>
      <c r="H36" s="34"/>
      <c r="I36" s="34"/>
      <c r="J36" s="34"/>
      <c r="K36" s="34"/>
      <c r="L36" s="34"/>
      <c r="M36" s="34"/>
      <c r="N36" s="34"/>
      <c r="O36" s="34"/>
      <c r="P36" s="34"/>
      <c r="Q36" s="34"/>
      <c r="R36" s="34"/>
      <c r="S36" s="34"/>
      <c r="T36" s="34"/>
      <c r="U36" s="34"/>
      <c r="V36" s="34"/>
      <c r="W36" s="34"/>
      <c r="X36" s="34"/>
      <c r="Y36" s="34"/>
      <c r="Z36" s="34"/>
    </row>
    <row r="37" spans="2:26">
      <c r="B37" s="33" t="s">
        <v>236</v>
      </c>
      <c r="C37" s="33"/>
      <c r="D37" s="42"/>
      <c r="E37" s="42"/>
      <c r="F37" s="108">
        <v>1</v>
      </c>
      <c r="G37" s="108">
        <f>+F37*(1+Assumptions!$P$64)</f>
        <v>1.03</v>
      </c>
      <c r="H37" s="108">
        <f>+G37*(1+Assumptions!$P$64)</f>
        <v>1.0609</v>
      </c>
      <c r="I37" s="108">
        <f>+H37*(1+Assumptions!$P$64)</f>
        <v>1.092727</v>
      </c>
      <c r="J37" s="108">
        <f>+I37*(1+Assumptions!$P$64)</f>
        <v>1.1255088100000001</v>
      </c>
      <c r="K37" s="108">
        <f>+J37*(1+Assumptions!$P$64)</f>
        <v>1.1592740743000001</v>
      </c>
      <c r="L37" s="108">
        <f>+K37*(1+Assumptions!$P$64)</f>
        <v>1.1940522965290001</v>
      </c>
      <c r="M37" s="108">
        <f>+L37*(1+Assumptions!$P$64)</f>
        <v>1.2298738654248702</v>
      </c>
      <c r="N37" s="108">
        <f>+M37*(1+Assumptions!$P$64)</f>
        <v>1.2667700813876164</v>
      </c>
      <c r="O37" s="108">
        <f>+N37*(1+Assumptions!$P$64)</f>
        <v>1.3047731838292449</v>
      </c>
      <c r="P37" s="108">
        <f>+O37*(1+Assumptions!$P$64)</f>
        <v>1.3439163793441222</v>
      </c>
      <c r="Q37" s="108">
        <f>+P37*(1+Assumptions!$P$64)</f>
        <v>1.3842338707244459</v>
      </c>
      <c r="R37" s="108">
        <f>+Q37*(1+Assumptions!$P$64)</f>
        <v>1.4257608868461793</v>
      </c>
      <c r="S37" s="108">
        <f>+R37*(1+Assumptions!$P$64)</f>
        <v>1.4685337134515648</v>
      </c>
      <c r="T37" s="108">
        <f>+S37*(1+Assumptions!$P$64)</f>
        <v>1.5125897248551119</v>
      </c>
      <c r="U37" s="108">
        <f>+T37*(1+Assumptions!$P$64)</f>
        <v>1.5579674166007653</v>
      </c>
      <c r="V37" s="108">
        <f>+U37*(1+Assumptions!$P$64)</f>
        <v>1.6047064390987884</v>
      </c>
      <c r="W37" s="108">
        <f>+V37*(1+Assumptions!$P$64)</f>
        <v>1.652847632271752</v>
      </c>
      <c r="X37" s="108">
        <f>+W37*(1+Assumptions!$P$64)</f>
        <v>1.7024330612399046</v>
      </c>
      <c r="Y37" s="108">
        <f>+X37*(1+Assumptions!$P$64)</f>
        <v>1.7535060530771018</v>
      </c>
      <c r="Z37" s="108">
        <f>+Y37*(1+Assumptions!$P$64)</f>
        <v>1.806111234669415</v>
      </c>
    </row>
    <row r="38" spans="2:26">
      <c r="B38" s="33" t="s">
        <v>237</v>
      </c>
      <c r="C38" s="33"/>
      <c r="D38" s="42"/>
      <c r="E38" s="42"/>
      <c r="F38" s="108">
        <v>1</v>
      </c>
      <c r="G38" s="108">
        <f>+F38*(1+Assumptions!$P$77)</f>
        <v>1.03</v>
      </c>
      <c r="H38" s="108">
        <f>+G38*(1+Assumptions!$P$77)</f>
        <v>1.0609</v>
      </c>
      <c r="I38" s="108">
        <f>+H38*(1+Assumptions!$P$77)</f>
        <v>1.092727</v>
      </c>
      <c r="J38" s="108">
        <f>+I38*(1+Assumptions!$P$77)</f>
        <v>1.1255088100000001</v>
      </c>
      <c r="K38" s="108">
        <f>+J38*(1+Assumptions!$P$77)</f>
        <v>1.1592740743000001</v>
      </c>
      <c r="L38" s="108">
        <f>+K38*(1+Assumptions!$P$77)</f>
        <v>1.1940522965290001</v>
      </c>
      <c r="M38" s="108">
        <f>+L38*(1+Assumptions!$P$77)</f>
        <v>1.2298738654248702</v>
      </c>
      <c r="N38" s="108">
        <f>+M38*(1+Assumptions!$P$77)</f>
        <v>1.2667700813876164</v>
      </c>
      <c r="O38" s="108">
        <f>+N38*(1+Assumptions!$P$77)</f>
        <v>1.3047731838292449</v>
      </c>
      <c r="P38" s="108">
        <f>+O38*(1+Assumptions!$P$77)</f>
        <v>1.3439163793441222</v>
      </c>
      <c r="Q38" s="108">
        <f>+P38*(1+Assumptions!$P$77)</f>
        <v>1.3842338707244459</v>
      </c>
      <c r="R38" s="108">
        <f>+Q38*(1+Assumptions!$P$77)</f>
        <v>1.4257608868461793</v>
      </c>
      <c r="S38" s="108">
        <f>+R38*(1+Assumptions!$P$77)</f>
        <v>1.4685337134515648</v>
      </c>
      <c r="T38" s="108">
        <f>+S38*(1+Assumptions!$P$77)</f>
        <v>1.5125897248551119</v>
      </c>
      <c r="U38" s="108">
        <f>+T38*(1+Assumptions!$P$77)</f>
        <v>1.5579674166007653</v>
      </c>
      <c r="V38" s="108">
        <f>+U38*(1+Assumptions!$P$77)</f>
        <v>1.6047064390987884</v>
      </c>
      <c r="W38" s="108">
        <f>+V38*(1+Assumptions!$P$77)</f>
        <v>1.652847632271752</v>
      </c>
      <c r="X38" s="108">
        <f>+W38*(1+Assumptions!$P$77)</f>
        <v>1.7024330612399046</v>
      </c>
      <c r="Y38" s="108">
        <f>+X38*(1+Assumptions!$P$77)</f>
        <v>1.7535060530771018</v>
      </c>
      <c r="Z38" s="108">
        <f>+Y38*(1+Assumptions!$P$77)</f>
        <v>1.806111234669415</v>
      </c>
    </row>
    <row r="39" spans="2:26">
      <c r="B39" s="33"/>
      <c r="C39" s="33"/>
      <c r="D39" s="40"/>
      <c r="E39" s="40"/>
      <c r="F39" s="34"/>
      <c r="G39" s="34"/>
      <c r="H39" s="34"/>
      <c r="I39" s="34"/>
      <c r="J39" s="34"/>
      <c r="K39" s="34"/>
      <c r="L39" s="34"/>
      <c r="M39" s="34"/>
      <c r="N39" s="34"/>
      <c r="O39" s="34"/>
      <c r="P39" s="34"/>
      <c r="Q39" s="34"/>
      <c r="R39" s="34"/>
      <c r="S39" s="34"/>
      <c r="T39" s="34"/>
      <c r="U39" s="34"/>
      <c r="V39" s="34"/>
      <c r="W39" s="34"/>
      <c r="X39" s="34"/>
      <c r="Y39" s="34"/>
      <c r="Z39" s="34"/>
    </row>
    <row r="40" spans="2:26">
      <c r="B40" s="33" t="s">
        <v>228</v>
      </c>
      <c r="C40" s="33"/>
      <c r="D40" s="40"/>
      <c r="E40" s="40"/>
      <c r="F40" s="34">
        <f>+F35*Assumptions!$H$82*F37</f>
        <v>0</v>
      </c>
      <c r="G40" s="34">
        <f>+G35*Assumptions!$H$82*G37</f>
        <v>0</v>
      </c>
      <c r="H40" s="34">
        <f>+H35*Assumptions!$H$82*H37</f>
        <v>0</v>
      </c>
      <c r="I40" s="34">
        <f>+I35*Assumptions!$H$82*I37</f>
        <v>0</v>
      </c>
      <c r="J40" s="34">
        <f>+J35*Assumptions!$H$82*J37</f>
        <v>9634783.2189706843</v>
      </c>
      <c r="K40" s="34">
        <f>+K35*Assumptions!$H$82*K37</f>
        <v>19847653.431079611</v>
      </c>
      <c r="L40" s="34">
        <f>+L35*Assumptions!$H$82*L37</f>
        <v>20443083.034011997</v>
      </c>
      <c r="M40" s="34">
        <f>+M35*Assumptions!$H$82*M37</f>
        <v>21056375.52503236</v>
      </c>
      <c r="N40" s="34">
        <f>+N35*Assumptions!$H$82*N37</f>
        <v>21688066.790783331</v>
      </c>
      <c r="O40" s="34">
        <f>+O35*Assumptions!$H$82*O37</f>
        <v>22338708.794506833</v>
      </c>
      <c r="P40" s="34">
        <f>+P35*Assumptions!$H$82*P37</f>
        <v>23008870.058342036</v>
      </c>
      <c r="Q40" s="34">
        <f>+Q35*Assumptions!$H$82*Q37</f>
        <v>23699136.160092298</v>
      </c>
      <c r="R40" s="34">
        <f>+R35*Assumptions!$H$82*R37</f>
        <v>24410110.244895067</v>
      </c>
      <c r="S40" s="34">
        <f>+S35*Assumptions!$H$82*S37</f>
        <v>25142413.552241921</v>
      </c>
      <c r="T40" s="34">
        <f>+T35*Assumptions!$H$82*T37</f>
        <v>25896685.958809182</v>
      </c>
      <c r="U40" s="34">
        <f>+U35*Assumptions!$H$82*U37</f>
        <v>26673586.53757346</v>
      </c>
      <c r="V40" s="34">
        <f>+V35*Assumptions!$H$82*V37</f>
        <v>27473794.133700665</v>
      </c>
      <c r="W40" s="34">
        <f>+W35*Assumptions!$H$82*W37</f>
        <v>28298007.957711685</v>
      </c>
      <c r="X40" s="34">
        <f>+X35*Assumptions!$H$82*X37</f>
        <v>29146948.196443032</v>
      </c>
      <c r="Y40" s="34">
        <f>+Y35*Assumptions!$H$82*Y37</f>
        <v>30021356.642336328</v>
      </c>
      <c r="Z40" s="34">
        <f>+Z35*Assumptions!$H$82*Z37</f>
        <v>30921997.34160642</v>
      </c>
    </row>
    <row r="41" spans="2:26">
      <c r="B41" s="33" t="s">
        <v>229</v>
      </c>
      <c r="C41" s="33"/>
      <c r="D41" s="40"/>
      <c r="E41" s="40"/>
      <c r="F41" s="42">
        <f>-F40*Assumptions!$P$55</f>
        <v>0</v>
      </c>
      <c r="G41" s="42">
        <f>-G40*Assumptions!$P$55</f>
        <v>0</v>
      </c>
      <c r="H41" s="42">
        <f>-H40*Assumptions!$P$55</f>
        <v>0</v>
      </c>
      <c r="I41" s="42">
        <f>-I40*Assumptions!$P$55</f>
        <v>0</v>
      </c>
      <c r="J41" s="42">
        <f>-J40*Assumptions!$P$55</f>
        <v>-1348869.6506558959</v>
      </c>
      <c r="K41" s="42">
        <f>-K40*Assumptions!$P$55</f>
        <v>-2778671.4803511458</v>
      </c>
      <c r="L41" s="42">
        <f>-L40*Assumptions!$P$55</f>
        <v>-2862031.6247616797</v>
      </c>
      <c r="M41" s="42">
        <f>-M40*Assumptions!$P$55</f>
        <v>-2947892.5735045308</v>
      </c>
      <c r="N41" s="42">
        <f>-N40*Assumptions!$P$55</f>
        <v>-3036329.3507096665</v>
      </c>
      <c r="O41" s="42">
        <f>-O40*Assumptions!$P$55</f>
        <v>-3127419.231230957</v>
      </c>
      <c r="P41" s="42">
        <f>-P40*Assumptions!$P$55</f>
        <v>-3221241.8081678855</v>
      </c>
      <c r="Q41" s="42">
        <f>-Q40*Assumptions!$P$55</f>
        <v>-3317879.0624129218</v>
      </c>
      <c r="R41" s="42">
        <f>-R40*Assumptions!$P$55</f>
        <v>-3417415.4342853096</v>
      </c>
      <c r="S41" s="42">
        <f>-S40*Assumptions!$P$55</f>
        <v>-3519937.8973138696</v>
      </c>
      <c r="T41" s="42">
        <f>-T40*Assumptions!$P$55</f>
        <v>-3625536.034233286</v>
      </c>
      <c r="U41" s="42">
        <f>-U40*Assumptions!$P$55</f>
        <v>-3734302.1152602849</v>
      </c>
      <c r="V41" s="42">
        <f>-V40*Assumptions!$P$55</f>
        <v>-3846331.1787180933</v>
      </c>
      <c r="W41" s="42">
        <f>-W40*Assumptions!$P$55</f>
        <v>-3961721.1140796365</v>
      </c>
      <c r="X41" s="42">
        <f>-X40*Assumptions!$P$55</f>
        <v>-4080572.7475020248</v>
      </c>
      <c r="Y41" s="42">
        <f>-Y40*Assumptions!$P$55</f>
        <v>-4202989.9299270865</v>
      </c>
      <c r="Z41" s="42">
        <f>-Z40*Assumptions!$P$55</f>
        <v>-4329079.6278248988</v>
      </c>
    </row>
    <row r="42" spans="2:26">
      <c r="B42" s="33" t="s">
        <v>326</v>
      </c>
      <c r="C42" s="33"/>
      <c r="D42" s="40"/>
      <c r="E42" s="40"/>
      <c r="F42" s="151">
        <f>+F34*Assumptions!$H$90*(1-Assumptions!$P$55)*12</f>
        <v>0</v>
      </c>
      <c r="G42" s="151">
        <f>+G34*Assumptions!$H$90*(1-Assumptions!$P$55)*12</f>
        <v>0</v>
      </c>
      <c r="H42" s="151">
        <f>+H34*Assumptions!$H$90*(1-Assumptions!$P$55)*12</f>
        <v>0</v>
      </c>
      <c r="I42" s="151">
        <f>+I34*Assumptions!$H$90*(1-Assumptions!$P$55)*12</f>
        <v>0</v>
      </c>
      <c r="J42" s="151">
        <f>+J34*Assumptions!$H$90*(1-Assumptions!$P$55)*12</f>
        <v>141616.20000000001</v>
      </c>
      <c r="K42" s="151">
        <f>+K34*Assumptions!$H$90*(1-Assumptions!$P$55)*12</f>
        <v>283232.40000000002</v>
      </c>
      <c r="L42" s="151">
        <f>+L34*Assumptions!$H$90*(1-Assumptions!$P$55)*12</f>
        <v>283232.40000000002</v>
      </c>
      <c r="M42" s="151">
        <f>+M34*Assumptions!$H$90*(1-Assumptions!$P$55)*12</f>
        <v>283232.40000000002</v>
      </c>
      <c r="N42" s="151">
        <f>+N34*Assumptions!$H$90*(1-Assumptions!$P$55)*12</f>
        <v>283232.40000000002</v>
      </c>
      <c r="O42" s="151">
        <f>+O34*Assumptions!$H$90*(1-Assumptions!$P$55)*12</f>
        <v>283232.40000000002</v>
      </c>
      <c r="P42" s="151">
        <f>+P34*Assumptions!$H$90*(1-Assumptions!$P$55)*12</f>
        <v>283232.40000000002</v>
      </c>
      <c r="Q42" s="151">
        <f>+Q34*Assumptions!$H$90*(1-Assumptions!$P$55)*12</f>
        <v>283232.40000000002</v>
      </c>
      <c r="R42" s="151">
        <f>+R34*Assumptions!$H$90*(1-Assumptions!$P$55)*12</f>
        <v>283232.40000000002</v>
      </c>
      <c r="S42" s="151">
        <f>+S34*Assumptions!$H$90*(1-Assumptions!$P$55)*12</f>
        <v>283232.40000000002</v>
      </c>
      <c r="T42" s="151">
        <f>+T34*Assumptions!$H$90*(1-Assumptions!$P$55)*12</f>
        <v>283232.40000000002</v>
      </c>
      <c r="U42" s="151">
        <f>+U34*Assumptions!$H$90*(1-Assumptions!$P$55)*12</f>
        <v>283232.40000000002</v>
      </c>
      <c r="V42" s="151">
        <f>+V34*Assumptions!$H$90*(1-Assumptions!$P$55)*12</f>
        <v>283232.40000000002</v>
      </c>
      <c r="W42" s="151">
        <f>+W34*Assumptions!$H$90*(1-Assumptions!$P$55)*12</f>
        <v>283232.40000000002</v>
      </c>
      <c r="X42" s="151">
        <f>+X34*Assumptions!$H$90*(1-Assumptions!$P$55)*12</f>
        <v>283232.40000000002</v>
      </c>
      <c r="Y42" s="151">
        <f>+Y34*Assumptions!$H$90*(1-Assumptions!$P$55)*12</f>
        <v>283232.40000000002</v>
      </c>
      <c r="Z42" s="151">
        <f>+Z34*Assumptions!$H$90*(1-Assumptions!$P$55)*12</f>
        <v>283232.40000000002</v>
      </c>
    </row>
    <row r="43" spans="2:26">
      <c r="B43" s="137" t="s">
        <v>238</v>
      </c>
      <c r="C43" s="137"/>
      <c r="D43" s="137"/>
      <c r="E43" s="137"/>
      <c r="F43" s="129">
        <f t="shared" ref="F43:Z43" si="13">+SUM(F40:F42)</f>
        <v>0</v>
      </c>
      <c r="G43" s="129">
        <f t="shared" si="13"/>
        <v>0</v>
      </c>
      <c r="H43" s="129">
        <f t="shared" si="13"/>
        <v>0</v>
      </c>
      <c r="I43" s="129">
        <f t="shared" si="13"/>
        <v>0</v>
      </c>
      <c r="J43" s="129">
        <f t="shared" si="13"/>
        <v>8427529.7683147881</v>
      </c>
      <c r="K43" s="129">
        <f t="shared" si="13"/>
        <v>17352214.350728463</v>
      </c>
      <c r="L43" s="129">
        <f t="shared" si="13"/>
        <v>17864283.809250318</v>
      </c>
      <c r="M43" s="129">
        <f t="shared" si="13"/>
        <v>18391715.351527829</v>
      </c>
      <c r="N43" s="129">
        <f t="shared" si="13"/>
        <v>18934969.840073664</v>
      </c>
      <c r="O43" s="129">
        <f t="shared" si="13"/>
        <v>19494521.963275876</v>
      </c>
      <c r="P43" s="129">
        <f t="shared" si="13"/>
        <v>20070860.650174148</v>
      </c>
      <c r="Q43" s="129">
        <f t="shared" si="13"/>
        <v>20664489.497679375</v>
      </c>
      <c r="R43" s="129">
        <f t="shared" si="13"/>
        <v>21275927.210609756</v>
      </c>
      <c r="S43" s="129">
        <f t="shared" si="13"/>
        <v>21905708.054928049</v>
      </c>
      <c r="T43" s="129">
        <f t="shared" si="13"/>
        <v>22554382.324575894</v>
      </c>
      <c r="U43" s="129">
        <f t="shared" si="13"/>
        <v>23222516.822313175</v>
      </c>
      <c r="V43" s="129">
        <f t="shared" si="13"/>
        <v>23910695.35498257</v>
      </c>
      <c r="W43" s="129">
        <f t="shared" si="13"/>
        <v>24619519.243632048</v>
      </c>
      <c r="X43" s="129">
        <f t="shared" si="13"/>
        <v>25349607.848941006</v>
      </c>
      <c r="Y43" s="129">
        <f t="shared" si="13"/>
        <v>26101599.112409241</v>
      </c>
      <c r="Z43" s="129">
        <f t="shared" si="13"/>
        <v>26876150.113781519</v>
      </c>
    </row>
    <row r="45" spans="2:26">
      <c r="B45" s="33" t="s">
        <v>371</v>
      </c>
      <c r="F45" s="34">
        <f>+F34*Assumptions!$P$96*F38</f>
        <v>0</v>
      </c>
      <c r="G45" s="34">
        <f>+G34*Assumptions!$P$96*G38</f>
        <v>0</v>
      </c>
      <c r="H45" s="34">
        <f>+H34*Assumptions!$P$96*H38</f>
        <v>0</v>
      </c>
      <c r="I45" s="34">
        <f>+I34*Assumptions!$P$96*I38</f>
        <v>0</v>
      </c>
      <c r="J45" s="34">
        <f>+J34*Assumptions!$P$96*J38</f>
        <v>2073083.2380660127</v>
      </c>
      <c r="K45" s="34">
        <f>+K34*Assumptions!$P$96*K38</f>
        <v>4270551.4704159861</v>
      </c>
      <c r="L45" s="34">
        <f>+L34*Assumptions!$P$96*L38</f>
        <v>4398668.0145284655</v>
      </c>
      <c r="M45" s="34">
        <f>+M34*Assumptions!$P$96*M38</f>
        <v>4530628.0549643198</v>
      </c>
      <c r="N45" s="34">
        <f>+N34*Assumptions!$P$96*N38</f>
        <v>4666546.8966132496</v>
      </c>
      <c r="O45" s="34">
        <f>+O34*Assumptions!$P$96*O38</f>
        <v>4806543.3035116475</v>
      </c>
      <c r="P45" s="34">
        <f>+P34*Assumptions!$P$96*P38</f>
        <v>4950739.6026169965</v>
      </c>
      <c r="Q45" s="34">
        <f>+Q34*Assumptions!$P$96*Q38</f>
        <v>5099261.7906955071</v>
      </c>
      <c r="R45" s="34">
        <f>+R34*Assumptions!$P$96*R38</f>
        <v>5252239.6444163723</v>
      </c>
      <c r="S45" s="34">
        <f>+S34*Assumptions!$P$96*S38</f>
        <v>5409806.8337488631</v>
      </c>
      <c r="T45" s="34">
        <f>+T34*Assumptions!$P$96*T38</f>
        <v>5572101.0387613298</v>
      </c>
      <c r="U45" s="34">
        <f>+U34*Assumptions!$P$96*U38</f>
        <v>5739264.0699241702</v>
      </c>
      <c r="V45" s="34">
        <f>+V34*Assumptions!$P$96*V38</f>
        <v>5911441.9920218959</v>
      </c>
      <c r="W45" s="34">
        <f>+W34*Assumptions!$P$96*W38</f>
        <v>6088785.2517825523</v>
      </c>
      <c r="X45" s="34">
        <f>+X34*Assumptions!$P$96*X38</f>
        <v>6271448.809336029</v>
      </c>
      <c r="Y45" s="34">
        <f>+Y34*Assumptions!$P$96*Y38</f>
        <v>6459592.27361611</v>
      </c>
      <c r="Z45" s="34">
        <f>+Z34*Assumptions!$P$96*Z38</f>
        <v>6653380.0418245941</v>
      </c>
    </row>
    <row r="46" spans="2:26">
      <c r="B46" s="33" t="s">
        <v>308</v>
      </c>
      <c r="F46" s="151">
        <f ca="1">+IFERROR(IFERROR(INDEX('Taxes and TIF'!$AR$11:$AR$45,MATCH('Phase III Pro Forma'!F$7,'Taxes and TIF'!$AG$11:$AG$45,0)),0)*'Loan Sizing'!$M$16*F35,0)</f>
        <v>0</v>
      </c>
      <c r="G46" s="151">
        <f ca="1">+IFERROR(IFERROR(INDEX('Taxes and TIF'!$AR$11:$AR$45,MATCH('Phase III Pro Forma'!G$7,'Taxes and TIF'!$AG$11:$AG$45,0)),0)*'Loan Sizing'!$M$16*G35,0)</f>
        <v>0</v>
      </c>
      <c r="H46" s="151">
        <f ca="1">+IFERROR(IFERROR(INDEX('Taxes and TIF'!$AR$11:$AR$45,MATCH('Phase III Pro Forma'!H$7,'Taxes and TIF'!$AG$11:$AG$45,0)),0)*'Loan Sizing'!$M$16*H35,0)</f>
        <v>0</v>
      </c>
      <c r="I46" s="151">
        <f ca="1">+IFERROR(IFERROR(INDEX('Taxes and TIF'!$AR$11:$AR$45,MATCH('Phase III Pro Forma'!I$7,'Taxes and TIF'!$AG$11:$AG$45,0)),0)*'Loan Sizing'!$M$16*I35,0)</f>
        <v>0</v>
      </c>
      <c r="J46" s="151">
        <f ca="1">+IFERROR(IFERROR(INDEX('Taxes and TIF'!$AR$11:$AR$45,MATCH('Phase III Pro Forma'!J$7,'Taxes and TIF'!$AG$11:$AG$45,0)),0)*'Loan Sizing'!$M$16*J35,0)</f>
        <v>1792006.3245796289</v>
      </c>
      <c r="K46" s="151">
        <f ca="1">+IFERROR(IFERROR(INDEX('Taxes and TIF'!$AR$11:$AR$45,MATCH('Phase III Pro Forma'!K$7,'Taxes and TIF'!$AG$11:$AG$45,0)),0)*'Loan Sizing'!$M$16*K35,0)</f>
        <v>3584012.6491592578</v>
      </c>
      <c r="L46" s="151">
        <f ca="1">+IFERROR(IFERROR(INDEX('Taxes and TIF'!$AR$11:$AR$45,MATCH('Phase III Pro Forma'!L$7,'Taxes and TIF'!$AG$11:$AG$45,0)),0)*'Loan Sizing'!$M$16*L35,0)</f>
        <v>3584012.6491592578</v>
      </c>
      <c r="M46" s="151">
        <f ca="1">+IFERROR(IFERROR(INDEX('Taxes and TIF'!$AR$11:$AR$45,MATCH('Phase III Pro Forma'!M$7,'Taxes and TIF'!$AG$11:$AG$45,0)),0)*'Loan Sizing'!$M$16*M35,0)</f>
        <v>3655692.9021424428</v>
      </c>
      <c r="N46" s="151">
        <f ca="1">+IFERROR(IFERROR(INDEX('Taxes and TIF'!$AR$11:$AR$45,MATCH('Phase III Pro Forma'!N$7,'Taxes and TIF'!$AG$11:$AG$45,0)),0)*'Loan Sizing'!$M$16*N35,0)</f>
        <v>3655692.9021424428</v>
      </c>
      <c r="O46" s="151">
        <f ca="1">+IFERROR(IFERROR(INDEX('Taxes and TIF'!$AR$11:$AR$45,MATCH('Phase III Pro Forma'!O$7,'Taxes and TIF'!$AG$11:$AG$45,0)),0)*'Loan Sizing'!$M$16*O35,0)</f>
        <v>3655692.9021424428</v>
      </c>
      <c r="P46" s="151">
        <f ca="1">+IFERROR(IFERROR(INDEX('Taxes and TIF'!$AR$11:$AR$45,MATCH('Phase III Pro Forma'!P$7,'Taxes and TIF'!$AG$11:$AG$45,0)),0)*'Loan Sizing'!$M$16*P35,0)</f>
        <v>3728806.7601852906</v>
      </c>
      <c r="Q46" s="151">
        <f ca="1">+IFERROR(IFERROR(INDEX('Taxes and TIF'!$AR$11:$AR$45,MATCH('Phase III Pro Forma'!Q$7,'Taxes and TIF'!$AG$11:$AG$45,0)),0)*'Loan Sizing'!$M$16*Q35,0)</f>
        <v>3728806.7601852906</v>
      </c>
      <c r="R46" s="151">
        <f ca="1">+IFERROR(IFERROR(INDEX('Taxes and TIF'!$AR$11:$AR$45,MATCH('Phase III Pro Forma'!R$7,'Taxes and TIF'!$AG$11:$AG$45,0)),0)*'Loan Sizing'!$M$16*R35,0)</f>
        <v>3728806.7601852906</v>
      </c>
      <c r="S46" s="151">
        <f ca="1">+IFERROR(IFERROR(INDEX('Taxes and TIF'!$AR$11:$AR$45,MATCH('Phase III Pro Forma'!S$7,'Taxes and TIF'!$AG$11:$AG$45,0)),0)*'Loan Sizing'!$M$16*S35,0)</f>
        <v>3803382.8953889972</v>
      </c>
      <c r="T46" s="151">
        <f ca="1">+IFERROR(IFERROR(INDEX('Taxes and TIF'!$AR$11:$AR$45,MATCH('Phase III Pro Forma'!T$7,'Taxes and TIF'!$AG$11:$AG$45,0)),0)*'Loan Sizing'!$M$16*T35,0)</f>
        <v>3803382.8953889972</v>
      </c>
      <c r="U46" s="151">
        <f ca="1">+IFERROR(IFERROR(INDEX('Taxes and TIF'!$AR$11:$AR$45,MATCH('Phase III Pro Forma'!U$7,'Taxes and TIF'!$AG$11:$AG$45,0)),0)*'Loan Sizing'!$M$16*U35,0)</f>
        <v>3803382.8953889972</v>
      </c>
      <c r="V46" s="151">
        <f ca="1">+IFERROR(IFERROR(INDEX('Taxes and TIF'!$AR$11:$AR$45,MATCH('Phase III Pro Forma'!V$7,'Taxes and TIF'!$AG$11:$AG$45,0)),0)*'Loan Sizing'!$M$16*V35,0)</f>
        <v>3879450.553296777</v>
      </c>
      <c r="W46" s="151">
        <f ca="1">+IFERROR(IFERROR(INDEX('Taxes and TIF'!$AR$11:$AR$45,MATCH('Phase III Pro Forma'!W$7,'Taxes and TIF'!$AG$11:$AG$45,0)),0)*'Loan Sizing'!$M$16*W35,0)</f>
        <v>3879450.553296777</v>
      </c>
      <c r="X46" s="151">
        <f ca="1">+IFERROR(IFERROR(INDEX('Taxes and TIF'!$AR$11:$AR$45,MATCH('Phase III Pro Forma'!X$7,'Taxes and TIF'!$AG$11:$AG$45,0)),0)*'Loan Sizing'!$M$16*X35,0)</f>
        <v>3879450.553296777</v>
      </c>
      <c r="Y46" s="151">
        <f ca="1">+IFERROR(IFERROR(INDEX('Taxes and TIF'!$AR$11:$AR$45,MATCH('Phase III Pro Forma'!Y$7,'Taxes and TIF'!$AG$11:$AG$45,0)),0)*'Loan Sizing'!$M$16*Y35,0)</f>
        <v>3957039.5643627127</v>
      </c>
      <c r="Z46" s="151">
        <f ca="1">+IFERROR(IFERROR(INDEX('Taxes and TIF'!$AR$11:$AR$45,MATCH('Phase III Pro Forma'!Z$7,'Taxes and TIF'!$AG$11:$AG$45,0)),0)*'Loan Sizing'!$M$16*Z35,0)</f>
        <v>3957039.5643627127</v>
      </c>
    </row>
    <row r="47" spans="2:26">
      <c r="B47" s="137" t="s">
        <v>234</v>
      </c>
      <c r="C47" s="137"/>
      <c r="D47" s="137"/>
      <c r="E47" s="137"/>
      <c r="F47" s="129">
        <f ca="1">+SUM(F45:F46)</f>
        <v>0</v>
      </c>
      <c r="G47" s="129">
        <f t="shared" ref="G47" ca="1" si="14">+SUM(G45:G46)</f>
        <v>0</v>
      </c>
      <c r="H47" s="129">
        <f t="shared" ref="H47:Z47" ca="1" si="15">+SUM(H45:H46)</f>
        <v>0</v>
      </c>
      <c r="I47" s="129">
        <f t="shared" ca="1" si="15"/>
        <v>0</v>
      </c>
      <c r="J47" s="129">
        <f t="shared" ca="1" si="15"/>
        <v>3865089.5626456416</v>
      </c>
      <c r="K47" s="129">
        <f t="shared" ca="1" si="15"/>
        <v>7854564.1195752434</v>
      </c>
      <c r="L47" s="129">
        <f t="shared" ca="1" si="15"/>
        <v>7982680.6636877228</v>
      </c>
      <c r="M47" s="129">
        <f t="shared" ca="1" si="15"/>
        <v>8186320.9571067626</v>
      </c>
      <c r="N47" s="129">
        <f t="shared" ca="1" si="15"/>
        <v>8322239.7987556923</v>
      </c>
      <c r="O47" s="129">
        <f t="shared" ca="1" si="15"/>
        <v>8462236.2056540903</v>
      </c>
      <c r="P47" s="129">
        <f t="shared" ca="1" si="15"/>
        <v>8679546.3628022876</v>
      </c>
      <c r="Q47" s="129">
        <f t="shared" ca="1" si="15"/>
        <v>8828068.5508807972</v>
      </c>
      <c r="R47" s="129">
        <f t="shared" ca="1" si="15"/>
        <v>8981046.4046016634</v>
      </c>
      <c r="S47" s="129">
        <f t="shared" ca="1" si="15"/>
        <v>9213189.7291378602</v>
      </c>
      <c r="T47" s="129">
        <f t="shared" ca="1" si="15"/>
        <v>9375483.934150327</v>
      </c>
      <c r="U47" s="129">
        <f t="shared" ca="1" si="15"/>
        <v>9542646.9653131664</v>
      </c>
      <c r="V47" s="129">
        <f t="shared" ca="1" si="15"/>
        <v>9790892.5453186724</v>
      </c>
      <c r="W47" s="129">
        <f t="shared" ca="1" si="15"/>
        <v>9968235.8050793298</v>
      </c>
      <c r="X47" s="129">
        <f t="shared" ca="1" si="15"/>
        <v>10150899.362632805</v>
      </c>
      <c r="Y47" s="129">
        <f t="shared" ca="1" si="15"/>
        <v>10416631.837978823</v>
      </c>
      <c r="Z47" s="129">
        <f t="shared" ca="1" si="15"/>
        <v>10610419.606187306</v>
      </c>
    </row>
    <row r="48" spans="2:26">
      <c r="B48" s="33"/>
    </row>
    <row r="49" spans="1:26" ht="15.5">
      <c r="A49" s="108"/>
      <c r="B49" s="138" t="s">
        <v>233</v>
      </c>
      <c r="C49" s="138"/>
      <c r="D49" s="138"/>
      <c r="E49" s="138"/>
      <c r="F49" s="139">
        <f ca="1">+F43-F47</f>
        <v>0</v>
      </c>
      <c r="G49" s="139">
        <f t="shared" ref="G49:Z49" ca="1" si="16">+G43-G47</f>
        <v>0</v>
      </c>
      <c r="H49" s="139">
        <f t="shared" ca="1" si="16"/>
        <v>0</v>
      </c>
      <c r="I49" s="139">
        <f t="shared" ca="1" si="16"/>
        <v>0</v>
      </c>
      <c r="J49" s="139">
        <f t="shared" ca="1" si="16"/>
        <v>4562440.205669146</v>
      </c>
      <c r="K49" s="139">
        <f t="shared" ca="1" si="16"/>
        <v>9497650.2311532199</v>
      </c>
      <c r="L49" s="139">
        <f t="shared" ca="1" si="16"/>
        <v>9881603.1455625948</v>
      </c>
      <c r="M49" s="139">
        <f t="shared" ca="1" si="16"/>
        <v>10205394.394421067</v>
      </c>
      <c r="N49" s="139">
        <f t="shared" ca="1" si="16"/>
        <v>10612730.041317971</v>
      </c>
      <c r="O49" s="139">
        <f t="shared" ca="1" si="16"/>
        <v>11032285.757621786</v>
      </c>
      <c r="P49" s="139">
        <f t="shared" ca="1" si="16"/>
        <v>11391314.287371861</v>
      </c>
      <c r="Q49" s="139">
        <f t="shared" ca="1" si="16"/>
        <v>11836420.946798578</v>
      </c>
      <c r="R49" s="139">
        <f t="shared" ca="1" si="16"/>
        <v>12294880.806008093</v>
      </c>
      <c r="S49" s="139">
        <f t="shared" ca="1" si="16"/>
        <v>12692518.325790189</v>
      </c>
      <c r="T49" s="139">
        <f t="shared" ca="1" si="16"/>
        <v>13178898.390425567</v>
      </c>
      <c r="U49" s="139">
        <f t="shared" ca="1" si="16"/>
        <v>13679869.857000008</v>
      </c>
      <c r="V49" s="139">
        <f t="shared" ca="1" si="16"/>
        <v>14119802.809663897</v>
      </c>
      <c r="W49" s="139">
        <f t="shared" ca="1" si="16"/>
        <v>14651283.438552719</v>
      </c>
      <c r="X49" s="139">
        <f t="shared" ca="1" si="16"/>
        <v>15198708.4863082</v>
      </c>
      <c r="Y49" s="139">
        <f t="shared" ca="1" si="16"/>
        <v>15684967.274430418</v>
      </c>
      <c r="Z49" s="139">
        <f t="shared" ca="1" si="16"/>
        <v>16265730.507594213</v>
      </c>
    </row>
    <row r="50" spans="1:26" ht="15.5">
      <c r="B50" s="143" t="s">
        <v>239</v>
      </c>
      <c r="C50" s="141"/>
      <c r="D50" s="141"/>
      <c r="E50" s="141"/>
      <c r="F50" s="144" t="str">
        <f ca="1">+IFERROR(F49/F43,"")</f>
        <v/>
      </c>
      <c r="G50" s="144" t="str">
        <f t="shared" ref="G50:Z50" ca="1" si="17">+IFERROR(G49/G43,"")</f>
        <v/>
      </c>
      <c r="H50" s="144" t="str">
        <f t="shared" ca="1" si="17"/>
        <v/>
      </c>
      <c r="I50" s="145" t="str">
        <f t="shared" ca="1" si="17"/>
        <v/>
      </c>
      <c r="J50" s="145">
        <f t="shared" ca="1" si="17"/>
        <v>0.54137337168747546</v>
      </c>
      <c r="K50" s="145">
        <f t="shared" ca="1" si="17"/>
        <v>0.5473451421924429</v>
      </c>
      <c r="L50" s="145">
        <f t="shared" ca="1" si="17"/>
        <v>0.553148575732199</v>
      </c>
      <c r="M50" s="145">
        <f t="shared" ca="1" si="17"/>
        <v>0.5548908407596298</v>
      </c>
      <c r="N50" s="145">
        <f t="shared" ca="1" si="17"/>
        <v>0.56048307079197779</v>
      </c>
      <c r="O50" s="145">
        <f t="shared" ca="1" si="17"/>
        <v>0.56591722425431101</v>
      </c>
      <c r="P50" s="145">
        <f t="shared" ca="1" si="17"/>
        <v>0.56755484908780041</v>
      </c>
      <c r="Q50" s="145">
        <f t="shared" ca="1" si="17"/>
        <v>0.57279038749676392</v>
      </c>
      <c r="R50" s="145">
        <f t="shared" ca="1" si="17"/>
        <v>0.57787755543161257</v>
      </c>
      <c r="S50" s="145">
        <f t="shared" ca="1" si="17"/>
        <v>0.57941602681657201</v>
      </c>
      <c r="T50" s="145">
        <f t="shared" ca="1" si="17"/>
        <v>0.58431652885769636</v>
      </c>
      <c r="U50" s="145">
        <f t="shared" ca="1" si="17"/>
        <v>0.58907783172992734</v>
      </c>
      <c r="V50" s="145">
        <f t="shared" ca="1" si="17"/>
        <v>0.59052246703990474</v>
      </c>
      <c r="W50" s="145">
        <f t="shared" ca="1" si="17"/>
        <v>0.59510842976116762</v>
      </c>
      <c r="X50" s="145">
        <f t="shared" ca="1" si="17"/>
        <v>0.59956385033163873</v>
      </c>
      <c r="Y50" s="145">
        <f t="shared" ca="1" si="17"/>
        <v>0.60091978299419435</v>
      </c>
      <c r="Z50" s="145">
        <f t="shared" ca="1" si="17"/>
        <v>0.60521058405807504</v>
      </c>
    </row>
    <row r="51" spans="1:26" ht="15.5">
      <c r="B51" s="143" t="s">
        <v>179</v>
      </c>
      <c r="C51" s="141"/>
      <c r="D51" s="141"/>
      <c r="E51" s="141"/>
      <c r="F51" s="142">
        <f ca="1">+F49/Assumptions!$P$129</f>
        <v>0</v>
      </c>
      <c r="G51" s="142">
        <f ca="1">+G49/Assumptions!$P$129</f>
        <v>0</v>
      </c>
      <c r="H51" s="142">
        <f ca="1">+H49/Assumptions!$P$129</f>
        <v>0</v>
      </c>
      <c r="I51" s="142">
        <f ca="1">+I49/Assumptions!$P$129</f>
        <v>0</v>
      </c>
      <c r="J51" s="142">
        <f ca="1">+J49/Assumptions!$P$129</f>
        <v>70191387.779525325</v>
      </c>
      <c r="K51" s="142">
        <f ca="1">+K49/Assumptions!$P$129</f>
        <v>146117695.86389568</v>
      </c>
      <c r="L51" s="142">
        <f ca="1">+L49/Assumptions!$P$129</f>
        <v>152024663.77788606</v>
      </c>
      <c r="M51" s="142">
        <f ca="1">+M49/Assumptions!$P$129</f>
        <v>157006067.60647795</v>
      </c>
      <c r="N51" s="142">
        <f ca="1">+N49/Assumptions!$P$129</f>
        <v>163272769.86643031</v>
      </c>
      <c r="O51" s="142">
        <f ca="1">+O49/Assumptions!$P$129</f>
        <v>169727473.19418132</v>
      </c>
      <c r="P51" s="142">
        <f ca="1">+P49/Assumptions!$P$129</f>
        <v>175250989.03649017</v>
      </c>
      <c r="Q51" s="142">
        <f ca="1">+Q49/Assumptions!$P$129</f>
        <v>182098783.7969012</v>
      </c>
      <c r="R51" s="142">
        <f ca="1">+R49/Assumptions!$P$129</f>
        <v>189152012.40012449</v>
      </c>
      <c r="S51" s="142">
        <f ca="1">+S49/Assumptions!$P$129</f>
        <v>195269512.70446444</v>
      </c>
      <c r="T51" s="142">
        <f ca="1">+T49/Assumptions!$P$129</f>
        <v>202752282.92962408</v>
      </c>
      <c r="U51" s="142">
        <f ca="1">+U49/Assumptions!$P$129</f>
        <v>210459536.26153859</v>
      </c>
      <c r="V51" s="142">
        <f ca="1">+V49/Assumptions!$P$129</f>
        <v>217227735.53329071</v>
      </c>
      <c r="W51" s="142">
        <f ca="1">+W49/Assumptions!$P$129</f>
        <v>225404360.59311873</v>
      </c>
      <c r="X51" s="142">
        <f ca="1">+X49/Assumptions!$P$129</f>
        <v>233826284.40474153</v>
      </c>
      <c r="Y51" s="142">
        <f ca="1">+Y49/Assumptions!$P$129</f>
        <v>241307188.83739105</v>
      </c>
      <c r="Z51" s="142">
        <f ca="1">+Z49/Assumptions!$P$129</f>
        <v>250242007.80914173</v>
      </c>
    </row>
    <row r="53" spans="1:26" ht="15.5">
      <c r="B53" s="148" t="s">
        <v>25</v>
      </c>
      <c r="C53" s="149"/>
      <c r="D53" s="149"/>
      <c r="E53" s="149"/>
      <c r="F53" s="150">
        <f>+Assumptions!$H$22</f>
        <v>46022</v>
      </c>
      <c r="G53" s="150">
        <f>+EOMONTH(F53,12)</f>
        <v>46387</v>
      </c>
      <c r="H53" s="150">
        <f t="shared" ref="H53:Z53" si="18">+EOMONTH(G53,12)</f>
        <v>46752</v>
      </c>
      <c r="I53" s="150">
        <f t="shared" si="18"/>
        <v>47118</v>
      </c>
      <c r="J53" s="150">
        <f t="shared" si="18"/>
        <v>47483</v>
      </c>
      <c r="K53" s="150">
        <f t="shared" si="18"/>
        <v>47848</v>
      </c>
      <c r="L53" s="150">
        <f t="shared" si="18"/>
        <v>48213</v>
      </c>
      <c r="M53" s="150">
        <f t="shared" si="18"/>
        <v>48579</v>
      </c>
      <c r="N53" s="150">
        <f t="shared" si="18"/>
        <v>48944</v>
      </c>
      <c r="O53" s="150">
        <f t="shared" si="18"/>
        <v>49309</v>
      </c>
      <c r="P53" s="150">
        <f t="shared" si="18"/>
        <v>49674</v>
      </c>
      <c r="Q53" s="150">
        <f t="shared" si="18"/>
        <v>50040</v>
      </c>
      <c r="R53" s="150">
        <f t="shared" si="18"/>
        <v>50405</v>
      </c>
      <c r="S53" s="150">
        <f t="shared" si="18"/>
        <v>50770</v>
      </c>
      <c r="T53" s="150">
        <f t="shared" si="18"/>
        <v>51135</v>
      </c>
      <c r="U53" s="150">
        <f t="shared" si="18"/>
        <v>51501</v>
      </c>
      <c r="V53" s="150">
        <f t="shared" si="18"/>
        <v>51866</v>
      </c>
      <c r="W53" s="150">
        <f t="shared" si="18"/>
        <v>52231</v>
      </c>
      <c r="X53" s="150">
        <f t="shared" si="18"/>
        <v>52596</v>
      </c>
      <c r="Y53" s="150">
        <f t="shared" si="18"/>
        <v>52962</v>
      </c>
      <c r="Z53" s="150">
        <f t="shared" si="18"/>
        <v>53327</v>
      </c>
    </row>
    <row r="54" spans="1:26">
      <c r="B54" s="33" t="s">
        <v>690</v>
      </c>
      <c r="C54" s="33"/>
      <c r="D54" s="40"/>
      <c r="E54" s="40"/>
      <c r="F54" s="42">
        <f>+IF(AND(F53&gt;=Assumptions!$H$26,F53&lt;Assumptions!$H$28),Assumptions!$H$137/ROUNDUP((Assumptions!$H$27/12),0),0)</f>
        <v>0</v>
      </c>
      <c r="G54" s="42">
        <f>+IF(AND(G53&gt;=Assumptions!$H$26,G53&lt;Assumptions!$H$28),Assumptions!$H$137/ROUNDUP((Assumptions!$H$27/12),0),0)</f>
        <v>0</v>
      </c>
      <c r="H54" s="42">
        <f>+IF(AND(H53&gt;=Assumptions!$H$26,H53&lt;Assumptions!$H$28),Assumptions!$H$137/ROUNDUP((Assumptions!$H$27/12),0),0)</f>
        <v>0</v>
      </c>
      <c r="I54" s="42">
        <f>+IF(AND(I53&gt;=Assumptions!$H$26,I53&lt;Assumptions!$H$28),Assumptions!$H$137/ROUNDUP((Assumptions!$H$27/12),0),0)</f>
        <v>0</v>
      </c>
      <c r="J54" s="42">
        <f>+IF(AND(J53&gt;=Assumptions!$H$26,J53&lt;Assumptions!$H$28),Assumptions!$H$137/ROUNDUP((Assumptions!$H$27/12),0),0)</f>
        <v>4.9999999999999998E-7</v>
      </c>
      <c r="K54" s="42">
        <f>+IF(AND(K53&gt;=Assumptions!$H$26,K53&lt;Assumptions!$H$28),Assumptions!$H$137/ROUNDUP((Assumptions!$H$27/12),0),0)</f>
        <v>4.9999999999999998E-7</v>
      </c>
      <c r="L54" s="42">
        <f>+IF(AND(L53&gt;=Assumptions!$H$26,L53&lt;Assumptions!$H$28),Assumptions!$H$137/ROUNDUP((Assumptions!$H$27/12),0),0)</f>
        <v>0</v>
      </c>
      <c r="M54" s="42">
        <f>+IF(AND(M53&gt;=Assumptions!$H$26,M53&lt;Assumptions!$H$28),Assumptions!$H$137/ROUNDUP((Assumptions!$H$27/12),0),0)</f>
        <v>0</v>
      </c>
      <c r="N54" s="42">
        <f>+IF(AND(N53&gt;=Assumptions!$H$26,N53&lt;Assumptions!$H$28),Assumptions!$H$137/ROUNDUP((Assumptions!$H$27/12),0),0)</f>
        <v>0</v>
      </c>
      <c r="O54" s="42">
        <f>+IF(AND(O53&gt;=Assumptions!$H$26,O53&lt;Assumptions!$H$28),Assumptions!$H$137/ROUNDUP((Assumptions!$H$27/12),0),0)</f>
        <v>0</v>
      </c>
      <c r="P54" s="42">
        <f>+IF(AND(P53&gt;=Assumptions!$H$26,P53&lt;Assumptions!$H$28),Assumptions!$H$137/ROUNDUP((Assumptions!$H$27/12),0),0)</f>
        <v>0</v>
      </c>
      <c r="Q54" s="42">
        <f>+IF(AND(Q53&gt;=Assumptions!$H$26,Q53&lt;Assumptions!$H$28),Assumptions!$H$137/ROUNDUP((Assumptions!$H$27/12),0),0)</f>
        <v>0</v>
      </c>
      <c r="R54" s="42">
        <f>+IF(AND(R53&gt;=Assumptions!$H$26,R53&lt;Assumptions!$H$28),Assumptions!$H$137/ROUNDUP((Assumptions!$H$27/12),0),0)</f>
        <v>0</v>
      </c>
      <c r="S54" s="42">
        <f>+IF(AND(S53&gt;=Assumptions!$H$26,S53&lt;Assumptions!$H$28),Assumptions!$H$137/ROUNDUP((Assumptions!$H$27/12),0),0)</f>
        <v>0</v>
      </c>
      <c r="T54" s="42">
        <f>+IF(AND(T53&gt;=Assumptions!$H$26,T53&lt;Assumptions!$H$28),Assumptions!$H$137/ROUNDUP((Assumptions!$H$27/12),0),0)</f>
        <v>0</v>
      </c>
      <c r="U54" s="42">
        <f>+IF(AND(U53&gt;=Assumptions!$H$26,U53&lt;Assumptions!$H$28),Assumptions!$H$137/ROUNDUP((Assumptions!$H$27/12),0),0)</f>
        <v>0</v>
      </c>
      <c r="V54" s="42">
        <f>+IF(AND(V53&gt;=Assumptions!$H$26,V53&lt;Assumptions!$H$28),Assumptions!$H$137/ROUNDUP((Assumptions!$H$27/12),0),0)</f>
        <v>0</v>
      </c>
      <c r="W54" s="42">
        <f>+IF(AND(W53&gt;=Assumptions!$H$26,W53&lt;Assumptions!$H$28),Assumptions!$H$137/ROUNDUP((Assumptions!$H$27/12),0),0)</f>
        <v>0</v>
      </c>
      <c r="X54" s="42">
        <f>+IF(AND(X53&gt;=Assumptions!$H$26,X53&lt;Assumptions!$H$28),Assumptions!$H$137/ROUNDUP((Assumptions!$H$27/12),0),0)</f>
        <v>0</v>
      </c>
      <c r="Y54" s="42">
        <f>+IF(AND(Y53&gt;=Assumptions!$H$26,Y53&lt;Assumptions!$H$28),Assumptions!$H$137/ROUNDUP((Assumptions!$H$27/12),0),0)</f>
        <v>0</v>
      </c>
      <c r="Z54" s="42">
        <f>+IF(AND(Z53&gt;=Assumptions!$H$26,Z53&lt;Assumptions!$H$28),Assumptions!$H$137/ROUNDUP((Assumptions!$H$27/12),0),0)</f>
        <v>0</v>
      </c>
    </row>
    <row r="55" spans="1:26">
      <c r="B55" s="33" t="s">
        <v>231</v>
      </c>
      <c r="C55" s="33"/>
      <c r="D55" s="42">
        <v>0</v>
      </c>
      <c r="E55" s="42"/>
      <c r="F55" s="42">
        <f>+D55+F54</f>
        <v>0</v>
      </c>
      <c r="G55" s="42">
        <f t="shared" ref="G55:Z55" si="19">+F55+G54</f>
        <v>0</v>
      </c>
      <c r="H55" s="42">
        <f t="shared" si="19"/>
        <v>0</v>
      </c>
      <c r="I55" s="42">
        <f t="shared" si="19"/>
        <v>0</v>
      </c>
      <c r="J55" s="42">
        <f t="shared" si="19"/>
        <v>4.9999999999999998E-7</v>
      </c>
      <c r="K55" s="42">
        <f t="shared" si="19"/>
        <v>9.9999999999999995E-7</v>
      </c>
      <c r="L55" s="42">
        <f t="shared" si="19"/>
        <v>9.9999999999999995E-7</v>
      </c>
      <c r="M55" s="42">
        <f t="shared" si="19"/>
        <v>9.9999999999999995E-7</v>
      </c>
      <c r="N55" s="42">
        <f t="shared" si="19"/>
        <v>9.9999999999999995E-7</v>
      </c>
      <c r="O55" s="42">
        <f t="shared" si="19"/>
        <v>9.9999999999999995E-7</v>
      </c>
      <c r="P55" s="42">
        <f t="shared" si="19"/>
        <v>9.9999999999999995E-7</v>
      </c>
      <c r="Q55" s="42">
        <f t="shared" si="19"/>
        <v>9.9999999999999995E-7</v>
      </c>
      <c r="R55" s="42">
        <f t="shared" si="19"/>
        <v>9.9999999999999995E-7</v>
      </c>
      <c r="S55" s="42">
        <f t="shared" si="19"/>
        <v>9.9999999999999995E-7</v>
      </c>
      <c r="T55" s="42">
        <f t="shared" si="19"/>
        <v>9.9999999999999995E-7</v>
      </c>
      <c r="U55" s="42">
        <f t="shared" si="19"/>
        <v>9.9999999999999995E-7</v>
      </c>
      <c r="V55" s="42">
        <f t="shared" si="19"/>
        <v>9.9999999999999995E-7</v>
      </c>
      <c r="W55" s="42">
        <f t="shared" si="19"/>
        <v>9.9999999999999995E-7</v>
      </c>
      <c r="X55" s="42">
        <f t="shared" si="19"/>
        <v>9.9999999999999995E-7</v>
      </c>
      <c r="Y55" s="42">
        <f t="shared" si="19"/>
        <v>9.9999999999999995E-7</v>
      </c>
      <c r="Z55" s="42">
        <f t="shared" si="19"/>
        <v>9.9999999999999995E-7</v>
      </c>
    </row>
    <row r="56" spans="1:26">
      <c r="B56" s="33" t="s">
        <v>285</v>
      </c>
      <c r="C56" s="33"/>
      <c r="D56" s="42"/>
      <c r="E56" s="42"/>
      <c r="F56" s="108">
        <f t="shared" ref="F56:Z56" si="20">+F55/SUM($F54:$Z54)</f>
        <v>0</v>
      </c>
      <c r="G56" s="108">
        <f t="shared" si="20"/>
        <v>0</v>
      </c>
      <c r="H56" s="108">
        <f t="shared" si="20"/>
        <v>0</v>
      </c>
      <c r="I56" s="108">
        <f t="shared" si="20"/>
        <v>0</v>
      </c>
      <c r="J56" s="108">
        <f t="shared" si="20"/>
        <v>0.5</v>
      </c>
      <c r="K56" s="108">
        <f t="shared" si="20"/>
        <v>1</v>
      </c>
      <c r="L56" s="108">
        <f t="shared" si="20"/>
        <v>1</v>
      </c>
      <c r="M56" s="108">
        <f t="shared" si="20"/>
        <v>1</v>
      </c>
      <c r="N56" s="108">
        <f t="shared" si="20"/>
        <v>1</v>
      </c>
      <c r="O56" s="108">
        <f t="shared" si="20"/>
        <v>1</v>
      </c>
      <c r="P56" s="108">
        <f t="shared" si="20"/>
        <v>1</v>
      </c>
      <c r="Q56" s="108">
        <f t="shared" si="20"/>
        <v>1</v>
      </c>
      <c r="R56" s="108">
        <f t="shared" si="20"/>
        <v>1</v>
      </c>
      <c r="S56" s="108">
        <f t="shared" si="20"/>
        <v>1</v>
      </c>
      <c r="T56" s="108">
        <f t="shared" si="20"/>
        <v>1</v>
      </c>
      <c r="U56" s="108">
        <f t="shared" si="20"/>
        <v>1</v>
      </c>
      <c r="V56" s="108">
        <f t="shared" si="20"/>
        <v>1</v>
      </c>
      <c r="W56" s="108">
        <f t="shared" si="20"/>
        <v>1</v>
      </c>
      <c r="X56" s="108">
        <f t="shared" si="20"/>
        <v>1</v>
      </c>
      <c r="Y56" s="108">
        <f t="shared" si="20"/>
        <v>1</v>
      </c>
      <c r="Z56" s="108">
        <f t="shared" si="20"/>
        <v>1</v>
      </c>
    </row>
    <row r="57" spans="1:26">
      <c r="B57" s="33"/>
      <c r="C57" s="33"/>
      <c r="D57" s="40"/>
      <c r="E57" s="40"/>
      <c r="F57" s="34"/>
      <c r="G57" s="34"/>
      <c r="H57" s="34"/>
      <c r="I57" s="34"/>
      <c r="J57" s="34"/>
      <c r="K57" s="34"/>
      <c r="L57" s="34"/>
      <c r="M57" s="34"/>
      <c r="N57" s="34"/>
      <c r="O57" s="34"/>
      <c r="P57" s="34"/>
      <c r="Q57" s="34"/>
      <c r="R57" s="34"/>
      <c r="S57" s="34"/>
      <c r="T57" s="34"/>
      <c r="U57" s="34"/>
      <c r="V57" s="34"/>
      <c r="W57" s="34"/>
      <c r="X57" s="34"/>
      <c r="Y57" s="34"/>
      <c r="Z57" s="34"/>
    </row>
    <row r="58" spans="1:26">
      <c r="B58" s="33" t="s">
        <v>236</v>
      </c>
      <c r="C58" s="33"/>
      <c r="D58" s="42"/>
      <c r="E58" s="42"/>
      <c r="F58" s="108">
        <v>1</v>
      </c>
      <c r="G58" s="108">
        <f>+IF(MOD(G$2,Assumptions!$P$66)=(Assumptions!$P$66-1),F58*(1+Assumptions!$P$65),'Phase III Pro Forma'!F58)</f>
        <v>1</v>
      </c>
      <c r="H58" s="108">
        <f>+IF(MOD(H$2,Assumptions!$P$66)=(Assumptions!$P$66-1),G58*(1+Assumptions!$P$65),'Phase III Pro Forma'!G58)</f>
        <v>1</v>
      </c>
      <c r="I58" s="108">
        <f>+IF(MOD(I$2,Assumptions!$P$66)=(Assumptions!$P$66-1),H58*(1+Assumptions!$P$65),'Phase III Pro Forma'!H58)</f>
        <v>1</v>
      </c>
      <c r="J58" s="108">
        <f>+IF(MOD(J$2,Assumptions!$P$66)=(Assumptions!$P$66-1),I58*(1+Assumptions!$P$65),'Phase III Pro Forma'!I58)</f>
        <v>1</v>
      </c>
      <c r="K58" s="108">
        <f>+IF(MOD(K$2,Assumptions!$P$66)=(Assumptions!$P$66-1),J58*(1+Assumptions!$P$65),'Phase III Pro Forma'!J58)</f>
        <v>1</v>
      </c>
      <c r="L58" s="108">
        <f>+IF(MOD(L$2,Assumptions!$P$66)=(Assumptions!$P$66-1),K58*(1+Assumptions!$P$65),'Phase III Pro Forma'!K58)</f>
        <v>1</v>
      </c>
      <c r="M58" s="108">
        <f>+IF(MOD(M$2,Assumptions!$P$66)=(Assumptions!$P$66-1),L58*(1+Assumptions!$P$65),'Phase III Pro Forma'!L58)</f>
        <v>1.1000000000000001</v>
      </c>
      <c r="N58" s="108">
        <f>+IF(MOD(N$2,Assumptions!$P$66)=(Assumptions!$P$66-1),M58*(1+Assumptions!$P$65),'Phase III Pro Forma'!M58)</f>
        <v>1.1000000000000001</v>
      </c>
      <c r="O58" s="108">
        <f>+IF(MOD(O$2,Assumptions!$P$66)=(Assumptions!$P$66-1),N58*(1+Assumptions!$P$65),'Phase III Pro Forma'!N58)</f>
        <v>1.1000000000000001</v>
      </c>
      <c r="P58" s="108">
        <f>+IF(MOD(P$2,Assumptions!$P$66)=(Assumptions!$P$66-1),O58*(1+Assumptions!$P$65),'Phase III Pro Forma'!O58)</f>
        <v>1.1000000000000001</v>
      </c>
      <c r="Q58" s="108">
        <f>+IF(MOD(Q$2,Assumptions!$P$66)=(Assumptions!$P$66-1),P58*(1+Assumptions!$P$65),'Phase III Pro Forma'!P58)</f>
        <v>1.1000000000000001</v>
      </c>
      <c r="R58" s="108">
        <f>+IF(MOD(R$2,Assumptions!$P$66)=(Assumptions!$P$66-1),Q58*(1+Assumptions!$P$65),'Phase III Pro Forma'!Q58)</f>
        <v>1.2100000000000002</v>
      </c>
      <c r="S58" s="108">
        <f>+IF(MOD(S$2,Assumptions!$P$66)=(Assumptions!$P$66-1),R58*(1+Assumptions!$P$65),'Phase III Pro Forma'!R58)</f>
        <v>1.2100000000000002</v>
      </c>
      <c r="T58" s="108">
        <f>+IF(MOD(T$2,Assumptions!$P$66)=(Assumptions!$P$66-1),S58*(1+Assumptions!$P$65),'Phase III Pro Forma'!S58)</f>
        <v>1.2100000000000002</v>
      </c>
      <c r="U58" s="108">
        <f>+IF(MOD(U$2,Assumptions!$P$66)=(Assumptions!$P$66-1),T58*(1+Assumptions!$P$65),'Phase III Pro Forma'!T58)</f>
        <v>1.2100000000000002</v>
      </c>
      <c r="V58" s="108">
        <f>+IF(MOD(V$2,Assumptions!$P$66)=(Assumptions!$P$66-1),U58*(1+Assumptions!$P$65),'Phase III Pro Forma'!U58)</f>
        <v>1.2100000000000002</v>
      </c>
      <c r="W58" s="108">
        <f>+IF(MOD(W$2,Assumptions!$P$66)=(Assumptions!$P$66-1),V58*(1+Assumptions!$P$65),'Phase III Pro Forma'!V58)</f>
        <v>1.3310000000000004</v>
      </c>
      <c r="X58" s="108">
        <f>+IF(MOD(X$2,Assumptions!$P$66)=(Assumptions!$P$66-1),W58*(1+Assumptions!$P$65),'Phase III Pro Forma'!W58)</f>
        <v>1.3310000000000004</v>
      </c>
      <c r="Y58" s="108">
        <f>+IF(MOD(Y$2,Assumptions!$P$66)=(Assumptions!$P$66-1),X58*(1+Assumptions!$P$65),'Phase III Pro Forma'!X58)</f>
        <v>1.3310000000000004</v>
      </c>
      <c r="Z58" s="108">
        <f>+IF(MOD(Z$2,Assumptions!$P$66)=(Assumptions!$P$66-1),Y58*(1+Assumptions!$P$65),'Phase III Pro Forma'!Y58)</f>
        <v>1.3310000000000004</v>
      </c>
    </row>
    <row r="59" spans="1:26">
      <c r="B59" s="33" t="s">
        <v>237</v>
      </c>
      <c r="C59" s="33"/>
      <c r="D59" s="42"/>
      <c r="E59" s="42"/>
      <c r="F59" s="108">
        <v>1</v>
      </c>
      <c r="G59" s="108">
        <f>+F59*(1+Assumptions!$P$78)</f>
        <v>1.03</v>
      </c>
      <c r="H59" s="108">
        <f>+G59*(1+Assumptions!$P$78)</f>
        <v>1.0609</v>
      </c>
      <c r="I59" s="108">
        <f>+H59*(1+Assumptions!$P$78)</f>
        <v>1.092727</v>
      </c>
      <c r="J59" s="108">
        <f>+I59*(1+Assumptions!$P$78)</f>
        <v>1.1255088100000001</v>
      </c>
      <c r="K59" s="108">
        <f>+J59*(1+Assumptions!$P$78)</f>
        <v>1.1592740743000001</v>
      </c>
      <c r="L59" s="108">
        <f>+K59*(1+Assumptions!$P$78)</f>
        <v>1.1940522965290001</v>
      </c>
      <c r="M59" s="108">
        <f>+L59*(1+Assumptions!$P$78)</f>
        <v>1.2298738654248702</v>
      </c>
      <c r="N59" s="108">
        <f>+M59*(1+Assumptions!$P$78)</f>
        <v>1.2667700813876164</v>
      </c>
      <c r="O59" s="108">
        <f>+N59*(1+Assumptions!$P$78)</f>
        <v>1.3047731838292449</v>
      </c>
      <c r="P59" s="108">
        <f>+O59*(1+Assumptions!$P$78)</f>
        <v>1.3439163793441222</v>
      </c>
      <c r="Q59" s="108">
        <f>+P59*(1+Assumptions!$P$78)</f>
        <v>1.3842338707244459</v>
      </c>
      <c r="R59" s="108">
        <f>+Q59*(1+Assumptions!$P$78)</f>
        <v>1.4257608868461793</v>
      </c>
      <c r="S59" s="108">
        <f>+R59*(1+Assumptions!$P$78)</f>
        <v>1.4685337134515648</v>
      </c>
      <c r="T59" s="108">
        <f>+S59*(1+Assumptions!$P$78)</f>
        <v>1.5125897248551119</v>
      </c>
      <c r="U59" s="108">
        <f>+T59*(1+Assumptions!$P$78)</f>
        <v>1.5579674166007653</v>
      </c>
      <c r="V59" s="108">
        <f>+U59*(1+Assumptions!$P$78)</f>
        <v>1.6047064390987884</v>
      </c>
      <c r="W59" s="108">
        <f>+V59*(1+Assumptions!$P$78)</f>
        <v>1.652847632271752</v>
      </c>
      <c r="X59" s="108">
        <f>+W59*(1+Assumptions!$P$78)</f>
        <v>1.7024330612399046</v>
      </c>
      <c r="Y59" s="108">
        <f>+X59*(1+Assumptions!$P$78)</f>
        <v>1.7535060530771018</v>
      </c>
      <c r="Z59" s="108">
        <f>+Y59*(1+Assumptions!$P$78)</f>
        <v>1.806111234669415</v>
      </c>
    </row>
    <row r="60" spans="1:26">
      <c r="B60" s="33"/>
      <c r="C60" s="33"/>
      <c r="D60" s="40"/>
      <c r="E60" s="40"/>
      <c r="F60" s="34"/>
      <c r="G60" s="34"/>
      <c r="H60" s="34"/>
      <c r="I60" s="34"/>
      <c r="J60" s="34"/>
      <c r="K60" s="34"/>
      <c r="L60" s="34"/>
      <c r="M60" s="34"/>
      <c r="N60" s="34"/>
      <c r="O60" s="34"/>
      <c r="P60" s="34"/>
      <c r="Q60" s="34"/>
      <c r="R60" s="34"/>
      <c r="S60" s="34"/>
      <c r="T60" s="34"/>
      <c r="U60" s="34"/>
      <c r="V60" s="34"/>
      <c r="W60" s="34"/>
      <c r="X60" s="34"/>
      <c r="Y60" s="34"/>
      <c r="Z60" s="34"/>
    </row>
    <row r="61" spans="1:26">
      <c r="B61" s="33" t="s">
        <v>228</v>
      </c>
      <c r="C61" s="33"/>
      <c r="D61" s="40"/>
      <c r="E61" s="40"/>
      <c r="F61" s="34">
        <f>+F56*Assumptions!$H$136*F58</f>
        <v>0</v>
      </c>
      <c r="G61" s="34">
        <f>+G56*Assumptions!$H$136*G58</f>
        <v>0</v>
      </c>
      <c r="H61" s="34">
        <f>+H56*Assumptions!$H$136*H58</f>
        <v>0</v>
      </c>
      <c r="I61" s="34">
        <f>+I56*Assumptions!$H$136*I58</f>
        <v>0</v>
      </c>
      <c r="J61" s="34">
        <f>+J56*Assumptions!$H$136*J58</f>
        <v>2.6530199999999995E-5</v>
      </c>
      <c r="K61" s="34">
        <f>+K56*Assumptions!$H$136*K58</f>
        <v>5.3060399999999991E-5</v>
      </c>
      <c r="L61" s="34">
        <f>+L56*Assumptions!$H$136*L58</f>
        <v>5.3060399999999991E-5</v>
      </c>
      <c r="M61" s="34">
        <f>+M56*Assumptions!$H$136*M58</f>
        <v>5.8366439999999993E-5</v>
      </c>
      <c r="N61" s="34">
        <f>+N56*Assumptions!$H$136*N58</f>
        <v>5.8366439999999993E-5</v>
      </c>
      <c r="O61" s="34">
        <f>+O56*Assumptions!$H$136*O58</f>
        <v>5.8366439999999993E-5</v>
      </c>
      <c r="P61" s="34">
        <f>+P56*Assumptions!$H$136*P58</f>
        <v>5.8366439999999993E-5</v>
      </c>
      <c r="Q61" s="34">
        <f>+Q56*Assumptions!$H$136*Q58</f>
        <v>5.8366439999999993E-5</v>
      </c>
      <c r="R61" s="34">
        <f>+R56*Assumptions!$H$136*R58</f>
        <v>6.4203083999999998E-5</v>
      </c>
      <c r="S61" s="34">
        <f>+S56*Assumptions!$H$136*S58</f>
        <v>6.4203083999999998E-5</v>
      </c>
      <c r="T61" s="34">
        <f>+T56*Assumptions!$H$136*T58</f>
        <v>6.4203083999999998E-5</v>
      </c>
      <c r="U61" s="34">
        <f>+U56*Assumptions!$H$136*U58</f>
        <v>6.4203083999999998E-5</v>
      </c>
      <c r="V61" s="34">
        <f>+V56*Assumptions!$H$136*V58</f>
        <v>6.4203083999999998E-5</v>
      </c>
      <c r="W61" s="34">
        <f>+W56*Assumptions!$H$136*W58</f>
        <v>7.0623392400000003E-5</v>
      </c>
      <c r="X61" s="34">
        <f>+X56*Assumptions!$H$136*X58</f>
        <v>7.0623392400000003E-5</v>
      </c>
      <c r="Y61" s="34">
        <f>+Y56*Assumptions!$H$136*Y58</f>
        <v>7.0623392400000003E-5</v>
      </c>
      <c r="Z61" s="34">
        <f>+Z56*Assumptions!$H$136*Z58</f>
        <v>7.0623392400000003E-5</v>
      </c>
    </row>
    <row r="62" spans="1:26">
      <c r="B62" s="33" t="s">
        <v>229</v>
      </c>
      <c r="C62" s="33"/>
      <c r="D62" s="40"/>
      <c r="E62" s="40"/>
      <c r="F62" s="42">
        <f>-F61*Assumptions!$P$56</f>
        <v>0</v>
      </c>
      <c r="G62" s="42">
        <f>-G61*Assumptions!$P$56</f>
        <v>0</v>
      </c>
      <c r="H62" s="42">
        <f>-H61*Assumptions!$P$56</f>
        <v>0</v>
      </c>
      <c r="I62" s="42">
        <f>-I61*Assumptions!$P$56</f>
        <v>0</v>
      </c>
      <c r="J62" s="42">
        <f>-J61*Assumptions!$P$56</f>
        <v>-2.6795501999999999E-6</v>
      </c>
      <c r="K62" s="42">
        <f>-K61*Assumptions!$P$56</f>
        <v>-5.3591003999999998E-6</v>
      </c>
      <c r="L62" s="42">
        <f>-L61*Assumptions!$P$56</f>
        <v>-5.3591003999999998E-6</v>
      </c>
      <c r="M62" s="42">
        <f>-M61*Assumptions!$P$56</f>
        <v>-5.8950104400000001E-6</v>
      </c>
      <c r="N62" s="42">
        <f>-N61*Assumptions!$P$56</f>
        <v>-5.8950104400000001E-6</v>
      </c>
      <c r="O62" s="42">
        <f>-O61*Assumptions!$P$56</f>
        <v>-5.8950104400000001E-6</v>
      </c>
      <c r="P62" s="42">
        <f>-P61*Assumptions!$P$56</f>
        <v>-5.8950104400000001E-6</v>
      </c>
      <c r="Q62" s="42">
        <f>-Q61*Assumptions!$P$56</f>
        <v>-5.8950104400000001E-6</v>
      </c>
      <c r="R62" s="42">
        <f>-R61*Assumptions!$P$56</f>
        <v>-6.4845114840000001E-6</v>
      </c>
      <c r="S62" s="42">
        <f>-S61*Assumptions!$P$56</f>
        <v>-6.4845114840000001E-6</v>
      </c>
      <c r="T62" s="42">
        <f>-T61*Assumptions!$P$56</f>
        <v>-6.4845114840000001E-6</v>
      </c>
      <c r="U62" s="42">
        <f>-U61*Assumptions!$P$56</f>
        <v>-6.4845114840000001E-6</v>
      </c>
      <c r="V62" s="42">
        <f>-V61*Assumptions!$P$56</f>
        <v>-6.4845114840000001E-6</v>
      </c>
      <c r="W62" s="42">
        <f>-W61*Assumptions!$P$56</f>
        <v>-7.1329626324000004E-6</v>
      </c>
      <c r="X62" s="42">
        <f>-X61*Assumptions!$P$56</f>
        <v>-7.1329626324000004E-6</v>
      </c>
      <c r="Y62" s="42">
        <f>-Y61*Assumptions!$P$56</f>
        <v>-7.1329626324000004E-6</v>
      </c>
      <c r="Z62" s="42">
        <f>-Z61*Assumptions!$P$56</f>
        <v>-7.1329626324000004E-6</v>
      </c>
    </row>
    <row r="63" spans="1:26">
      <c r="B63" s="33" t="s">
        <v>244</v>
      </c>
      <c r="C63" s="33"/>
      <c r="D63" s="40"/>
      <c r="E63" s="40"/>
      <c r="F63" s="151">
        <f ca="1">+F68*Assumptions!$P$89</f>
        <v>0</v>
      </c>
      <c r="G63" s="151">
        <f ca="1">+G68*Assumptions!$P$89</f>
        <v>0</v>
      </c>
      <c r="H63" s="151">
        <f ca="1">+H68*Assumptions!$P$89</f>
        <v>0</v>
      </c>
      <c r="I63" s="151">
        <f ca="1">+I68*Assumptions!$P$89</f>
        <v>0</v>
      </c>
      <c r="J63" s="151">
        <f ca="1">+J68*Assumptions!$P$89</f>
        <v>1.1208085375221553E-5</v>
      </c>
      <c r="K63" s="151">
        <f ca="1">+K68*Assumptions!$P$89</f>
        <v>2.2646426980649191E-5</v>
      </c>
      <c r="L63" s="151">
        <f ca="1">+L68*Assumptions!$P$89</f>
        <v>2.2883590897761457E-5</v>
      </c>
      <c r="M63" s="151">
        <f ca="1">+M68*Assumptions!$P$89</f>
        <v>2.3422688993925237E-5</v>
      </c>
      <c r="N63" s="151">
        <f ca="1">+N68*Assumptions!$P$89</f>
        <v>2.3674296193589641E-5</v>
      </c>
      <c r="O63" s="151">
        <f ca="1">+O68*Assumptions!$P$89</f>
        <v>2.3933451609243978E-5</v>
      </c>
      <c r="P63" s="151">
        <f ca="1">+P68*Assumptions!$P$89</f>
        <v>2.4501097334136839E-5</v>
      </c>
      <c r="Q63" s="151">
        <f ca="1">+Q68*Assumptions!$P$89</f>
        <v>2.4776035314604527E-5</v>
      </c>
      <c r="R63" s="151">
        <f ca="1">+R68*Assumptions!$P$89</f>
        <v>2.5059221434486245E-5</v>
      </c>
      <c r="S63" s="151">
        <f ca="1">+S68*Assumptions!$P$89</f>
        <v>2.5657633097668696E-5</v>
      </c>
      <c r="T63" s="151">
        <f ca="1">+T68*Assumptions!$P$89</f>
        <v>2.5958065252251208E-5</v>
      </c>
      <c r="U63" s="151">
        <f ca="1">+U68*Assumptions!$P$89</f>
        <v>2.6267510371471198E-5</v>
      </c>
      <c r="V63" s="151">
        <f ca="1">+V68*Assumptions!$P$89</f>
        <v>2.6899103403166154E-5</v>
      </c>
      <c r="W63" s="151">
        <f ca="1">+W68*Assumptions!$P$89</f>
        <v>2.722739373014664E-5</v>
      </c>
      <c r="X63" s="151">
        <f ca="1">+X68*Assumptions!$P$89</f>
        <v>2.7565532766936539E-5</v>
      </c>
      <c r="Y63" s="151">
        <f ca="1">+Y68*Assumptions!$P$89</f>
        <v>2.8232937824906471E-5</v>
      </c>
      <c r="Z63" s="151">
        <f ca="1">+Z68*Assumptions!$P$89</f>
        <v>2.8591669529036878E-5</v>
      </c>
    </row>
    <row r="64" spans="1:26">
      <c r="B64" s="137" t="s">
        <v>238</v>
      </c>
      <c r="C64" s="137"/>
      <c r="D64" s="137"/>
      <c r="E64" s="137"/>
      <c r="F64" s="129">
        <f t="shared" ref="F64:Z64" ca="1" si="21">+SUM(F61:F63)</f>
        <v>0</v>
      </c>
      <c r="G64" s="129">
        <f t="shared" ca="1" si="21"/>
        <v>0</v>
      </c>
      <c r="H64" s="129">
        <f t="shared" ca="1" si="21"/>
        <v>0</v>
      </c>
      <c r="I64" s="129">
        <f t="shared" ca="1" si="21"/>
        <v>0</v>
      </c>
      <c r="J64" s="129">
        <f t="shared" ca="1" si="21"/>
        <v>3.5058735175221551E-5</v>
      </c>
      <c r="K64" s="129">
        <f t="shared" ca="1" si="21"/>
        <v>7.0347726580649185E-5</v>
      </c>
      <c r="L64" s="129">
        <f t="shared" ca="1" si="21"/>
        <v>7.0584890497761441E-5</v>
      </c>
      <c r="M64" s="129">
        <f t="shared" ca="1" si="21"/>
        <v>7.5894118553925224E-5</v>
      </c>
      <c r="N64" s="129">
        <f t="shared" ca="1" si="21"/>
        <v>7.6145725753589628E-5</v>
      </c>
      <c r="O64" s="129">
        <f t="shared" ca="1" si="21"/>
        <v>7.6404881169243972E-5</v>
      </c>
      <c r="P64" s="129">
        <f t="shared" ca="1" si="21"/>
        <v>7.6972526894136822E-5</v>
      </c>
      <c r="Q64" s="129">
        <f t="shared" ca="1" si="21"/>
        <v>7.724746487460451E-5</v>
      </c>
      <c r="R64" s="129">
        <f t="shared" ca="1" si="21"/>
        <v>8.2777793950486244E-5</v>
      </c>
      <c r="S64" s="129">
        <f t="shared" ca="1" si="21"/>
        <v>8.3376205613668692E-5</v>
      </c>
      <c r="T64" s="129">
        <f t="shared" ca="1" si="21"/>
        <v>8.3676637768251205E-5</v>
      </c>
      <c r="U64" s="129">
        <f t="shared" ca="1" si="21"/>
        <v>8.3986082887471198E-5</v>
      </c>
      <c r="V64" s="129">
        <f t="shared" ca="1" si="21"/>
        <v>8.4617675919166157E-5</v>
      </c>
      <c r="W64" s="129">
        <f t="shared" ca="1" si="21"/>
        <v>9.0717823497746643E-5</v>
      </c>
      <c r="X64" s="129">
        <f t="shared" ca="1" si="21"/>
        <v>9.1055962534536533E-5</v>
      </c>
      <c r="Y64" s="129">
        <f t="shared" ca="1" si="21"/>
        <v>9.1723367592506472E-5</v>
      </c>
      <c r="Z64" s="129">
        <f t="shared" ca="1" si="21"/>
        <v>9.2082099296636875E-5</v>
      </c>
    </row>
    <row r="66" spans="2:26">
      <c r="B66" s="33" t="s">
        <v>371</v>
      </c>
      <c r="F66" s="34">
        <f>+F55*Assumptions!$P$121*'Phase III Pro Forma'!F59</f>
        <v>0</v>
      </c>
      <c r="G66" s="34">
        <f>+G55*Assumptions!$P$121*'Phase III Pro Forma'!G59</f>
        <v>0</v>
      </c>
      <c r="H66" s="34">
        <f>+H55*Assumptions!$P$121*'Phase III Pro Forma'!H59</f>
        <v>0</v>
      </c>
      <c r="I66" s="34">
        <f>+I55*Assumptions!$P$121*'Phase III Pro Forma'!I59</f>
        <v>0</v>
      </c>
      <c r="J66" s="34">
        <f>+J55*Assumptions!$P$121*'Phase III Pro Forma'!J59</f>
        <v>4.2640042630756545E-6</v>
      </c>
      <c r="K66" s="34">
        <f>+K55*Assumptions!$P$121*'Phase III Pro Forma'!K59</f>
        <v>8.7838487819358464E-6</v>
      </c>
      <c r="L66" s="34">
        <f>+L55*Assumptions!$P$121*'Phase III Pro Forma'!L59</f>
        <v>9.0473642453939226E-6</v>
      </c>
      <c r="M66" s="34">
        <f>+M55*Assumptions!$P$121*'Phase III Pro Forma'!M59</f>
        <v>9.318785172755741E-6</v>
      </c>
      <c r="N66" s="34">
        <f>+N55*Assumptions!$P$121*'Phase III Pro Forma'!N59</f>
        <v>9.5983487279384146E-6</v>
      </c>
      <c r="O66" s="34">
        <f>+O55*Assumptions!$P$121*'Phase III Pro Forma'!O59</f>
        <v>9.8862991897765658E-6</v>
      </c>
      <c r="P66" s="34">
        <f>+P55*Assumptions!$P$121*'Phase III Pro Forma'!P59</f>
        <v>1.0182888165469864E-5</v>
      </c>
      <c r="Q66" s="34">
        <f>+Q55*Assumptions!$P$121*'Phase III Pro Forma'!Q59</f>
        <v>1.048837481043396E-5</v>
      </c>
      <c r="R66" s="34">
        <f>+R55*Assumptions!$P$121*'Phase III Pro Forma'!R59</f>
        <v>1.0803026054746978E-5</v>
      </c>
      <c r="S66" s="34">
        <f>+S55*Assumptions!$P$121*'Phase III Pro Forma'!S59</f>
        <v>1.1127116836389388E-5</v>
      </c>
      <c r="T66" s="34">
        <f>+T55*Assumptions!$P$121*'Phase III Pro Forma'!T59</f>
        <v>1.1460930341481071E-5</v>
      </c>
      <c r="U66" s="34">
        <f>+U55*Assumptions!$P$121*'Phase III Pro Forma'!U59</f>
        <v>1.1804758251725504E-5</v>
      </c>
      <c r="V66" s="34">
        <f>+V55*Assumptions!$P$121*'Phase III Pro Forma'!V59</f>
        <v>1.215890099927727E-5</v>
      </c>
      <c r="W66" s="34">
        <f>+W55*Assumptions!$P$121*'Phase III Pro Forma'!W59</f>
        <v>1.2523668029255587E-5</v>
      </c>
      <c r="X66" s="34">
        <f>+X55*Assumptions!$P$121*'Phase III Pro Forma'!X59</f>
        <v>1.2899378070133256E-5</v>
      </c>
      <c r="Y66" s="34">
        <f>+Y55*Assumptions!$P$121*'Phase III Pro Forma'!Y59</f>
        <v>1.3286359412237254E-5</v>
      </c>
      <c r="Z66" s="34">
        <f>+Z55*Assumptions!$P$121*'Phase III Pro Forma'!Z59</f>
        <v>1.3684950194604373E-5</v>
      </c>
    </row>
    <row r="67" spans="2:26">
      <c r="B67" s="33" t="s">
        <v>308</v>
      </c>
      <c r="F67" s="151">
        <f ca="1">+IFERROR(IFERROR(INDEX('Taxes and TIF'!$AR$11:$AR$45,MATCH('Phase III Pro Forma'!F$7,'Taxes and TIF'!$AG$11:$AG$45,0)),0)*'Loan Sizing'!$M$17*F56,0)</f>
        <v>0</v>
      </c>
      <c r="G67" s="151">
        <f ca="1">+IFERROR(IFERROR(INDEX('Taxes and TIF'!$AR$11:$AR$45,MATCH('Phase III Pro Forma'!G$7,'Taxes and TIF'!$AG$11:$AG$45,0)),0)*'Loan Sizing'!$M$17*G56,0)</f>
        <v>0</v>
      </c>
      <c r="H67" s="151">
        <f ca="1">+IFERROR(IFERROR(INDEX('Taxes and TIF'!$AR$11:$AR$45,MATCH('Phase III Pro Forma'!H$7,'Taxes and TIF'!$AG$11:$AG$45,0)),0)*'Loan Sizing'!$M$17*H56,0)</f>
        <v>0</v>
      </c>
      <c r="I67" s="151">
        <f ca="1">+IFERROR(IFERROR(INDEX('Taxes and TIF'!$AR$11:$AR$45,MATCH('Phase III Pro Forma'!I$7,'Taxes and TIF'!$AG$11:$AG$45,0)),0)*'Loan Sizing'!$M$17*I56,0)</f>
        <v>0</v>
      </c>
      <c r="J67" s="151">
        <f ca="1">+IFERROR(IFERROR(INDEX('Taxes and TIF'!$AR$11:$AR$45,MATCH('Phase III Pro Forma'!J$7,'Taxes and TIF'!$AG$11:$AG$45,0)),0)*'Loan Sizing'!$M$17*J56,0)</f>
        <v>8.1894239316149667E-6</v>
      </c>
      <c r="K67" s="151">
        <f ca="1">+IFERROR(IFERROR(INDEX('Taxes and TIF'!$AR$11:$AR$45,MATCH('Phase III Pro Forma'!K$7,'Taxes and TIF'!$AG$11:$AG$45,0)),0)*'Loan Sizing'!$M$17*K56,0)</f>
        <v>1.6378847863229933E-5</v>
      </c>
      <c r="L67" s="151">
        <f ca="1">+IFERROR(IFERROR(INDEX('Taxes and TIF'!$AR$11:$AR$45,MATCH('Phase III Pro Forma'!L$7,'Taxes and TIF'!$AG$11:$AG$45,0)),0)*'Loan Sizing'!$M$17*L56,0)</f>
        <v>1.6378847863229933E-5</v>
      </c>
      <c r="M67" s="151">
        <f ca="1">+IFERROR(IFERROR(INDEX('Taxes and TIF'!$AR$11:$AR$45,MATCH('Phase III Pro Forma'!M$7,'Taxes and TIF'!$AG$11:$AG$45,0)),0)*'Loan Sizing'!$M$17*M56,0)</f>
        <v>1.6706424820494533E-5</v>
      </c>
      <c r="N67" s="151">
        <f ca="1">+IFERROR(IFERROR(INDEX('Taxes and TIF'!$AR$11:$AR$45,MATCH('Phase III Pro Forma'!N$7,'Taxes and TIF'!$AG$11:$AG$45,0)),0)*'Loan Sizing'!$M$17*N56,0)</f>
        <v>1.6706424820494533E-5</v>
      </c>
      <c r="O67" s="151">
        <f ca="1">+IFERROR(IFERROR(INDEX('Taxes and TIF'!$AR$11:$AR$45,MATCH('Phase III Pro Forma'!O$7,'Taxes and TIF'!$AG$11:$AG$45,0)),0)*'Loan Sizing'!$M$17*O56,0)</f>
        <v>1.6706424820494533E-5</v>
      </c>
      <c r="P67" s="151">
        <f ca="1">+IFERROR(IFERROR(INDEX('Taxes and TIF'!$AR$11:$AR$45,MATCH('Phase III Pro Forma'!P$7,'Taxes and TIF'!$AG$11:$AG$45,0)),0)*'Loan Sizing'!$M$17*P56,0)</f>
        <v>1.7040553316904416E-5</v>
      </c>
      <c r="Q67" s="151">
        <f ca="1">+IFERROR(IFERROR(INDEX('Taxes and TIF'!$AR$11:$AR$45,MATCH('Phase III Pro Forma'!Q$7,'Taxes and TIF'!$AG$11:$AG$45,0)),0)*'Loan Sizing'!$M$17*Q56,0)</f>
        <v>1.7040553316904416E-5</v>
      </c>
      <c r="R67" s="151">
        <f ca="1">+IFERROR(IFERROR(INDEX('Taxes and TIF'!$AR$11:$AR$45,MATCH('Phase III Pro Forma'!R$7,'Taxes and TIF'!$AG$11:$AG$45,0)),0)*'Loan Sizing'!$M$17*R56,0)</f>
        <v>1.7040553316904416E-5</v>
      </c>
      <c r="S67" s="151">
        <f ca="1">+IFERROR(IFERROR(INDEX('Taxes and TIF'!$AR$11:$AR$45,MATCH('Phase III Pro Forma'!S$7,'Taxes and TIF'!$AG$11:$AG$45,0)),0)*'Loan Sizing'!$M$17*S56,0)</f>
        <v>1.7381364383242507E-5</v>
      </c>
      <c r="T67" s="151">
        <f ca="1">+IFERROR(IFERROR(INDEX('Taxes and TIF'!$AR$11:$AR$45,MATCH('Phase III Pro Forma'!T$7,'Taxes and TIF'!$AG$11:$AG$45,0)),0)*'Loan Sizing'!$M$17*T56,0)</f>
        <v>1.7381364383242507E-5</v>
      </c>
      <c r="U67" s="151">
        <f ca="1">+IFERROR(IFERROR(INDEX('Taxes and TIF'!$AR$11:$AR$45,MATCH('Phase III Pro Forma'!U$7,'Taxes and TIF'!$AG$11:$AG$45,0)),0)*'Loan Sizing'!$M$17*U56,0)</f>
        <v>1.7381364383242507E-5</v>
      </c>
      <c r="V67" s="151">
        <f ca="1">+IFERROR(IFERROR(INDEX('Taxes and TIF'!$AR$11:$AR$45,MATCH('Phase III Pro Forma'!V$7,'Taxes and TIF'!$AG$11:$AG$45,0)),0)*'Loan Sizing'!$M$17*V56,0)</f>
        <v>1.7728991670907358E-5</v>
      </c>
      <c r="W67" s="151">
        <f ca="1">+IFERROR(IFERROR(INDEX('Taxes and TIF'!$AR$11:$AR$45,MATCH('Phase III Pro Forma'!W$7,'Taxes and TIF'!$AG$11:$AG$45,0)),0)*'Loan Sizing'!$M$17*W56,0)</f>
        <v>1.7728991670907358E-5</v>
      </c>
      <c r="X67" s="151">
        <f ca="1">+IFERROR(IFERROR(INDEX('Taxes and TIF'!$AR$11:$AR$45,MATCH('Phase III Pro Forma'!X$7,'Taxes and TIF'!$AG$11:$AG$45,0)),0)*'Loan Sizing'!$M$17*X56,0)</f>
        <v>1.7728991670907358E-5</v>
      </c>
      <c r="Y67" s="151">
        <f ca="1">+IFERROR(IFERROR(INDEX('Taxes and TIF'!$AR$11:$AR$45,MATCH('Phase III Pro Forma'!Y$7,'Taxes and TIF'!$AG$11:$AG$45,0)),0)*'Loan Sizing'!$M$17*Y56,0)</f>
        <v>1.8083571504325505E-5</v>
      </c>
      <c r="Z67" s="151">
        <f ca="1">+IFERROR(IFERROR(INDEX('Taxes and TIF'!$AR$11:$AR$45,MATCH('Phase III Pro Forma'!Z$7,'Taxes and TIF'!$AG$11:$AG$45,0)),0)*'Loan Sizing'!$M$17*Z56,0)</f>
        <v>1.8083571504325505E-5</v>
      </c>
    </row>
    <row r="68" spans="2:26">
      <c r="B68" s="137" t="s">
        <v>234</v>
      </c>
      <c r="C68" s="137"/>
      <c r="D68" s="137"/>
      <c r="E68" s="137"/>
      <c r="F68" s="129">
        <f ca="1">+SUM(F66:F67)</f>
        <v>0</v>
      </c>
      <c r="G68" s="129">
        <f t="shared" ref="G68" ca="1" si="22">+SUM(G66:G67)</f>
        <v>0</v>
      </c>
      <c r="H68" s="129">
        <f t="shared" ref="H68:Z68" ca="1" si="23">+SUM(H66:H67)</f>
        <v>0</v>
      </c>
      <c r="I68" s="129">
        <f t="shared" ca="1" si="23"/>
        <v>0</v>
      </c>
      <c r="J68" s="129">
        <f t="shared" ca="1" si="23"/>
        <v>1.2453428194690621E-5</v>
      </c>
      <c r="K68" s="129">
        <f t="shared" ca="1" si="23"/>
        <v>2.516269664516578E-5</v>
      </c>
      <c r="L68" s="129">
        <f t="shared" ca="1" si="23"/>
        <v>2.5426212108623854E-5</v>
      </c>
      <c r="M68" s="129">
        <f t="shared" ca="1" si="23"/>
        <v>2.6025209993250276E-5</v>
      </c>
      <c r="N68" s="129">
        <f t="shared" ca="1" si="23"/>
        <v>2.6304773548432948E-5</v>
      </c>
      <c r="O68" s="129">
        <f t="shared" ca="1" si="23"/>
        <v>2.6592724010271101E-5</v>
      </c>
      <c r="P68" s="129">
        <f t="shared" ca="1" si="23"/>
        <v>2.7223441482374279E-5</v>
      </c>
      <c r="Q68" s="129">
        <f t="shared" ca="1" si="23"/>
        <v>2.7528928127338376E-5</v>
      </c>
      <c r="R68" s="129">
        <f t="shared" ca="1" si="23"/>
        <v>2.7843579371651394E-5</v>
      </c>
      <c r="S68" s="129">
        <f t="shared" ca="1" si="23"/>
        <v>2.8508481219631897E-5</v>
      </c>
      <c r="T68" s="129">
        <f t="shared" ca="1" si="23"/>
        <v>2.8842294724723579E-5</v>
      </c>
      <c r="U68" s="129">
        <f t="shared" ca="1" si="23"/>
        <v>2.9186122634968012E-5</v>
      </c>
      <c r="V68" s="129">
        <f t="shared" ca="1" si="23"/>
        <v>2.9887892670184628E-5</v>
      </c>
      <c r="W68" s="129">
        <f t="shared" ca="1" si="23"/>
        <v>3.0252659700162947E-5</v>
      </c>
      <c r="X68" s="129">
        <f t="shared" ca="1" si="23"/>
        <v>3.0628369741040613E-5</v>
      </c>
      <c r="Y68" s="129">
        <f t="shared" ca="1" si="23"/>
        <v>3.1369930916562759E-5</v>
      </c>
      <c r="Z68" s="129">
        <f t="shared" ca="1" si="23"/>
        <v>3.1768521698929877E-5</v>
      </c>
    </row>
    <row r="69" spans="2:26">
      <c r="B69" s="33"/>
    </row>
    <row r="70" spans="2:26" ht="15.5">
      <c r="B70" s="138" t="s">
        <v>233</v>
      </c>
      <c r="C70" s="138"/>
      <c r="D70" s="138"/>
      <c r="E70" s="138"/>
      <c r="F70" s="139">
        <f ca="1">+F64-F68</f>
        <v>0</v>
      </c>
      <c r="G70" s="139">
        <f t="shared" ref="G70:Z70" ca="1" si="24">+G64-G68</f>
        <v>0</v>
      </c>
      <c r="H70" s="139">
        <f t="shared" ca="1" si="24"/>
        <v>0</v>
      </c>
      <c r="I70" s="139">
        <f t="shared" ca="1" si="24"/>
        <v>0</v>
      </c>
      <c r="J70" s="139">
        <f t="shared" ca="1" si="24"/>
        <v>2.2605306980530932E-5</v>
      </c>
      <c r="K70" s="139">
        <f t="shared" ca="1" si="24"/>
        <v>4.5185029935483409E-5</v>
      </c>
      <c r="L70" s="139">
        <f t="shared" ca="1" si="24"/>
        <v>4.5158678389137587E-5</v>
      </c>
      <c r="M70" s="139">
        <f t="shared" ca="1" si="24"/>
        <v>4.9868908560674948E-5</v>
      </c>
      <c r="N70" s="139">
        <f t="shared" ca="1" si="24"/>
        <v>4.984095220515668E-5</v>
      </c>
      <c r="O70" s="139">
        <f t="shared" ca="1" si="24"/>
        <v>4.9812157158972871E-5</v>
      </c>
      <c r="P70" s="139">
        <f t="shared" ca="1" si="24"/>
        <v>4.9749085411762543E-5</v>
      </c>
      <c r="Q70" s="139">
        <f t="shared" ca="1" si="24"/>
        <v>4.9718536747266134E-5</v>
      </c>
      <c r="R70" s="139">
        <f t="shared" ca="1" si="24"/>
        <v>5.493421457883485E-5</v>
      </c>
      <c r="S70" s="139">
        <f t="shared" ca="1" si="24"/>
        <v>5.4867724394036795E-5</v>
      </c>
      <c r="T70" s="139">
        <f t="shared" ca="1" si="24"/>
        <v>5.4834343043527623E-5</v>
      </c>
      <c r="U70" s="139">
        <f t="shared" ca="1" si="24"/>
        <v>5.4799960252503186E-5</v>
      </c>
      <c r="V70" s="139">
        <f t="shared" ca="1" si="24"/>
        <v>5.4729783248981526E-5</v>
      </c>
      <c r="W70" s="139">
        <f t="shared" ca="1" si="24"/>
        <v>6.0465163797583696E-5</v>
      </c>
      <c r="X70" s="139">
        <f t="shared" ca="1" si="24"/>
        <v>6.042759279349592E-5</v>
      </c>
      <c r="Y70" s="139">
        <f t="shared" ca="1" si="24"/>
        <v>6.0353436675943712E-5</v>
      </c>
      <c r="Z70" s="139">
        <f t="shared" ca="1" si="24"/>
        <v>6.0313577597706999E-5</v>
      </c>
    </row>
    <row r="71" spans="2:26" ht="15.5">
      <c r="B71" s="143" t="s">
        <v>239</v>
      </c>
      <c r="C71" s="141"/>
      <c r="D71" s="141"/>
      <c r="E71" s="141"/>
      <c r="F71" s="144" t="str">
        <f ca="1">+IFERROR(F70/F64,"")</f>
        <v/>
      </c>
      <c r="G71" s="144" t="str">
        <f t="shared" ref="G71:Z71" ca="1" si="25">+IFERROR(G70/G64,"")</f>
        <v/>
      </c>
      <c r="H71" s="144" t="str">
        <f t="shared" ca="1" si="25"/>
        <v/>
      </c>
      <c r="I71" s="145" t="str">
        <f t="shared" ca="1" si="25"/>
        <v/>
      </c>
      <c r="J71" s="145">
        <f t="shared" ca="1" si="25"/>
        <v>0.64478387105384438</v>
      </c>
      <c r="K71" s="145">
        <f t="shared" ca="1" si="25"/>
        <v>0.64230973951491743</v>
      </c>
      <c r="L71" s="145">
        <f t="shared" ca="1" si="25"/>
        <v>0.63977825949265688</v>
      </c>
      <c r="M71" s="145">
        <f t="shared" ca="1" si="25"/>
        <v>0.65708528553818668</v>
      </c>
      <c r="N71" s="145">
        <f t="shared" ca="1" si="25"/>
        <v>0.65454694550346582</v>
      </c>
      <c r="O71" s="145">
        <f t="shared" ca="1" si="25"/>
        <v>0.65194993299753035</v>
      </c>
      <c r="P71" s="145">
        <f t="shared" ca="1" si="25"/>
        <v>0.64632262209845737</v>
      </c>
      <c r="Q71" s="145">
        <f t="shared" ca="1" si="25"/>
        <v>0.6436267756873838</v>
      </c>
      <c r="R71" s="145">
        <f t="shared" ca="1" si="25"/>
        <v>0.66363467733500958</v>
      </c>
      <c r="S71" s="145">
        <f t="shared" ca="1" si="25"/>
        <v>0.65807413506284318</v>
      </c>
      <c r="T71" s="145">
        <f t="shared" ca="1" si="25"/>
        <v>0.65531245645165015</v>
      </c>
      <c r="U71" s="145">
        <f t="shared" ca="1" si="25"/>
        <v>0.65248858344693783</v>
      </c>
      <c r="V71" s="145">
        <f t="shared" ca="1" si="25"/>
        <v>0.64678901487750584</v>
      </c>
      <c r="W71" s="145">
        <f t="shared" ca="1" si="25"/>
        <v>0.66651911902500172</v>
      </c>
      <c r="X71" s="145">
        <f t="shared" ca="1" si="25"/>
        <v>0.66363136593692473</v>
      </c>
      <c r="Y71" s="145">
        <f t="shared" ca="1" si="25"/>
        <v>0.65799412145520053</v>
      </c>
      <c r="Z71" s="145">
        <f t="shared" ca="1" si="25"/>
        <v>0.6549978558092</v>
      </c>
    </row>
    <row r="72" spans="2:26" ht="15.5">
      <c r="B72" s="143" t="s">
        <v>179</v>
      </c>
      <c r="C72" s="141"/>
      <c r="D72" s="141"/>
      <c r="E72" s="141"/>
      <c r="F72" s="142">
        <f ca="1">+F70/Assumptions!$P$130</f>
        <v>0</v>
      </c>
      <c r="G72" s="142">
        <f ca="1">+G70/Assumptions!$P$130</f>
        <v>0</v>
      </c>
      <c r="H72" s="142">
        <f ca="1">+H70/Assumptions!$P$130</f>
        <v>0</v>
      </c>
      <c r="I72" s="142">
        <f ca="1">+I70/Assumptions!$P$130</f>
        <v>0</v>
      </c>
      <c r="J72" s="142">
        <f ca="1">+J70/Assumptions!$P$130</f>
        <v>3.7675511634218219E-4</v>
      </c>
      <c r="K72" s="142">
        <f ca="1">+K70/Assumptions!$P$130</f>
        <v>7.5308383225805684E-4</v>
      </c>
      <c r="L72" s="142">
        <f ca="1">+L70/Assumptions!$P$130</f>
        <v>7.5264463981895976E-4</v>
      </c>
      <c r="M72" s="142">
        <f ca="1">+M70/Assumptions!$P$130</f>
        <v>8.3114847601124917E-4</v>
      </c>
      <c r="N72" s="142">
        <f ca="1">+N70/Assumptions!$P$130</f>
        <v>8.3068253675261134E-4</v>
      </c>
      <c r="O72" s="142">
        <f ca="1">+O70/Assumptions!$P$130</f>
        <v>8.3020261931621457E-4</v>
      </c>
      <c r="P72" s="142">
        <f ca="1">+P70/Assumptions!$P$130</f>
        <v>8.2915142352937572E-4</v>
      </c>
      <c r="Q72" s="142">
        <f ca="1">+Q70/Assumptions!$P$130</f>
        <v>8.286422791211023E-4</v>
      </c>
      <c r="R72" s="142">
        <f ca="1">+R70/Assumptions!$P$130</f>
        <v>9.1557024298058085E-4</v>
      </c>
      <c r="S72" s="142">
        <f ca="1">+S70/Assumptions!$P$130</f>
        <v>9.1446207323394658E-4</v>
      </c>
      <c r="T72" s="142">
        <f ca="1">+T70/Assumptions!$P$130</f>
        <v>9.1390571739212705E-4</v>
      </c>
      <c r="U72" s="142">
        <f ca="1">+U70/Assumptions!$P$130</f>
        <v>9.1333267087505309E-4</v>
      </c>
      <c r="V72" s="142">
        <f ca="1">+V70/Assumptions!$P$130</f>
        <v>9.1216305414969212E-4</v>
      </c>
      <c r="W72" s="142">
        <f ca="1">+W70/Assumptions!$P$130</f>
        <v>1.0077527299597283E-3</v>
      </c>
      <c r="X72" s="142">
        <f ca="1">+X70/Assumptions!$P$130</f>
        <v>1.0071265465582653E-3</v>
      </c>
      <c r="Y72" s="142">
        <f ca="1">+Y70/Assumptions!$P$130</f>
        <v>1.0058906112657285E-3</v>
      </c>
      <c r="Z72" s="142">
        <f ca="1">+Z70/Assumptions!$P$130</f>
        <v>1.0052262932951166E-3</v>
      </c>
    </row>
    <row r="74" spans="2:26" ht="15.5">
      <c r="B74" s="148" t="s">
        <v>827</v>
      </c>
      <c r="C74" s="149"/>
      <c r="D74" s="149"/>
      <c r="E74" s="149"/>
      <c r="F74" s="150">
        <f>+Assumptions!$H$22</f>
        <v>46022</v>
      </c>
      <c r="G74" s="150">
        <f>+EOMONTH(F74,12)</f>
        <v>46387</v>
      </c>
      <c r="H74" s="150">
        <f t="shared" ref="H74:Z74" si="26">+EOMONTH(G74,12)</f>
        <v>46752</v>
      </c>
      <c r="I74" s="150">
        <f t="shared" si="26"/>
        <v>47118</v>
      </c>
      <c r="J74" s="150">
        <f t="shared" si="26"/>
        <v>47483</v>
      </c>
      <c r="K74" s="150">
        <f t="shared" si="26"/>
        <v>47848</v>
      </c>
      <c r="L74" s="150">
        <f t="shared" si="26"/>
        <v>48213</v>
      </c>
      <c r="M74" s="150">
        <f t="shared" si="26"/>
        <v>48579</v>
      </c>
      <c r="N74" s="150">
        <f t="shared" si="26"/>
        <v>48944</v>
      </c>
      <c r="O74" s="150">
        <f t="shared" si="26"/>
        <v>49309</v>
      </c>
      <c r="P74" s="150">
        <f t="shared" si="26"/>
        <v>49674</v>
      </c>
      <c r="Q74" s="150">
        <f t="shared" si="26"/>
        <v>50040</v>
      </c>
      <c r="R74" s="150">
        <f t="shared" si="26"/>
        <v>50405</v>
      </c>
      <c r="S74" s="150">
        <f t="shared" si="26"/>
        <v>50770</v>
      </c>
      <c r="T74" s="150">
        <f t="shared" si="26"/>
        <v>51135</v>
      </c>
      <c r="U74" s="150">
        <f t="shared" si="26"/>
        <v>51501</v>
      </c>
      <c r="V74" s="150">
        <f t="shared" si="26"/>
        <v>51866</v>
      </c>
      <c r="W74" s="150">
        <f t="shared" si="26"/>
        <v>52231</v>
      </c>
      <c r="X74" s="150">
        <f t="shared" si="26"/>
        <v>52596</v>
      </c>
      <c r="Y74" s="150">
        <f t="shared" si="26"/>
        <v>52962</v>
      </c>
      <c r="Z74" s="150">
        <f t="shared" si="26"/>
        <v>53327</v>
      </c>
    </row>
    <row r="75" spans="2:26">
      <c r="B75" s="33" t="s">
        <v>690</v>
      </c>
      <c r="C75" s="33"/>
      <c r="D75" s="40"/>
      <c r="E75" s="40"/>
      <c r="F75" s="42">
        <f>+IF(AND(F74&gt;=Assumptions!$H$26,F74&lt;Assumptions!$H$28),Assumptions!$H$154/ROUNDUP((Assumptions!$H$27/12),0),0)</f>
        <v>0</v>
      </c>
      <c r="G75" s="42">
        <f>+IF(AND(G74&gt;=Assumptions!$H$26,G74&lt;Assumptions!$H$28),Assumptions!$H$154/ROUNDUP((Assumptions!$H$27/12),0),0)</f>
        <v>0</v>
      </c>
      <c r="H75" s="42">
        <f>+IF(AND(H74&gt;=Assumptions!$H$26,H74&lt;Assumptions!$H$28),Assumptions!$H$154/ROUNDUP((Assumptions!$H$27/12),0),0)</f>
        <v>0</v>
      </c>
      <c r="I75" s="42">
        <f>+IF(AND(I74&gt;=Assumptions!$H$26,I74&lt;Assumptions!$H$28),Assumptions!$H$154/ROUNDUP((Assumptions!$H$27/12),0),0)</f>
        <v>0</v>
      </c>
      <c r="J75" s="42">
        <f>+IF(AND(J74&gt;=Assumptions!$H$26,J74&lt;Assumptions!$H$28),Assumptions!$H$154/ROUNDUP((Assumptions!$H$27/12),0),0)</f>
        <v>5.0000000000000004E-6</v>
      </c>
      <c r="K75" s="42">
        <f>+IF(AND(K74&gt;=Assumptions!$H$26,K74&lt;Assumptions!$H$28),Assumptions!$H$154/ROUNDUP((Assumptions!$H$27/12),0),0)</f>
        <v>5.0000000000000004E-6</v>
      </c>
      <c r="L75" s="42">
        <f>+IF(AND(L74&gt;=Assumptions!$H$26,L74&lt;Assumptions!$H$28),Assumptions!$H$154/ROUNDUP((Assumptions!$H$27/12),0),0)</f>
        <v>0</v>
      </c>
      <c r="M75" s="42">
        <f>+IF(AND(M74&gt;=Assumptions!$H$26,M74&lt;Assumptions!$H$28),Assumptions!$H$154/ROUNDUP((Assumptions!$H$27/12),0),0)</f>
        <v>0</v>
      </c>
      <c r="N75" s="42">
        <f>+IF(AND(N74&gt;=Assumptions!$H$26,N74&lt;Assumptions!$H$28),Assumptions!$H$154/ROUNDUP((Assumptions!$H$27/12),0),0)</f>
        <v>0</v>
      </c>
      <c r="O75" s="42">
        <f>+IF(AND(O74&gt;=Assumptions!$H$26,O74&lt;Assumptions!$H$28),Assumptions!$H$154/ROUNDUP((Assumptions!$H$27/12),0),0)</f>
        <v>0</v>
      </c>
      <c r="P75" s="42">
        <f>+IF(AND(P74&gt;=Assumptions!$H$26,P74&lt;Assumptions!$H$28),Assumptions!$H$154/ROUNDUP((Assumptions!$H$27/12),0),0)</f>
        <v>0</v>
      </c>
      <c r="Q75" s="42">
        <f>+IF(AND(Q74&gt;=Assumptions!$H$26,Q74&lt;Assumptions!$H$28),Assumptions!$H$154/ROUNDUP((Assumptions!$H$27/12),0),0)</f>
        <v>0</v>
      </c>
      <c r="R75" s="42">
        <f>+IF(AND(R74&gt;=Assumptions!$H$26,R74&lt;Assumptions!$H$28),Assumptions!$H$154/ROUNDUP((Assumptions!$H$27/12),0),0)</f>
        <v>0</v>
      </c>
      <c r="S75" s="42">
        <f>+IF(AND(S74&gt;=Assumptions!$H$26,S74&lt;Assumptions!$H$28),Assumptions!$H$154/ROUNDUP((Assumptions!$H$27/12),0),0)</f>
        <v>0</v>
      </c>
      <c r="T75" s="42">
        <f>+IF(AND(T74&gt;=Assumptions!$H$26,T74&lt;Assumptions!$H$28),Assumptions!$H$154/ROUNDUP((Assumptions!$H$27/12),0),0)</f>
        <v>0</v>
      </c>
      <c r="U75" s="42">
        <f>+IF(AND(U74&gt;=Assumptions!$H$26,U74&lt;Assumptions!$H$28),Assumptions!$H$154/ROUNDUP((Assumptions!$H$27/12),0),0)</f>
        <v>0</v>
      </c>
      <c r="V75" s="42">
        <f>+IF(AND(V74&gt;=Assumptions!$H$26,V74&lt;Assumptions!$H$28),Assumptions!$H$154/ROUNDUP((Assumptions!$H$27/12),0),0)</f>
        <v>0</v>
      </c>
      <c r="W75" s="42">
        <f>+IF(AND(W74&gt;=Assumptions!$H$26,W74&lt;Assumptions!$H$28),Assumptions!$H$154/ROUNDUP((Assumptions!$H$27/12),0),0)</f>
        <v>0</v>
      </c>
      <c r="X75" s="42">
        <f>+IF(AND(X74&gt;=Assumptions!$H$26,X74&lt;Assumptions!$H$28),Assumptions!$H$154/ROUNDUP((Assumptions!$H$27/12),0),0)</f>
        <v>0</v>
      </c>
      <c r="Y75" s="42">
        <f>+IF(AND(Y74&gt;=Assumptions!$H$26,Y74&lt;Assumptions!$H$28),Assumptions!$H$154/ROUNDUP((Assumptions!$H$27/12),0),0)</f>
        <v>0</v>
      </c>
      <c r="Z75" s="42">
        <f>+IF(AND(Z74&gt;=Assumptions!$H$26,Z74&lt;Assumptions!$H$28),Assumptions!$H$154/ROUNDUP((Assumptions!$H$27/12),0),0)</f>
        <v>0</v>
      </c>
    </row>
    <row r="76" spans="2:26">
      <c r="B76" s="33" t="s">
        <v>231</v>
      </c>
      <c r="C76" s="33"/>
      <c r="D76" s="42"/>
      <c r="E76" s="42"/>
      <c r="F76" s="42">
        <f>+D76+F75</f>
        <v>0</v>
      </c>
      <c r="G76" s="42">
        <f t="shared" ref="G76:Z76" si="27">+F76+G75</f>
        <v>0</v>
      </c>
      <c r="H76" s="42">
        <f t="shared" si="27"/>
        <v>0</v>
      </c>
      <c r="I76" s="42">
        <f t="shared" si="27"/>
        <v>0</v>
      </c>
      <c r="J76" s="42">
        <f t="shared" si="27"/>
        <v>5.0000000000000004E-6</v>
      </c>
      <c r="K76" s="42">
        <f t="shared" si="27"/>
        <v>1.0000000000000001E-5</v>
      </c>
      <c r="L76" s="42">
        <f t="shared" si="27"/>
        <v>1.0000000000000001E-5</v>
      </c>
      <c r="M76" s="42">
        <f t="shared" si="27"/>
        <v>1.0000000000000001E-5</v>
      </c>
      <c r="N76" s="42">
        <f t="shared" si="27"/>
        <v>1.0000000000000001E-5</v>
      </c>
      <c r="O76" s="42">
        <f t="shared" si="27"/>
        <v>1.0000000000000001E-5</v>
      </c>
      <c r="P76" s="42">
        <f t="shared" si="27"/>
        <v>1.0000000000000001E-5</v>
      </c>
      <c r="Q76" s="42">
        <f t="shared" si="27"/>
        <v>1.0000000000000001E-5</v>
      </c>
      <c r="R76" s="42">
        <f t="shared" si="27"/>
        <v>1.0000000000000001E-5</v>
      </c>
      <c r="S76" s="42">
        <f t="shared" si="27"/>
        <v>1.0000000000000001E-5</v>
      </c>
      <c r="T76" s="42">
        <f t="shared" si="27"/>
        <v>1.0000000000000001E-5</v>
      </c>
      <c r="U76" s="42">
        <f t="shared" si="27"/>
        <v>1.0000000000000001E-5</v>
      </c>
      <c r="V76" s="42">
        <f t="shared" si="27"/>
        <v>1.0000000000000001E-5</v>
      </c>
      <c r="W76" s="42">
        <f t="shared" si="27"/>
        <v>1.0000000000000001E-5</v>
      </c>
      <c r="X76" s="42">
        <f t="shared" si="27"/>
        <v>1.0000000000000001E-5</v>
      </c>
      <c r="Y76" s="42">
        <f t="shared" si="27"/>
        <v>1.0000000000000001E-5</v>
      </c>
      <c r="Z76" s="42">
        <f t="shared" si="27"/>
        <v>1.0000000000000001E-5</v>
      </c>
    </row>
    <row r="77" spans="2:26">
      <c r="B77" s="33" t="s">
        <v>285</v>
      </c>
      <c r="C77" s="33"/>
      <c r="D77" s="42"/>
      <c r="E77" s="42"/>
      <c r="F77" s="108">
        <f>+IFERROR(F76/SUM($F75:$Z75),0)</f>
        <v>0</v>
      </c>
      <c r="G77" s="108">
        <f t="shared" ref="G77:Z77" si="28">+IFERROR(G76/SUM($F75:$Z75),0)</f>
        <v>0</v>
      </c>
      <c r="H77" s="108">
        <f t="shared" si="28"/>
        <v>0</v>
      </c>
      <c r="I77" s="108">
        <f t="shared" si="28"/>
        <v>0</v>
      </c>
      <c r="J77" s="108">
        <f t="shared" si="28"/>
        <v>0.5</v>
      </c>
      <c r="K77" s="108">
        <f t="shared" si="28"/>
        <v>1</v>
      </c>
      <c r="L77" s="108">
        <f t="shared" si="28"/>
        <v>1</v>
      </c>
      <c r="M77" s="108">
        <f t="shared" si="28"/>
        <v>1</v>
      </c>
      <c r="N77" s="108">
        <f t="shared" si="28"/>
        <v>1</v>
      </c>
      <c r="O77" s="108">
        <f t="shared" si="28"/>
        <v>1</v>
      </c>
      <c r="P77" s="108">
        <f t="shared" si="28"/>
        <v>1</v>
      </c>
      <c r="Q77" s="108">
        <f t="shared" si="28"/>
        <v>1</v>
      </c>
      <c r="R77" s="108">
        <f t="shared" si="28"/>
        <v>1</v>
      </c>
      <c r="S77" s="108">
        <f t="shared" si="28"/>
        <v>1</v>
      </c>
      <c r="T77" s="108">
        <f t="shared" si="28"/>
        <v>1</v>
      </c>
      <c r="U77" s="108">
        <f t="shared" si="28"/>
        <v>1</v>
      </c>
      <c r="V77" s="108">
        <f t="shared" si="28"/>
        <v>1</v>
      </c>
      <c r="W77" s="108">
        <f t="shared" si="28"/>
        <v>1</v>
      </c>
      <c r="X77" s="108">
        <f t="shared" si="28"/>
        <v>1</v>
      </c>
      <c r="Y77" s="108">
        <f t="shared" si="28"/>
        <v>1</v>
      </c>
      <c r="Z77" s="108">
        <f t="shared" si="28"/>
        <v>1</v>
      </c>
    </row>
    <row r="78" spans="2:26">
      <c r="B78" s="33"/>
      <c r="C78" s="33"/>
      <c r="D78" s="40"/>
      <c r="E78" s="40"/>
      <c r="F78" s="34"/>
      <c r="G78" s="34"/>
      <c r="H78" s="34"/>
      <c r="I78" s="34"/>
      <c r="J78" s="34"/>
      <c r="K78" s="34"/>
      <c r="L78" s="34"/>
      <c r="M78" s="34"/>
      <c r="N78" s="34"/>
      <c r="O78" s="34"/>
      <c r="P78" s="34"/>
      <c r="Q78" s="34"/>
      <c r="R78" s="34"/>
      <c r="S78" s="34"/>
      <c r="T78" s="34"/>
      <c r="U78" s="34"/>
      <c r="V78" s="34"/>
      <c r="W78" s="34"/>
      <c r="X78" s="34"/>
      <c r="Y78" s="34"/>
      <c r="Z78" s="34"/>
    </row>
    <row r="79" spans="2:26">
      <c r="B79" s="33" t="s">
        <v>236</v>
      </c>
      <c r="C79" s="33"/>
      <c r="D79" s="42"/>
      <c r="E79" s="42"/>
      <c r="F79" s="108">
        <v>1</v>
      </c>
      <c r="G79" s="108">
        <f>+IF(MOD(G$2,Assumptions!$P$69)=(Assumptions!$P$69-1),F79*(1+Assumptions!$P$68),'Phase III Pro Forma'!F79)</f>
        <v>1</v>
      </c>
      <c r="H79" s="108">
        <f>+IF(MOD(H$2,Assumptions!$P$69)=(Assumptions!$P$69-1),G79*(1+Assumptions!$P$68),'Phase III Pro Forma'!G79)</f>
        <v>1</v>
      </c>
      <c r="I79" s="108">
        <f>+IF(MOD(I$2,Assumptions!$P$69)=(Assumptions!$P$69-1),H79*(1+Assumptions!$P$68),'Phase III Pro Forma'!H79)</f>
        <v>1</v>
      </c>
      <c r="J79" s="108">
        <f>+IF(MOD(J$2,Assumptions!$P$69)=(Assumptions!$P$69-1),I79*(1+Assumptions!$P$68),'Phase III Pro Forma'!I79)</f>
        <v>1</v>
      </c>
      <c r="K79" s="108">
        <f>+IF(MOD(K$2,Assumptions!$P$69)=(Assumptions!$P$69-1),J79*(1+Assumptions!$P$68),'Phase III Pro Forma'!J79)</f>
        <v>1</v>
      </c>
      <c r="L79" s="108">
        <f>+IF(MOD(L$2,Assumptions!$P$69)=(Assumptions!$P$69-1),K79*(1+Assumptions!$P$68),'Phase III Pro Forma'!K79)</f>
        <v>1</v>
      </c>
      <c r="M79" s="108">
        <f>+IF(MOD(M$2,Assumptions!$P$69)=(Assumptions!$P$69-1),L79*(1+Assumptions!$P$68),'Phase III Pro Forma'!L79)</f>
        <v>1.05</v>
      </c>
      <c r="N79" s="108">
        <f>+IF(MOD(N$2,Assumptions!$P$69)=(Assumptions!$P$69-1),M79*(1+Assumptions!$P$68),'Phase III Pro Forma'!M79)</f>
        <v>1.05</v>
      </c>
      <c r="O79" s="108">
        <f>+IF(MOD(O$2,Assumptions!$P$69)=(Assumptions!$P$69-1),N79*(1+Assumptions!$P$68),'Phase III Pro Forma'!N79)</f>
        <v>1.05</v>
      </c>
      <c r="P79" s="108">
        <f>+IF(MOD(P$2,Assumptions!$P$69)=(Assumptions!$P$69-1),O79*(1+Assumptions!$P$68),'Phase III Pro Forma'!O79)</f>
        <v>1.05</v>
      </c>
      <c r="Q79" s="108">
        <f>+IF(MOD(Q$2,Assumptions!$P$69)=(Assumptions!$P$69-1),P79*(1+Assumptions!$P$68),'Phase III Pro Forma'!P79)</f>
        <v>1.05</v>
      </c>
      <c r="R79" s="108">
        <f>+IF(MOD(R$2,Assumptions!$P$69)=(Assumptions!$P$69-1),Q79*(1+Assumptions!$P$68),'Phase III Pro Forma'!Q79)</f>
        <v>1.1025</v>
      </c>
      <c r="S79" s="108">
        <f>+IF(MOD(S$2,Assumptions!$P$69)=(Assumptions!$P$69-1),R79*(1+Assumptions!$P$68),'Phase III Pro Forma'!R79)</f>
        <v>1.1025</v>
      </c>
      <c r="T79" s="108">
        <f>+IF(MOD(T$2,Assumptions!$P$69)=(Assumptions!$P$69-1),S79*(1+Assumptions!$P$68),'Phase III Pro Forma'!S79)</f>
        <v>1.1025</v>
      </c>
      <c r="U79" s="108">
        <f>+IF(MOD(U$2,Assumptions!$P$69)=(Assumptions!$P$69-1),T79*(1+Assumptions!$P$68),'Phase III Pro Forma'!T79)</f>
        <v>1.1025</v>
      </c>
      <c r="V79" s="108">
        <f>+IF(MOD(V$2,Assumptions!$P$69)=(Assumptions!$P$69-1),U79*(1+Assumptions!$P$68),'Phase III Pro Forma'!U79)</f>
        <v>1.1025</v>
      </c>
      <c r="W79" s="108">
        <f>+IF(MOD(W$2,Assumptions!$P$69)=(Assumptions!$P$69-1),V79*(1+Assumptions!$P$68),'Phase III Pro Forma'!V79)</f>
        <v>1.1576250000000001</v>
      </c>
      <c r="X79" s="108">
        <f>+IF(MOD(X$2,Assumptions!$P$69)=(Assumptions!$P$69-1),W79*(1+Assumptions!$P$68),'Phase III Pro Forma'!W79)</f>
        <v>1.1576250000000001</v>
      </c>
      <c r="Y79" s="108">
        <f>+IF(MOD(Y$2,Assumptions!$P$69)=(Assumptions!$P$69-1),X79*(1+Assumptions!$P$68),'Phase III Pro Forma'!X79)</f>
        <v>1.1576250000000001</v>
      </c>
      <c r="Z79" s="108">
        <f>+IF(MOD(Z$2,Assumptions!$P$69)=(Assumptions!$P$69-1),Y79*(1+Assumptions!$P$68),'Phase III Pro Forma'!Y79)</f>
        <v>1.1576250000000001</v>
      </c>
    </row>
    <row r="80" spans="2:26">
      <c r="B80" s="33" t="s">
        <v>237</v>
      </c>
      <c r="C80" s="33"/>
      <c r="D80" s="42"/>
      <c r="E80" s="42"/>
      <c r="F80" s="108">
        <v>1</v>
      </c>
      <c r="G80" s="108">
        <f>+F80*(1+Assumptions!$P$79)</f>
        <v>1.03</v>
      </c>
      <c r="H80" s="108">
        <f>+G80*(1+Assumptions!$P$79)</f>
        <v>1.0609</v>
      </c>
      <c r="I80" s="108">
        <f>+H80*(1+Assumptions!$P$79)</f>
        <v>1.092727</v>
      </c>
      <c r="J80" s="108">
        <f>+I80*(1+Assumptions!$P$79)</f>
        <v>1.1255088100000001</v>
      </c>
      <c r="K80" s="108">
        <f>+J80*(1+Assumptions!$P$79)</f>
        <v>1.1592740743000001</v>
      </c>
      <c r="L80" s="108">
        <f>+K80*(1+Assumptions!$P$79)</f>
        <v>1.1940522965290001</v>
      </c>
      <c r="M80" s="108">
        <f>+L80*(1+Assumptions!$P$79)</f>
        <v>1.2298738654248702</v>
      </c>
      <c r="N80" s="108">
        <f>+M80*(1+Assumptions!$P$79)</f>
        <v>1.2667700813876164</v>
      </c>
      <c r="O80" s="108">
        <f>+N80*(1+Assumptions!$P$79)</f>
        <v>1.3047731838292449</v>
      </c>
      <c r="P80" s="108">
        <f>+O80*(1+Assumptions!$P$79)</f>
        <v>1.3439163793441222</v>
      </c>
      <c r="Q80" s="108">
        <f>+P80*(1+Assumptions!$P$79)</f>
        <v>1.3842338707244459</v>
      </c>
      <c r="R80" s="108">
        <f>+Q80*(1+Assumptions!$P$79)</f>
        <v>1.4257608868461793</v>
      </c>
      <c r="S80" s="108">
        <f>+R80*(1+Assumptions!$P$79)</f>
        <v>1.4685337134515648</v>
      </c>
      <c r="T80" s="108">
        <f>+S80*(1+Assumptions!$P$79)</f>
        <v>1.5125897248551119</v>
      </c>
      <c r="U80" s="108">
        <f>+T80*(1+Assumptions!$P$79)</f>
        <v>1.5579674166007653</v>
      </c>
      <c r="V80" s="108">
        <f>+U80*(1+Assumptions!$P$79)</f>
        <v>1.6047064390987884</v>
      </c>
      <c r="W80" s="108">
        <f>+V80*(1+Assumptions!$P$79)</f>
        <v>1.652847632271752</v>
      </c>
      <c r="X80" s="108">
        <f>+W80*(1+Assumptions!$P$79)</f>
        <v>1.7024330612399046</v>
      </c>
      <c r="Y80" s="108">
        <f>+X80*(1+Assumptions!$P$79)</f>
        <v>1.7535060530771018</v>
      </c>
      <c r="Z80" s="108">
        <f>+Y80*(1+Assumptions!$P$79)</f>
        <v>1.806111234669415</v>
      </c>
    </row>
    <row r="81" spans="2:26">
      <c r="B81" s="33"/>
      <c r="C81" s="33"/>
      <c r="D81" s="40"/>
      <c r="E81" s="40"/>
      <c r="F81" s="34"/>
      <c r="G81" s="34"/>
      <c r="H81" s="34"/>
      <c r="I81" s="34"/>
      <c r="J81" s="34"/>
      <c r="K81" s="34"/>
      <c r="L81" s="34"/>
      <c r="M81" s="34"/>
      <c r="N81" s="34"/>
      <c r="O81" s="34"/>
      <c r="P81" s="34"/>
      <c r="Q81" s="34"/>
      <c r="R81" s="34"/>
      <c r="S81" s="34"/>
      <c r="T81" s="34"/>
      <c r="U81" s="34"/>
      <c r="V81" s="34"/>
      <c r="W81" s="34"/>
      <c r="X81" s="34"/>
      <c r="Y81" s="34"/>
      <c r="Z81" s="34"/>
    </row>
    <row r="82" spans="2:26">
      <c r="B82" s="33" t="s">
        <v>228</v>
      </c>
      <c r="C82" s="33"/>
      <c r="D82" s="40"/>
      <c r="E82" s="40"/>
      <c r="F82" s="34">
        <f>+F77*Assumptions!$H$153*F79</f>
        <v>0</v>
      </c>
      <c r="G82" s="34">
        <f>+G77*Assumptions!$H$153*G79</f>
        <v>0</v>
      </c>
      <c r="H82" s="34">
        <f>+H77*Assumptions!$H$153*H79</f>
        <v>0</v>
      </c>
      <c r="I82" s="34">
        <f>+I77*Assumptions!$H$153*I79</f>
        <v>0</v>
      </c>
      <c r="J82" s="34">
        <f>+J77*Assumptions!$H$153*J79</f>
        <v>2.0000000000000001E-4</v>
      </c>
      <c r="K82" s="34">
        <f>+K77*Assumptions!$H$153*K79</f>
        <v>4.0000000000000002E-4</v>
      </c>
      <c r="L82" s="34">
        <f>+L77*Assumptions!$H$153*L79</f>
        <v>4.0000000000000002E-4</v>
      </c>
      <c r="M82" s="34">
        <f>+M77*Assumptions!$H$153*M79</f>
        <v>4.2000000000000002E-4</v>
      </c>
      <c r="N82" s="34">
        <f>+N77*Assumptions!$H$153*N79</f>
        <v>4.2000000000000002E-4</v>
      </c>
      <c r="O82" s="34">
        <f>+O77*Assumptions!$H$153*O79</f>
        <v>4.2000000000000002E-4</v>
      </c>
      <c r="P82" s="34">
        <f>+P77*Assumptions!$H$153*P79</f>
        <v>4.2000000000000002E-4</v>
      </c>
      <c r="Q82" s="34">
        <f>+Q77*Assumptions!$H$153*Q79</f>
        <v>4.2000000000000002E-4</v>
      </c>
      <c r="R82" s="34">
        <f>+R77*Assumptions!$H$153*R79</f>
        <v>4.4100000000000004E-4</v>
      </c>
      <c r="S82" s="34">
        <f>+S77*Assumptions!$H$153*S79</f>
        <v>4.4100000000000004E-4</v>
      </c>
      <c r="T82" s="34">
        <f>+T77*Assumptions!$H$153*T79</f>
        <v>4.4100000000000004E-4</v>
      </c>
      <c r="U82" s="34">
        <f>+U77*Assumptions!$H$153*U79</f>
        <v>4.4100000000000004E-4</v>
      </c>
      <c r="V82" s="34">
        <f>+V77*Assumptions!$H$153*V79</f>
        <v>4.4100000000000004E-4</v>
      </c>
      <c r="W82" s="34">
        <f>+W77*Assumptions!$H$153*W79</f>
        <v>4.6305000000000006E-4</v>
      </c>
      <c r="X82" s="34">
        <f>+X77*Assumptions!$H$153*X79</f>
        <v>4.6305000000000006E-4</v>
      </c>
      <c r="Y82" s="34">
        <f>+Y77*Assumptions!$H$153*Y79</f>
        <v>4.6305000000000006E-4</v>
      </c>
      <c r="Z82" s="34">
        <f>+Z77*Assumptions!$H$153*Z79</f>
        <v>4.6305000000000006E-4</v>
      </c>
    </row>
    <row r="83" spans="2:26">
      <c r="B83" s="33" t="s">
        <v>229</v>
      </c>
      <c r="C83" s="33"/>
      <c r="D83" s="40"/>
      <c r="E83" s="40"/>
      <c r="F83" s="42">
        <f>-F82*Assumptions!$P$57</f>
        <v>0</v>
      </c>
      <c r="G83" s="42">
        <f>-G82*Assumptions!$P$57</f>
        <v>0</v>
      </c>
      <c r="H83" s="42">
        <f>-H82*Assumptions!$P$57</f>
        <v>0</v>
      </c>
      <c r="I83" s="42">
        <f>-I82*Assumptions!$P$57</f>
        <v>0</v>
      </c>
      <c r="J83" s="42">
        <f>-J82*Assumptions!$P$57</f>
        <v>0</v>
      </c>
      <c r="K83" s="42">
        <f>-K82*Assumptions!$P$57</f>
        <v>0</v>
      </c>
      <c r="L83" s="42">
        <f>-L82*Assumptions!$P$57</f>
        <v>0</v>
      </c>
      <c r="M83" s="42">
        <f>-M82*Assumptions!$P$57</f>
        <v>0</v>
      </c>
      <c r="N83" s="42">
        <f>-N82*Assumptions!$P$57</f>
        <v>0</v>
      </c>
      <c r="O83" s="42">
        <f>-O82*Assumptions!$P$57</f>
        <v>0</v>
      </c>
      <c r="P83" s="42">
        <f>-P82*Assumptions!$P$57</f>
        <v>0</v>
      </c>
      <c r="Q83" s="42">
        <f>-Q82*Assumptions!$P$57</f>
        <v>0</v>
      </c>
      <c r="R83" s="42">
        <f>-R82*Assumptions!$P$57</f>
        <v>0</v>
      </c>
      <c r="S83" s="42">
        <f>-S82*Assumptions!$P$57</f>
        <v>0</v>
      </c>
      <c r="T83" s="42">
        <f>-T82*Assumptions!$P$57</f>
        <v>0</v>
      </c>
      <c r="U83" s="42">
        <f>-U82*Assumptions!$P$57</f>
        <v>0</v>
      </c>
      <c r="V83" s="42">
        <f>-V82*Assumptions!$P$57</f>
        <v>0</v>
      </c>
      <c r="W83" s="42">
        <f>-W82*Assumptions!$P$57</f>
        <v>0</v>
      </c>
      <c r="X83" s="42">
        <f>-X82*Assumptions!$P$57</f>
        <v>0</v>
      </c>
      <c r="Y83" s="42">
        <f>-Y82*Assumptions!$P$57</f>
        <v>0</v>
      </c>
      <c r="Z83" s="42">
        <f>-Z82*Assumptions!$P$57</f>
        <v>0</v>
      </c>
    </row>
    <row r="84" spans="2:26">
      <c r="B84" s="33" t="s">
        <v>244</v>
      </c>
      <c r="C84" s="33"/>
      <c r="D84" s="40"/>
      <c r="E84" s="40"/>
      <c r="F84" s="151">
        <f ca="1">+F89*Assumptions!$P$90</f>
        <v>0</v>
      </c>
      <c r="G84" s="151">
        <f ca="1">+G89*Assumptions!$P$90</f>
        <v>0</v>
      </c>
      <c r="H84" s="151">
        <f ca="1">+H89*Assumptions!$P$90</f>
        <v>0</v>
      </c>
      <c r="I84" s="151">
        <f ca="1">+I89*Assumptions!$P$90</f>
        <v>0</v>
      </c>
      <c r="J84" s="151">
        <f ca="1">+J89*Assumptions!$P$90</f>
        <v>1.1517913565775561E-4</v>
      </c>
      <c r="K84" s="151">
        <f ca="1">+K89*Assumptions!$P$90</f>
        <v>2.3291667387335659E-4</v>
      </c>
      <c r="L84" s="151">
        <f ca="1">+L89*Assumptions!$P$90</f>
        <v>2.3555182850793735E-4</v>
      </c>
      <c r="M84" s="151">
        <f ca="1">+M89*Assumptions!$P$90</f>
        <v>2.4116760150263549E-4</v>
      </c>
      <c r="N84" s="151">
        <f ca="1">+N89*Assumptions!$P$90</f>
        <v>2.4396323705446225E-4</v>
      </c>
      <c r="O84" s="151">
        <f ca="1">+O89*Assumptions!$P$90</f>
        <v>2.4684274167284374E-4</v>
      </c>
      <c r="P84" s="151">
        <f ca="1">+P89*Assumptions!$P$90</f>
        <v>2.5276822642527827E-4</v>
      </c>
      <c r="Q84" s="151">
        <f ca="1">+Q89*Assumptions!$P$90</f>
        <v>2.558230928749192E-4</v>
      </c>
      <c r="R84" s="151">
        <f ca="1">+R89*Assumptions!$P$90</f>
        <v>2.5896960531804938E-4</v>
      </c>
      <c r="S84" s="151">
        <f ca="1">+S89*Assumptions!$P$90</f>
        <v>2.6522930002988512E-4</v>
      </c>
      <c r="T84" s="151">
        <f ca="1">+T89*Assumptions!$P$90</f>
        <v>2.6856743508080194E-4</v>
      </c>
      <c r="U84" s="151">
        <f ca="1">+U89*Assumptions!$P$90</f>
        <v>2.7200571418324626E-4</v>
      </c>
      <c r="V84" s="151">
        <f ca="1">+V89*Assumptions!$P$90</f>
        <v>2.7862630429208374E-4</v>
      </c>
      <c r="W84" s="151">
        <f ca="1">+W89*Assumptions!$P$90</f>
        <v>2.8227397459186694E-4</v>
      </c>
      <c r="X84" s="151">
        <f ca="1">+X89*Assumptions!$P$90</f>
        <v>2.8603107500064357E-4</v>
      </c>
      <c r="Y84" s="151">
        <f ca="1">+Y89*Assumptions!$P$90</f>
        <v>2.9304163430766983E-4</v>
      </c>
      <c r="Z84" s="151">
        <f ca="1">+Z89*Assumptions!$P$90</f>
        <v>2.9702754213134096E-4</v>
      </c>
    </row>
    <row r="85" spans="2:26">
      <c r="B85" s="137" t="s">
        <v>238</v>
      </c>
      <c r="C85" s="137"/>
      <c r="D85" s="137"/>
      <c r="E85" s="137"/>
      <c r="F85" s="129">
        <f t="shared" ref="F85:Z85" ca="1" si="29">+SUM(F82:F84)</f>
        <v>0</v>
      </c>
      <c r="G85" s="129">
        <f t="shared" ca="1" si="29"/>
        <v>0</v>
      </c>
      <c r="H85" s="129">
        <f t="shared" ca="1" si="29"/>
        <v>0</v>
      </c>
      <c r="I85" s="129">
        <f t="shared" ca="1" si="29"/>
        <v>0</v>
      </c>
      <c r="J85" s="129">
        <f t="shared" ca="1" si="29"/>
        <v>3.151791356577556E-4</v>
      </c>
      <c r="K85" s="129">
        <f t="shared" ca="1" si="29"/>
        <v>6.3291667387335661E-4</v>
      </c>
      <c r="L85" s="129">
        <f t="shared" ca="1" si="29"/>
        <v>6.3555182850793743E-4</v>
      </c>
      <c r="M85" s="129">
        <f t="shared" ca="1" si="29"/>
        <v>6.6116760150263551E-4</v>
      </c>
      <c r="N85" s="129">
        <f t="shared" ca="1" si="29"/>
        <v>6.6396323705446227E-4</v>
      </c>
      <c r="O85" s="129">
        <f t="shared" ca="1" si="29"/>
        <v>6.6684274167284376E-4</v>
      </c>
      <c r="P85" s="129">
        <f t="shared" ca="1" si="29"/>
        <v>6.7276822642527829E-4</v>
      </c>
      <c r="Q85" s="129">
        <f t="shared" ca="1" si="29"/>
        <v>6.7582309287491922E-4</v>
      </c>
      <c r="R85" s="129">
        <f t="shared" ca="1" si="29"/>
        <v>6.9996960531804942E-4</v>
      </c>
      <c r="S85" s="129">
        <f t="shared" ca="1" si="29"/>
        <v>7.0622930002988511E-4</v>
      </c>
      <c r="T85" s="129">
        <f t="shared" ca="1" si="29"/>
        <v>7.0956743508080204E-4</v>
      </c>
      <c r="U85" s="129">
        <f t="shared" ca="1" si="29"/>
        <v>7.1300571418324624E-4</v>
      </c>
      <c r="V85" s="129">
        <f t="shared" ca="1" si="29"/>
        <v>7.1962630429208384E-4</v>
      </c>
      <c r="W85" s="129">
        <f t="shared" ca="1" si="29"/>
        <v>7.4532397459186705E-4</v>
      </c>
      <c r="X85" s="129">
        <f t="shared" ca="1" si="29"/>
        <v>7.4908107500064368E-4</v>
      </c>
      <c r="Y85" s="129">
        <f t="shared" ca="1" si="29"/>
        <v>7.5609163430766994E-4</v>
      </c>
      <c r="Z85" s="129">
        <f t="shared" ca="1" si="29"/>
        <v>7.6007754213134097E-4</v>
      </c>
    </row>
    <row r="87" spans="2:26">
      <c r="B87" s="33" t="s">
        <v>371</v>
      </c>
      <c r="F87" s="34">
        <f>+F76*Assumptions!$P$122*'Phase III Pro Forma'!F80</f>
        <v>0</v>
      </c>
      <c r="G87" s="34">
        <f>+G76*Assumptions!$P$122*'Phase III Pro Forma'!G80</f>
        <v>0</v>
      </c>
      <c r="H87" s="34">
        <f>+H76*Assumptions!$P$122*'Phase III Pro Forma'!H80</f>
        <v>0</v>
      </c>
      <c r="I87" s="34">
        <f>+I76*Assumptions!$P$122*'Phase III Pro Forma'!I80</f>
        <v>0</v>
      </c>
      <c r="J87" s="34">
        <f>+J76*Assumptions!$P$122*'Phase III Pro Forma'!J80</f>
        <v>4.2640042630756549E-5</v>
      </c>
      <c r="K87" s="34">
        <f>+K76*Assumptions!$P$122*'Phase III Pro Forma'!K80</f>
        <v>8.7838487819358484E-5</v>
      </c>
      <c r="L87" s="34">
        <f>+L76*Assumptions!$P$122*'Phase III Pro Forma'!L80</f>
        <v>9.0473642453939236E-5</v>
      </c>
      <c r="M87" s="34">
        <f>+M76*Assumptions!$P$122*'Phase III Pro Forma'!M80</f>
        <v>9.3187851727557421E-5</v>
      </c>
      <c r="N87" s="34">
        <f>+N76*Assumptions!$P$122*'Phase III Pro Forma'!N80</f>
        <v>9.5983487279384153E-5</v>
      </c>
      <c r="O87" s="34">
        <f>+O76*Assumptions!$P$122*'Phase III Pro Forma'!O80</f>
        <v>9.8862991897765681E-5</v>
      </c>
      <c r="P87" s="34">
        <f>+P76*Assumptions!$P$122*'Phase III Pro Forma'!P80</f>
        <v>1.0182888165469864E-4</v>
      </c>
      <c r="Q87" s="34">
        <f>+Q76*Assumptions!$P$122*'Phase III Pro Forma'!Q80</f>
        <v>1.048837481043396E-4</v>
      </c>
      <c r="R87" s="34">
        <f>+R76*Assumptions!$P$122*'Phase III Pro Forma'!R80</f>
        <v>1.080302605474698E-4</v>
      </c>
      <c r="S87" s="34">
        <f>+S76*Assumptions!$P$122*'Phase III Pro Forma'!S80</f>
        <v>1.112711683638939E-4</v>
      </c>
      <c r="T87" s="34">
        <f>+T76*Assumptions!$P$122*'Phase III Pro Forma'!T80</f>
        <v>1.1460930341481073E-4</v>
      </c>
      <c r="U87" s="34">
        <f>+U76*Assumptions!$P$122*'Phase III Pro Forma'!U80</f>
        <v>1.1804758251725506E-4</v>
      </c>
      <c r="V87" s="34">
        <f>+V76*Assumptions!$P$122*'Phase III Pro Forma'!V80</f>
        <v>1.2158900999277271E-4</v>
      </c>
      <c r="W87" s="34">
        <f>+W76*Assumptions!$P$122*'Phase III Pro Forma'!W80</f>
        <v>1.2523668029255591E-4</v>
      </c>
      <c r="X87" s="34">
        <f>+X76*Assumptions!$P$122*'Phase III Pro Forma'!X80</f>
        <v>1.2899378070133256E-4</v>
      </c>
      <c r="Y87" s="34">
        <f>+Y76*Assumptions!$P$122*'Phase III Pro Forma'!Y80</f>
        <v>1.3286359412237255E-4</v>
      </c>
      <c r="Z87" s="34">
        <f>+Z76*Assumptions!$P$122*'Phase III Pro Forma'!Z80</f>
        <v>1.3684950194604373E-4</v>
      </c>
    </row>
    <row r="88" spans="2:26">
      <c r="B88" s="33" t="s">
        <v>308</v>
      </c>
      <c r="F88" s="151">
        <f ca="1">+IFERROR(IFERROR(INDEX('Taxes and TIF'!$AR$11:$AR$45,MATCH('Phase III Pro Forma'!F$7,'Taxes and TIF'!$AG$11:$AG$45,0)),0)*'Loan Sizing'!$M$18*F77,0)</f>
        <v>0</v>
      </c>
      <c r="G88" s="151">
        <f ca="1">+IFERROR(IFERROR(INDEX('Taxes and TIF'!$AR$11:$AR$45,MATCH('Phase III Pro Forma'!G$7,'Taxes and TIF'!$AG$11:$AG$45,0)),0)*'Loan Sizing'!$M$18*G77,0)</f>
        <v>0</v>
      </c>
      <c r="H88" s="151">
        <f ca="1">+IFERROR(IFERROR(INDEX('Taxes and TIF'!$AR$11:$AR$45,MATCH('Phase III Pro Forma'!H$7,'Taxes and TIF'!$AG$11:$AG$45,0)),0)*'Loan Sizing'!$M$18*H77,0)</f>
        <v>0</v>
      </c>
      <c r="I88" s="151">
        <f ca="1">+IFERROR(IFERROR(INDEX('Taxes and TIF'!$AR$11:$AR$45,MATCH('Phase III Pro Forma'!I$7,'Taxes and TIF'!$AG$11:$AG$45,0)),0)*'Loan Sizing'!$M$18*I77,0)</f>
        <v>0</v>
      </c>
      <c r="J88" s="151">
        <f ca="1">+IFERROR(IFERROR(INDEX('Taxes and TIF'!$AR$11:$AR$45,MATCH('Phase III Pro Forma'!J$7,'Taxes and TIF'!$AG$11:$AG$45,0)),0)*'Loan Sizing'!$M$18*J77,0)</f>
        <v>7.2539093026999072E-5</v>
      </c>
      <c r="K88" s="151">
        <f ca="1">+IFERROR(IFERROR(INDEX('Taxes and TIF'!$AR$11:$AR$45,MATCH('Phase III Pro Forma'!K$7,'Taxes and TIF'!$AG$11:$AG$45,0)),0)*'Loan Sizing'!$M$18*K77,0)</f>
        <v>1.4507818605399814E-4</v>
      </c>
      <c r="L88" s="151">
        <f ca="1">+IFERROR(IFERROR(INDEX('Taxes and TIF'!$AR$11:$AR$45,MATCH('Phase III Pro Forma'!L$7,'Taxes and TIF'!$AG$11:$AG$45,0)),0)*'Loan Sizing'!$M$18*L77,0)</f>
        <v>1.4507818605399814E-4</v>
      </c>
      <c r="M88" s="151">
        <f ca="1">+IFERROR(IFERROR(INDEX('Taxes and TIF'!$AR$11:$AR$45,MATCH('Phase III Pro Forma'!M$7,'Taxes and TIF'!$AG$11:$AG$45,0)),0)*'Loan Sizing'!$M$18*M77,0)</f>
        <v>1.4797974977507811E-4</v>
      </c>
      <c r="N88" s="151">
        <f ca="1">+IFERROR(IFERROR(INDEX('Taxes and TIF'!$AR$11:$AR$45,MATCH('Phase III Pro Forma'!N$7,'Taxes and TIF'!$AG$11:$AG$45,0)),0)*'Loan Sizing'!$M$18*N77,0)</f>
        <v>1.4797974977507811E-4</v>
      </c>
      <c r="O88" s="151">
        <f ca="1">+IFERROR(IFERROR(INDEX('Taxes and TIF'!$AR$11:$AR$45,MATCH('Phase III Pro Forma'!O$7,'Taxes and TIF'!$AG$11:$AG$45,0)),0)*'Loan Sizing'!$M$18*O77,0)</f>
        <v>1.4797974977507811E-4</v>
      </c>
      <c r="P88" s="151">
        <f ca="1">+IFERROR(IFERROR(INDEX('Taxes and TIF'!$AR$11:$AR$45,MATCH('Phase III Pro Forma'!P$7,'Taxes and TIF'!$AG$11:$AG$45,0)),0)*'Loan Sizing'!$M$18*P77,0)</f>
        <v>1.5093934477057963E-4</v>
      </c>
      <c r="Q88" s="151">
        <f ca="1">+IFERROR(IFERROR(INDEX('Taxes and TIF'!$AR$11:$AR$45,MATCH('Phase III Pro Forma'!Q$7,'Taxes and TIF'!$AG$11:$AG$45,0)),0)*'Loan Sizing'!$M$18*Q77,0)</f>
        <v>1.5093934477057963E-4</v>
      </c>
      <c r="R88" s="151">
        <f ca="1">+IFERROR(IFERROR(INDEX('Taxes and TIF'!$AR$11:$AR$45,MATCH('Phase III Pro Forma'!R$7,'Taxes and TIF'!$AG$11:$AG$45,0)),0)*'Loan Sizing'!$M$18*R77,0)</f>
        <v>1.5093934477057963E-4</v>
      </c>
      <c r="S88" s="151">
        <f ca="1">+IFERROR(IFERROR(INDEX('Taxes and TIF'!$AR$11:$AR$45,MATCH('Phase III Pro Forma'!S$7,'Taxes and TIF'!$AG$11:$AG$45,0)),0)*'Loan Sizing'!$M$18*S77,0)</f>
        <v>1.5395813166599125E-4</v>
      </c>
      <c r="T88" s="151">
        <f ca="1">+IFERROR(IFERROR(INDEX('Taxes and TIF'!$AR$11:$AR$45,MATCH('Phase III Pro Forma'!T$7,'Taxes and TIF'!$AG$11:$AG$45,0)),0)*'Loan Sizing'!$M$18*T77,0)</f>
        <v>1.5395813166599125E-4</v>
      </c>
      <c r="U88" s="151">
        <f ca="1">+IFERROR(IFERROR(INDEX('Taxes and TIF'!$AR$11:$AR$45,MATCH('Phase III Pro Forma'!U$7,'Taxes and TIF'!$AG$11:$AG$45,0)),0)*'Loan Sizing'!$M$18*U77,0)</f>
        <v>1.5395813166599125E-4</v>
      </c>
      <c r="V88" s="151">
        <f ca="1">+IFERROR(IFERROR(INDEX('Taxes and TIF'!$AR$11:$AR$45,MATCH('Phase III Pro Forma'!V$7,'Taxes and TIF'!$AG$11:$AG$45,0)),0)*'Loan Sizing'!$M$18*V77,0)</f>
        <v>1.5703729429931106E-4</v>
      </c>
      <c r="W88" s="151">
        <f ca="1">+IFERROR(IFERROR(INDEX('Taxes and TIF'!$AR$11:$AR$45,MATCH('Phase III Pro Forma'!W$7,'Taxes and TIF'!$AG$11:$AG$45,0)),0)*'Loan Sizing'!$M$18*W77,0)</f>
        <v>1.5703729429931106E-4</v>
      </c>
      <c r="X88" s="151">
        <f ca="1">+IFERROR(IFERROR(INDEX('Taxes and TIF'!$AR$11:$AR$45,MATCH('Phase III Pro Forma'!X$7,'Taxes and TIF'!$AG$11:$AG$45,0)),0)*'Loan Sizing'!$M$18*X77,0)</f>
        <v>1.5703729429931106E-4</v>
      </c>
      <c r="Y88" s="151">
        <f ca="1">+IFERROR(IFERROR(INDEX('Taxes and TIF'!$AR$11:$AR$45,MATCH('Phase III Pro Forma'!Y$7,'Taxes and TIF'!$AG$11:$AG$45,0)),0)*'Loan Sizing'!$M$18*Y77,0)</f>
        <v>1.6017804018529731E-4</v>
      </c>
      <c r="Z88" s="151">
        <f ca="1">+IFERROR(IFERROR(INDEX('Taxes and TIF'!$AR$11:$AR$45,MATCH('Phase III Pro Forma'!Z$7,'Taxes and TIF'!$AG$11:$AG$45,0)),0)*'Loan Sizing'!$M$18*Z77,0)</f>
        <v>1.6017804018529731E-4</v>
      </c>
    </row>
    <row r="89" spans="2:26">
      <c r="B89" s="137" t="s">
        <v>234</v>
      </c>
      <c r="C89" s="137"/>
      <c r="D89" s="137"/>
      <c r="E89" s="137"/>
      <c r="F89" s="129">
        <f ca="1">+SUM(F87:F88)</f>
        <v>0</v>
      </c>
      <c r="G89" s="129">
        <f t="shared" ref="G89" ca="1" si="30">+SUM(G87:G88)</f>
        <v>0</v>
      </c>
      <c r="H89" s="129">
        <f t="shared" ref="H89:Z89" ca="1" si="31">+SUM(H87:H88)</f>
        <v>0</v>
      </c>
      <c r="I89" s="129">
        <f t="shared" ca="1" si="31"/>
        <v>0</v>
      </c>
      <c r="J89" s="129">
        <f t="shared" ca="1" si="31"/>
        <v>1.1517913565775562E-4</v>
      </c>
      <c r="K89" s="129">
        <f t="shared" ca="1" si="31"/>
        <v>2.3291667387335664E-4</v>
      </c>
      <c r="L89" s="129">
        <f t="shared" ca="1" si="31"/>
        <v>2.3555182850793738E-4</v>
      </c>
      <c r="M89" s="129">
        <f t="shared" ca="1" si="31"/>
        <v>2.4116760150263555E-4</v>
      </c>
      <c r="N89" s="129">
        <f t="shared" ca="1" si="31"/>
        <v>2.4396323705446225E-4</v>
      </c>
      <c r="O89" s="129">
        <f t="shared" ca="1" si="31"/>
        <v>2.4684274167284379E-4</v>
      </c>
      <c r="P89" s="129">
        <f t="shared" ca="1" si="31"/>
        <v>2.5276822642527827E-4</v>
      </c>
      <c r="Q89" s="129">
        <f t="shared" ca="1" si="31"/>
        <v>2.558230928749192E-4</v>
      </c>
      <c r="R89" s="129">
        <f t="shared" ca="1" si="31"/>
        <v>2.5896960531804944E-4</v>
      </c>
      <c r="S89" s="129">
        <f t="shared" ca="1" si="31"/>
        <v>2.6522930002988512E-4</v>
      </c>
      <c r="T89" s="129">
        <f t="shared" ca="1" si="31"/>
        <v>2.68567435080802E-4</v>
      </c>
      <c r="U89" s="129">
        <f t="shared" ca="1" si="31"/>
        <v>2.7200571418324631E-4</v>
      </c>
      <c r="V89" s="129">
        <f t="shared" ca="1" si="31"/>
        <v>2.7862630429208374E-4</v>
      </c>
      <c r="W89" s="129">
        <f t="shared" ca="1" si="31"/>
        <v>2.8227397459186694E-4</v>
      </c>
      <c r="X89" s="129">
        <f t="shared" ca="1" si="31"/>
        <v>2.8603107500064362E-4</v>
      </c>
      <c r="Y89" s="129">
        <f t="shared" ca="1" si="31"/>
        <v>2.9304163430766983E-4</v>
      </c>
      <c r="Z89" s="129">
        <f t="shared" ca="1" si="31"/>
        <v>2.9702754213134107E-4</v>
      </c>
    </row>
    <row r="90" spans="2:26">
      <c r="B90" s="33"/>
    </row>
    <row r="91" spans="2:26" ht="15.5">
      <c r="B91" s="138" t="s">
        <v>233</v>
      </c>
      <c r="C91" s="138"/>
      <c r="D91" s="138"/>
      <c r="E91" s="138"/>
      <c r="F91" s="139">
        <f ca="1">+F85-F89</f>
        <v>0</v>
      </c>
      <c r="G91" s="139">
        <f t="shared" ref="G91:Z91" ca="1" si="32">+G85-G89</f>
        <v>0</v>
      </c>
      <c r="H91" s="139">
        <f t="shared" ca="1" si="32"/>
        <v>0</v>
      </c>
      <c r="I91" s="139">
        <f t="shared" ca="1" si="32"/>
        <v>0</v>
      </c>
      <c r="J91" s="139">
        <f t="shared" ca="1" si="32"/>
        <v>1.9999999999999998E-4</v>
      </c>
      <c r="K91" s="139">
        <f t="shared" ca="1" si="32"/>
        <v>3.9999999999999996E-4</v>
      </c>
      <c r="L91" s="139">
        <f t="shared" ca="1" si="32"/>
        <v>4.0000000000000007E-4</v>
      </c>
      <c r="M91" s="139">
        <f t="shared" ca="1" si="32"/>
        <v>4.1999999999999996E-4</v>
      </c>
      <c r="N91" s="139">
        <f t="shared" ca="1" si="32"/>
        <v>4.2000000000000002E-4</v>
      </c>
      <c r="O91" s="139">
        <f t="shared" ca="1" si="32"/>
        <v>4.1999999999999996E-4</v>
      </c>
      <c r="P91" s="139">
        <f t="shared" ca="1" si="32"/>
        <v>4.2000000000000002E-4</v>
      </c>
      <c r="Q91" s="139">
        <f t="shared" ca="1" si="32"/>
        <v>4.2000000000000002E-4</v>
      </c>
      <c r="R91" s="139">
        <f t="shared" ca="1" si="32"/>
        <v>4.4099999999999999E-4</v>
      </c>
      <c r="S91" s="139">
        <f t="shared" ca="1" si="32"/>
        <v>4.4099999999999999E-4</v>
      </c>
      <c r="T91" s="139">
        <f t="shared" ca="1" si="32"/>
        <v>4.4100000000000004E-4</v>
      </c>
      <c r="U91" s="139">
        <f t="shared" ca="1" si="32"/>
        <v>4.4099999999999993E-4</v>
      </c>
      <c r="V91" s="139">
        <f t="shared" ca="1" si="32"/>
        <v>4.4100000000000009E-4</v>
      </c>
      <c r="W91" s="139">
        <f t="shared" ca="1" si="32"/>
        <v>4.6305000000000012E-4</v>
      </c>
      <c r="X91" s="139">
        <f t="shared" ca="1" si="32"/>
        <v>4.6305000000000006E-4</v>
      </c>
      <c r="Y91" s="139">
        <f t="shared" ca="1" si="32"/>
        <v>4.6305000000000012E-4</v>
      </c>
      <c r="Z91" s="139">
        <f t="shared" ca="1" si="32"/>
        <v>4.630499999999999E-4</v>
      </c>
    </row>
    <row r="92" spans="2:26" ht="15.5">
      <c r="B92" s="143" t="s">
        <v>239</v>
      </c>
      <c r="C92" s="141"/>
      <c r="D92" s="141"/>
      <c r="E92" s="141"/>
      <c r="F92" s="144" t="str">
        <f ca="1">+IFERROR(F91/F85,"")</f>
        <v/>
      </c>
      <c r="G92" s="144" t="str">
        <f t="shared" ref="G92:Z92" ca="1" si="33">+IFERROR(G91/G85,"")</f>
        <v/>
      </c>
      <c r="H92" s="144" t="str">
        <f t="shared" ca="1" si="33"/>
        <v/>
      </c>
      <c r="I92" s="145" t="str">
        <f t="shared" ca="1" si="33"/>
        <v/>
      </c>
      <c r="J92" s="145">
        <f t="shared" ca="1" si="33"/>
        <v>0.63455977053371482</v>
      </c>
      <c r="K92" s="145">
        <f t="shared" ca="1" si="33"/>
        <v>0.63199472618102948</v>
      </c>
      <c r="L92" s="145">
        <f t="shared" ca="1" si="33"/>
        <v>0.62937432017002604</v>
      </c>
      <c r="M92" s="145">
        <f t="shared" ca="1" si="33"/>
        <v>0.63523983789506022</v>
      </c>
      <c r="N92" s="145">
        <f t="shared" ca="1" si="33"/>
        <v>0.63256514300888789</v>
      </c>
      <c r="O92" s="145">
        <f t="shared" ca="1" si="33"/>
        <v>0.62983365305347205</v>
      </c>
      <c r="P92" s="145">
        <f t="shared" ca="1" si="33"/>
        <v>0.62428631957197189</v>
      </c>
      <c r="Q92" s="145">
        <f t="shared" ca="1" si="33"/>
        <v>0.62146441047662349</v>
      </c>
      <c r="R92" s="145">
        <f t="shared" ca="1" si="33"/>
        <v>0.63002735640159713</v>
      </c>
      <c r="S92" s="145">
        <f t="shared" ca="1" si="33"/>
        <v>0.62444308099556112</v>
      </c>
      <c r="T92" s="145">
        <f t="shared" ca="1" si="33"/>
        <v>0.62150541047558239</v>
      </c>
      <c r="U92" s="145">
        <f t="shared" ca="1" si="33"/>
        <v>0.61850836708254009</v>
      </c>
      <c r="V92" s="145">
        <f t="shared" ca="1" si="33"/>
        <v>0.61281806594580213</v>
      </c>
      <c r="W92" s="145">
        <f t="shared" ca="1" si="33"/>
        <v>0.62127345394137135</v>
      </c>
      <c r="X92" s="145">
        <f t="shared" ca="1" si="33"/>
        <v>0.61815738703531142</v>
      </c>
      <c r="Y92" s="145">
        <f t="shared" ca="1" si="33"/>
        <v>0.61242576823905859</v>
      </c>
      <c r="Z92" s="145">
        <f t="shared" ca="1" si="33"/>
        <v>0.60921415820490732</v>
      </c>
    </row>
    <row r="93" spans="2:26" ht="15.5">
      <c r="B93" s="143" t="s">
        <v>179</v>
      </c>
      <c r="C93" s="141"/>
      <c r="D93" s="141"/>
      <c r="E93" s="141"/>
      <c r="F93" s="142">
        <f ca="1">+F91/Assumptions!$P$132</f>
        <v>0</v>
      </c>
      <c r="G93" s="142">
        <f ca="1">+G91/Assumptions!$P$132</f>
        <v>0</v>
      </c>
      <c r="H93" s="142">
        <f ca="1">+H91/Assumptions!$P$132</f>
        <v>0</v>
      </c>
      <c r="I93" s="142">
        <f ca="1">+I91/Assumptions!$P$132</f>
        <v>0</v>
      </c>
      <c r="J93" s="142">
        <f ca="1">+J91/Assumptions!$P$132</f>
        <v>2.2222222222222222E-3</v>
      </c>
      <c r="K93" s="142">
        <f ca="1">+K91/Assumptions!$P$132</f>
        <v>4.4444444444444444E-3</v>
      </c>
      <c r="L93" s="142">
        <f ca="1">+L91/Assumptions!$P$132</f>
        <v>4.4444444444444453E-3</v>
      </c>
      <c r="M93" s="142">
        <f ca="1">+M91/Assumptions!$P$132</f>
        <v>4.6666666666666662E-3</v>
      </c>
      <c r="N93" s="142">
        <f ca="1">+N91/Assumptions!$P$132</f>
        <v>4.6666666666666671E-3</v>
      </c>
      <c r="O93" s="142">
        <f ca="1">+O91/Assumptions!$P$132</f>
        <v>4.6666666666666662E-3</v>
      </c>
      <c r="P93" s="142">
        <f ca="1">+P91/Assumptions!$P$132</f>
        <v>4.6666666666666671E-3</v>
      </c>
      <c r="Q93" s="142">
        <f ca="1">+Q91/Assumptions!$P$132</f>
        <v>4.6666666666666671E-3</v>
      </c>
      <c r="R93" s="142">
        <f ca="1">+R91/Assumptions!$P$132</f>
        <v>4.8999999999999998E-3</v>
      </c>
      <c r="S93" s="142">
        <f ca="1">+S91/Assumptions!$P$132</f>
        <v>4.8999999999999998E-3</v>
      </c>
      <c r="T93" s="142">
        <f ca="1">+T91/Assumptions!$P$132</f>
        <v>4.9000000000000007E-3</v>
      </c>
      <c r="U93" s="142">
        <f ca="1">+U91/Assumptions!$P$132</f>
        <v>4.8999999999999998E-3</v>
      </c>
      <c r="V93" s="142">
        <f ca="1">+V91/Assumptions!$P$132</f>
        <v>4.9000000000000016E-3</v>
      </c>
      <c r="W93" s="142">
        <f ca="1">+W91/Assumptions!$P$132</f>
        <v>5.1450000000000011E-3</v>
      </c>
      <c r="X93" s="142">
        <f ca="1">+X91/Assumptions!$P$132</f>
        <v>5.1450000000000011E-3</v>
      </c>
      <c r="Y93" s="142">
        <f ca="1">+Y91/Assumptions!$P$132</f>
        <v>5.1450000000000011E-3</v>
      </c>
      <c r="Z93" s="142">
        <f ca="1">+Z91/Assumptions!$P$132</f>
        <v>5.1449999999999994E-3</v>
      </c>
    </row>
    <row r="95" spans="2:26" ht="15.5">
      <c r="B95" s="148" t="s">
        <v>139</v>
      </c>
      <c r="C95" s="149"/>
      <c r="D95" s="149"/>
      <c r="E95" s="149"/>
      <c r="F95" s="150">
        <f>+Assumptions!$H$22</f>
        <v>46022</v>
      </c>
      <c r="G95" s="150">
        <f>+EOMONTH(F95,12)</f>
        <v>46387</v>
      </c>
      <c r="H95" s="150">
        <f t="shared" ref="H95:Z95" si="34">+EOMONTH(G95,12)</f>
        <v>46752</v>
      </c>
      <c r="I95" s="150">
        <f t="shared" si="34"/>
        <v>47118</v>
      </c>
      <c r="J95" s="150">
        <f t="shared" si="34"/>
        <v>47483</v>
      </c>
      <c r="K95" s="150">
        <f t="shared" si="34"/>
        <v>47848</v>
      </c>
      <c r="L95" s="150">
        <f t="shared" si="34"/>
        <v>48213</v>
      </c>
      <c r="M95" s="150">
        <f t="shared" si="34"/>
        <v>48579</v>
      </c>
      <c r="N95" s="150">
        <f t="shared" si="34"/>
        <v>48944</v>
      </c>
      <c r="O95" s="150">
        <f t="shared" si="34"/>
        <v>49309</v>
      </c>
      <c r="P95" s="150">
        <f t="shared" si="34"/>
        <v>49674</v>
      </c>
      <c r="Q95" s="150">
        <f t="shared" si="34"/>
        <v>50040</v>
      </c>
      <c r="R95" s="150">
        <f t="shared" si="34"/>
        <v>50405</v>
      </c>
      <c r="S95" s="150">
        <f t="shared" si="34"/>
        <v>50770</v>
      </c>
      <c r="T95" s="150">
        <f t="shared" si="34"/>
        <v>51135</v>
      </c>
      <c r="U95" s="150">
        <f t="shared" si="34"/>
        <v>51501</v>
      </c>
      <c r="V95" s="150">
        <f t="shared" si="34"/>
        <v>51866</v>
      </c>
      <c r="W95" s="150">
        <f t="shared" si="34"/>
        <v>52231</v>
      </c>
      <c r="X95" s="150">
        <f t="shared" si="34"/>
        <v>52596</v>
      </c>
      <c r="Y95" s="150">
        <f t="shared" si="34"/>
        <v>52962</v>
      </c>
      <c r="Z95" s="150">
        <f t="shared" si="34"/>
        <v>53327</v>
      </c>
    </row>
    <row r="96" spans="2:26">
      <c r="B96" s="33" t="s">
        <v>690</v>
      </c>
      <c r="C96" s="33"/>
      <c r="D96" s="40"/>
      <c r="E96" s="40"/>
      <c r="F96" s="42">
        <f>+IF(AND(F95&gt;=Assumptions!$H$26,F95&lt;Assumptions!$H$28),Assumptions!$H$172/ROUNDUP((Assumptions!$H$27/12),0),0)</f>
        <v>0</v>
      </c>
      <c r="G96" s="42">
        <f>+IF(AND(G95&gt;=Assumptions!$H$26,G95&lt;Assumptions!$H$28),Assumptions!$H$172/ROUNDUP((Assumptions!$H$27/12),0),0)</f>
        <v>0</v>
      </c>
      <c r="H96" s="42">
        <f>+IF(AND(H95&gt;=Assumptions!$H$26,H95&lt;Assumptions!$H$28),Assumptions!$H$172/ROUNDUP((Assumptions!$H$27/12),0),0)</f>
        <v>0</v>
      </c>
      <c r="I96" s="42">
        <f>+IF(AND(I95&gt;=Assumptions!$H$26,I95&lt;Assumptions!$H$28),Assumptions!$H$172/ROUNDUP((Assumptions!$H$27/12),0),0)</f>
        <v>0</v>
      </c>
      <c r="J96" s="42">
        <f>+IF(AND(J95&gt;=Assumptions!$H$26,J95&lt;Assumptions!$H$28),Assumptions!$H$172/ROUNDUP((Assumptions!$H$27/12),0),0)</f>
        <v>356026.0000005</v>
      </c>
      <c r="K96" s="42">
        <f>+IF(AND(K95&gt;=Assumptions!$H$26,K95&lt;Assumptions!$H$28),Assumptions!$H$172/ROUNDUP((Assumptions!$H$27/12),0),0)</f>
        <v>356026.0000005</v>
      </c>
      <c r="L96" s="42">
        <f>+IF(AND(L95&gt;=Assumptions!$H$26,L95&lt;Assumptions!$H$28),Assumptions!$H$172/ROUNDUP((Assumptions!$H$27/12),0),0)</f>
        <v>0</v>
      </c>
      <c r="M96" s="42">
        <f>+IF(AND(M95&gt;=Assumptions!$H$26,M95&lt;Assumptions!$H$28),Assumptions!$H$172/ROUNDUP((Assumptions!$H$27/12),0),0)</f>
        <v>0</v>
      </c>
      <c r="N96" s="42">
        <f>+IF(AND(N95&gt;=Assumptions!$H$26,N95&lt;Assumptions!$H$28),Assumptions!$H$172/ROUNDUP((Assumptions!$H$27/12),0),0)</f>
        <v>0</v>
      </c>
      <c r="O96" s="42">
        <f>+IF(AND(O95&gt;=Assumptions!$H$26,O95&lt;Assumptions!$H$28),Assumptions!$H$172/ROUNDUP((Assumptions!$H$27/12),0),0)</f>
        <v>0</v>
      </c>
      <c r="P96" s="42">
        <f>+IF(AND(P95&gt;=Assumptions!$H$26,P95&lt;Assumptions!$H$28),Assumptions!$H$172/ROUNDUP((Assumptions!$H$27/12),0),0)</f>
        <v>0</v>
      </c>
      <c r="Q96" s="42">
        <f>+IF(AND(Q95&gt;=Assumptions!$H$26,Q95&lt;Assumptions!$H$28),Assumptions!$H$172/ROUNDUP((Assumptions!$H$27/12),0),0)</f>
        <v>0</v>
      </c>
      <c r="R96" s="42">
        <f>+IF(AND(R95&gt;=Assumptions!$H$26,R95&lt;Assumptions!$H$28),Assumptions!$H$172/ROUNDUP((Assumptions!$H$27/12),0),0)</f>
        <v>0</v>
      </c>
      <c r="S96" s="42">
        <f>+IF(AND(S95&gt;=Assumptions!$H$26,S95&lt;Assumptions!$H$28),Assumptions!$H$172/ROUNDUP((Assumptions!$H$27/12),0),0)</f>
        <v>0</v>
      </c>
      <c r="T96" s="42">
        <f>+IF(AND(T95&gt;=Assumptions!$H$26,T95&lt;Assumptions!$H$28),Assumptions!$H$172/ROUNDUP((Assumptions!$H$27/12),0),0)</f>
        <v>0</v>
      </c>
      <c r="U96" s="42">
        <f>+IF(AND(U95&gt;=Assumptions!$H$26,U95&lt;Assumptions!$H$28),Assumptions!$H$172/ROUNDUP((Assumptions!$H$27/12),0),0)</f>
        <v>0</v>
      </c>
      <c r="V96" s="42">
        <f>+IF(AND(V95&gt;=Assumptions!$H$26,V95&lt;Assumptions!$H$28),Assumptions!$H$172/ROUNDUP((Assumptions!$H$27/12),0),0)</f>
        <v>0</v>
      </c>
      <c r="W96" s="42">
        <f>+IF(AND(W95&gt;=Assumptions!$H$26,W95&lt;Assumptions!$H$28),Assumptions!$H$172/ROUNDUP((Assumptions!$H$27/12),0),0)</f>
        <v>0</v>
      </c>
      <c r="X96" s="42">
        <f>+IF(AND(X95&gt;=Assumptions!$H$26,X95&lt;Assumptions!$H$28),Assumptions!$H$172/ROUNDUP((Assumptions!$H$27/12),0),0)</f>
        <v>0</v>
      </c>
      <c r="Y96" s="42">
        <f>+IF(AND(Y95&gt;=Assumptions!$H$26,Y95&lt;Assumptions!$H$28),Assumptions!$H$172/ROUNDUP((Assumptions!$H$27/12),0),0)</f>
        <v>0</v>
      </c>
      <c r="Z96" s="42">
        <f>+IF(AND(Z95&gt;=Assumptions!$H$26,Z95&lt;Assumptions!$H$28),Assumptions!$H$172/ROUNDUP((Assumptions!$H$27/12),0),0)</f>
        <v>0</v>
      </c>
    </row>
    <row r="97" spans="2:26">
      <c r="B97" s="33" t="s">
        <v>231</v>
      </c>
      <c r="C97" s="33"/>
      <c r="D97" s="42">
        <v>0</v>
      </c>
      <c r="E97" s="42"/>
      <c r="F97" s="42">
        <f>+D97+F96</f>
        <v>0</v>
      </c>
      <c r="G97" s="42">
        <f t="shared" ref="G97:Z97" si="35">+F97+G96</f>
        <v>0</v>
      </c>
      <c r="H97" s="42">
        <f t="shared" si="35"/>
        <v>0</v>
      </c>
      <c r="I97" s="42">
        <f t="shared" si="35"/>
        <v>0</v>
      </c>
      <c r="J97" s="42">
        <f t="shared" si="35"/>
        <v>356026.0000005</v>
      </c>
      <c r="K97" s="42">
        <f t="shared" si="35"/>
        <v>712052.00000100001</v>
      </c>
      <c r="L97" s="42">
        <f t="shared" si="35"/>
        <v>712052.00000100001</v>
      </c>
      <c r="M97" s="42">
        <f t="shared" si="35"/>
        <v>712052.00000100001</v>
      </c>
      <c r="N97" s="42">
        <f t="shared" si="35"/>
        <v>712052.00000100001</v>
      </c>
      <c r="O97" s="42">
        <f t="shared" si="35"/>
        <v>712052.00000100001</v>
      </c>
      <c r="P97" s="42">
        <f t="shared" si="35"/>
        <v>712052.00000100001</v>
      </c>
      <c r="Q97" s="42">
        <f t="shared" si="35"/>
        <v>712052.00000100001</v>
      </c>
      <c r="R97" s="42">
        <f t="shared" si="35"/>
        <v>712052.00000100001</v>
      </c>
      <c r="S97" s="42">
        <f t="shared" si="35"/>
        <v>712052.00000100001</v>
      </c>
      <c r="T97" s="42">
        <f t="shared" si="35"/>
        <v>712052.00000100001</v>
      </c>
      <c r="U97" s="42">
        <f t="shared" si="35"/>
        <v>712052.00000100001</v>
      </c>
      <c r="V97" s="42">
        <f t="shared" si="35"/>
        <v>712052.00000100001</v>
      </c>
      <c r="W97" s="42">
        <f t="shared" si="35"/>
        <v>712052.00000100001</v>
      </c>
      <c r="X97" s="42">
        <f t="shared" si="35"/>
        <v>712052.00000100001</v>
      </c>
      <c r="Y97" s="42">
        <f t="shared" si="35"/>
        <v>712052.00000100001</v>
      </c>
      <c r="Z97" s="42">
        <f t="shared" si="35"/>
        <v>712052.00000100001</v>
      </c>
    </row>
    <row r="98" spans="2:26">
      <c r="B98" s="33" t="s">
        <v>285</v>
      </c>
      <c r="C98" s="33"/>
      <c r="D98" s="42"/>
      <c r="E98" s="42"/>
      <c r="F98" s="108">
        <f t="shared" ref="F98:Z98" si="36">+F97/SUM($F96:$Z96)</f>
        <v>0</v>
      </c>
      <c r="G98" s="108">
        <f t="shared" si="36"/>
        <v>0</v>
      </c>
      <c r="H98" s="108">
        <f t="shared" si="36"/>
        <v>0</v>
      </c>
      <c r="I98" s="108">
        <f t="shared" si="36"/>
        <v>0</v>
      </c>
      <c r="J98" s="108">
        <f t="shared" si="36"/>
        <v>0.5</v>
      </c>
      <c r="K98" s="108">
        <f t="shared" si="36"/>
        <v>1</v>
      </c>
      <c r="L98" s="108">
        <f t="shared" si="36"/>
        <v>1</v>
      </c>
      <c r="M98" s="108">
        <f t="shared" si="36"/>
        <v>1</v>
      </c>
      <c r="N98" s="108">
        <f t="shared" si="36"/>
        <v>1</v>
      </c>
      <c r="O98" s="108">
        <f t="shared" si="36"/>
        <v>1</v>
      </c>
      <c r="P98" s="108">
        <f t="shared" si="36"/>
        <v>1</v>
      </c>
      <c r="Q98" s="108">
        <f t="shared" si="36"/>
        <v>1</v>
      </c>
      <c r="R98" s="108">
        <f t="shared" si="36"/>
        <v>1</v>
      </c>
      <c r="S98" s="108">
        <f t="shared" si="36"/>
        <v>1</v>
      </c>
      <c r="T98" s="108">
        <f t="shared" si="36"/>
        <v>1</v>
      </c>
      <c r="U98" s="108">
        <f t="shared" si="36"/>
        <v>1</v>
      </c>
      <c r="V98" s="108">
        <f t="shared" si="36"/>
        <v>1</v>
      </c>
      <c r="W98" s="108">
        <f t="shared" si="36"/>
        <v>1</v>
      </c>
      <c r="X98" s="108">
        <f t="shared" si="36"/>
        <v>1</v>
      </c>
      <c r="Y98" s="108">
        <f t="shared" si="36"/>
        <v>1</v>
      </c>
      <c r="Z98" s="108">
        <f t="shared" si="36"/>
        <v>1</v>
      </c>
    </row>
    <row r="99" spans="2:26">
      <c r="B99" s="33"/>
      <c r="C99" s="33"/>
      <c r="D99" s="40"/>
      <c r="E99" s="40"/>
      <c r="F99" s="34"/>
      <c r="G99" s="34"/>
      <c r="H99" s="34"/>
      <c r="I99" s="34"/>
      <c r="J99" s="34"/>
      <c r="K99" s="34"/>
      <c r="L99" s="34"/>
      <c r="M99" s="34"/>
      <c r="N99" s="34"/>
      <c r="O99" s="34"/>
      <c r="P99" s="34"/>
      <c r="Q99" s="34"/>
      <c r="R99" s="34"/>
      <c r="S99" s="34"/>
      <c r="T99" s="34"/>
      <c r="U99" s="34"/>
      <c r="V99" s="34"/>
      <c r="W99" s="34"/>
      <c r="X99" s="34"/>
      <c r="Y99" s="34"/>
      <c r="Z99" s="34"/>
    </row>
    <row r="100" spans="2:26">
      <c r="B100" s="33" t="s">
        <v>236</v>
      </c>
      <c r="C100" s="33"/>
      <c r="D100" s="42"/>
      <c r="E100" s="42"/>
      <c r="F100" s="108">
        <v>1</v>
      </c>
      <c r="G100" s="108">
        <f>+IF(MOD(G$2,Assumptions!$P$71)=(Assumptions!$P$71-1),F100*(1+Assumptions!$P$70),'Phase III Pro Forma'!F100)</f>
        <v>1</v>
      </c>
      <c r="H100" s="108">
        <f>+IF(MOD(H$2,Assumptions!$P$71)=(Assumptions!$P$71-1),G100*(1+Assumptions!$P$70),'Phase III Pro Forma'!G100)</f>
        <v>1</v>
      </c>
      <c r="I100" s="108">
        <f>+IF(MOD(I$2,Assumptions!$P$71)=(Assumptions!$P$71-1),H100*(1+Assumptions!$P$70),'Phase III Pro Forma'!H100)</f>
        <v>1</v>
      </c>
      <c r="J100" s="108">
        <f>+IF(MOD(J$2,Assumptions!$P$71)=(Assumptions!$P$71-1),I100*(1+Assumptions!$P$70),'Phase III Pro Forma'!I100)</f>
        <v>1</v>
      </c>
      <c r="K100" s="108">
        <f>+IF(MOD(K$2,Assumptions!$P$71)=(Assumptions!$P$71-1),J100*(1+Assumptions!$P$70),'Phase III Pro Forma'!J100)</f>
        <v>1</v>
      </c>
      <c r="L100" s="108">
        <f>+IF(MOD(L$2,Assumptions!$P$71)=(Assumptions!$P$71-1),K100*(1+Assumptions!$P$70),'Phase III Pro Forma'!K100)</f>
        <v>1</v>
      </c>
      <c r="M100" s="108">
        <f>+IF(MOD(M$2,Assumptions!$P$71)=(Assumptions!$P$71-1),L100*(1+Assumptions!$P$70),'Phase III Pro Forma'!L100)</f>
        <v>1.1000000000000001</v>
      </c>
      <c r="N100" s="108">
        <f>+IF(MOD(N$2,Assumptions!$P$71)=(Assumptions!$P$71-1),M100*(1+Assumptions!$P$70),'Phase III Pro Forma'!M100)</f>
        <v>1.1000000000000001</v>
      </c>
      <c r="O100" s="108">
        <f>+IF(MOD(O$2,Assumptions!$P$71)=(Assumptions!$P$71-1),N100*(1+Assumptions!$P$70),'Phase III Pro Forma'!N100)</f>
        <v>1.1000000000000001</v>
      </c>
      <c r="P100" s="108">
        <f>+IF(MOD(P$2,Assumptions!$P$71)=(Assumptions!$P$71-1),O100*(1+Assumptions!$P$70),'Phase III Pro Forma'!O100)</f>
        <v>1.1000000000000001</v>
      </c>
      <c r="Q100" s="108">
        <f>+IF(MOD(Q$2,Assumptions!$P$71)=(Assumptions!$P$71-1),P100*(1+Assumptions!$P$70),'Phase III Pro Forma'!P100)</f>
        <v>1.1000000000000001</v>
      </c>
      <c r="R100" s="108">
        <f>+IF(MOD(R$2,Assumptions!$P$71)=(Assumptions!$P$71-1),Q100*(1+Assumptions!$P$70),'Phase III Pro Forma'!Q100)</f>
        <v>1.2100000000000002</v>
      </c>
      <c r="S100" s="108">
        <f>+IF(MOD(S$2,Assumptions!$P$71)=(Assumptions!$P$71-1),R100*(1+Assumptions!$P$70),'Phase III Pro Forma'!R100)</f>
        <v>1.2100000000000002</v>
      </c>
      <c r="T100" s="108">
        <f>+IF(MOD(T$2,Assumptions!$P$71)=(Assumptions!$P$71-1),S100*(1+Assumptions!$P$70),'Phase III Pro Forma'!S100)</f>
        <v>1.2100000000000002</v>
      </c>
      <c r="U100" s="108">
        <f>+IF(MOD(U$2,Assumptions!$P$71)=(Assumptions!$P$71-1),T100*(1+Assumptions!$P$70),'Phase III Pro Forma'!T100)</f>
        <v>1.2100000000000002</v>
      </c>
      <c r="V100" s="108">
        <f>+IF(MOD(V$2,Assumptions!$P$71)=(Assumptions!$P$71-1),U100*(1+Assumptions!$P$70),'Phase III Pro Forma'!U100)</f>
        <v>1.2100000000000002</v>
      </c>
      <c r="W100" s="108">
        <f>+IF(MOD(W$2,Assumptions!$P$71)=(Assumptions!$P$71-1),V100*(1+Assumptions!$P$70),'Phase III Pro Forma'!V100)</f>
        <v>1.3310000000000004</v>
      </c>
      <c r="X100" s="108">
        <f>+IF(MOD(X$2,Assumptions!$P$71)=(Assumptions!$P$71-1),W100*(1+Assumptions!$P$70),'Phase III Pro Forma'!W100)</f>
        <v>1.3310000000000004</v>
      </c>
      <c r="Y100" s="108">
        <f>+IF(MOD(Y$2,Assumptions!$P$71)=(Assumptions!$P$71-1),X100*(1+Assumptions!$P$70),'Phase III Pro Forma'!X100)</f>
        <v>1.3310000000000004</v>
      </c>
      <c r="Z100" s="108">
        <f>+IF(MOD(Z$2,Assumptions!$P$71)=(Assumptions!$P$71-1),Y100*(1+Assumptions!$P$70),'Phase III Pro Forma'!Y100)</f>
        <v>1.3310000000000004</v>
      </c>
    </row>
    <row r="101" spans="2:26">
      <c r="B101" s="33" t="s">
        <v>237</v>
      </c>
      <c r="C101" s="33"/>
      <c r="D101" s="42"/>
      <c r="E101" s="42"/>
      <c r="F101" s="108">
        <v>1</v>
      </c>
      <c r="G101" s="108">
        <f>+F101*(1+Assumptions!$P$80)</f>
        <v>1.03</v>
      </c>
      <c r="H101" s="108">
        <f>+G101*(1+Assumptions!$P$80)</f>
        <v>1.0609</v>
      </c>
      <c r="I101" s="108">
        <f>+H101*(1+Assumptions!$P$80)</f>
        <v>1.092727</v>
      </c>
      <c r="J101" s="108">
        <f>+I101*(1+Assumptions!$P$80)</f>
        <v>1.1255088100000001</v>
      </c>
      <c r="K101" s="108">
        <f>+J101*(1+Assumptions!$P$80)</f>
        <v>1.1592740743000001</v>
      </c>
      <c r="L101" s="108">
        <f>+K101*(1+Assumptions!$P$80)</f>
        <v>1.1940522965290001</v>
      </c>
      <c r="M101" s="108">
        <f>+L101*(1+Assumptions!$P$80)</f>
        <v>1.2298738654248702</v>
      </c>
      <c r="N101" s="108">
        <f>+M101*(1+Assumptions!$P$80)</f>
        <v>1.2667700813876164</v>
      </c>
      <c r="O101" s="108">
        <f>+N101*(1+Assumptions!$P$80)</f>
        <v>1.3047731838292449</v>
      </c>
      <c r="P101" s="108">
        <f>+O101*(1+Assumptions!$P$80)</f>
        <v>1.3439163793441222</v>
      </c>
      <c r="Q101" s="108">
        <f>+P101*(1+Assumptions!$P$80)</f>
        <v>1.3842338707244459</v>
      </c>
      <c r="R101" s="108">
        <f>+Q101*(1+Assumptions!$P$80)</f>
        <v>1.4257608868461793</v>
      </c>
      <c r="S101" s="108">
        <f>+R101*(1+Assumptions!$P$80)</f>
        <v>1.4685337134515648</v>
      </c>
      <c r="T101" s="108">
        <f>+S101*(1+Assumptions!$P$80)</f>
        <v>1.5125897248551119</v>
      </c>
      <c r="U101" s="108">
        <f>+T101*(1+Assumptions!$P$80)</f>
        <v>1.5579674166007653</v>
      </c>
      <c r="V101" s="108">
        <f>+U101*(1+Assumptions!$P$80)</f>
        <v>1.6047064390987884</v>
      </c>
      <c r="W101" s="108">
        <f>+V101*(1+Assumptions!$P$80)</f>
        <v>1.652847632271752</v>
      </c>
      <c r="X101" s="108">
        <f>+W101*(1+Assumptions!$P$80)</f>
        <v>1.7024330612399046</v>
      </c>
      <c r="Y101" s="108">
        <f>+X101*(1+Assumptions!$P$80)</f>
        <v>1.7535060530771018</v>
      </c>
      <c r="Z101" s="108">
        <f>+Y101*(1+Assumptions!$P$80)</f>
        <v>1.806111234669415</v>
      </c>
    </row>
    <row r="102" spans="2:26">
      <c r="B102" s="33"/>
      <c r="C102" s="33"/>
      <c r="D102" s="40"/>
      <c r="E102" s="40"/>
      <c r="F102" s="34"/>
      <c r="G102" s="34"/>
      <c r="H102" s="34"/>
      <c r="I102" s="34"/>
      <c r="J102" s="34"/>
      <c r="K102" s="34"/>
      <c r="L102" s="34"/>
      <c r="M102" s="34"/>
      <c r="N102" s="34"/>
      <c r="O102" s="34"/>
      <c r="P102" s="34"/>
      <c r="Q102" s="34"/>
      <c r="R102" s="34"/>
      <c r="S102" s="34"/>
      <c r="T102" s="34"/>
      <c r="U102" s="34"/>
      <c r="V102" s="34"/>
      <c r="W102" s="34"/>
      <c r="X102" s="34"/>
      <c r="Y102" s="34"/>
      <c r="Z102" s="34"/>
    </row>
    <row r="103" spans="2:26">
      <c r="B103" s="33" t="s">
        <v>228</v>
      </c>
      <c r="C103" s="33"/>
      <c r="D103" s="40"/>
      <c r="E103" s="40"/>
      <c r="F103" s="34">
        <f>+F98*Assumptions!$H$171*F100</f>
        <v>0</v>
      </c>
      <c r="G103" s="34">
        <f>+G98*Assumptions!$H$171*G100</f>
        <v>0</v>
      </c>
      <c r="H103" s="34">
        <f>+H98*Assumptions!$H$171*H100</f>
        <v>0</v>
      </c>
      <c r="I103" s="34">
        <f>+I98*Assumptions!$H$171*I100</f>
        <v>0</v>
      </c>
      <c r="J103" s="34">
        <f>+J98*Assumptions!$H$171*J100</f>
        <v>15723258.881623892</v>
      </c>
      <c r="K103" s="34">
        <f>+K98*Assumptions!$H$171*K100</f>
        <v>31446517.763247784</v>
      </c>
      <c r="L103" s="34">
        <f>+L98*Assumptions!$H$171*L100</f>
        <v>31446517.763247784</v>
      </c>
      <c r="M103" s="34">
        <f>+M98*Assumptions!$H$171*M100</f>
        <v>34591169.539572567</v>
      </c>
      <c r="N103" s="34">
        <f>+N98*Assumptions!$H$171*N100</f>
        <v>34591169.539572567</v>
      </c>
      <c r="O103" s="34">
        <f>+O98*Assumptions!$H$171*O100</f>
        <v>34591169.539572567</v>
      </c>
      <c r="P103" s="34">
        <f>+P98*Assumptions!$H$171*P100</f>
        <v>34591169.539572567</v>
      </c>
      <c r="Q103" s="34">
        <f>+Q98*Assumptions!$H$171*Q100</f>
        <v>34591169.539572567</v>
      </c>
      <c r="R103" s="34">
        <f>+R98*Assumptions!$H$171*R100</f>
        <v>38050286.493529826</v>
      </c>
      <c r="S103" s="34">
        <f>+S98*Assumptions!$H$171*S100</f>
        <v>38050286.493529826</v>
      </c>
      <c r="T103" s="34">
        <f>+T98*Assumptions!$H$171*T100</f>
        <v>38050286.493529826</v>
      </c>
      <c r="U103" s="34">
        <f>+U98*Assumptions!$H$171*U100</f>
        <v>38050286.493529826</v>
      </c>
      <c r="V103" s="34">
        <f>+V98*Assumptions!$H$171*V100</f>
        <v>38050286.493529826</v>
      </c>
      <c r="W103" s="34">
        <f>+W98*Assumptions!$H$171*W100</f>
        <v>41855315.142882816</v>
      </c>
      <c r="X103" s="34">
        <f>+X98*Assumptions!$H$171*X100</f>
        <v>41855315.142882816</v>
      </c>
      <c r="Y103" s="34">
        <f>+Y98*Assumptions!$H$171*Y100</f>
        <v>41855315.142882816</v>
      </c>
      <c r="Z103" s="34">
        <f>+Z98*Assumptions!$H$171*Z100</f>
        <v>41855315.142882816</v>
      </c>
    </row>
    <row r="104" spans="2:26">
      <c r="B104" s="33" t="s">
        <v>229</v>
      </c>
      <c r="C104" s="33"/>
      <c r="D104" s="40"/>
      <c r="E104" s="40"/>
      <c r="F104" s="42">
        <f>-F103*Assumptions!$P$58</f>
        <v>0</v>
      </c>
      <c r="G104" s="42">
        <f>-G103*Assumptions!$P$58</f>
        <v>0</v>
      </c>
      <c r="H104" s="42">
        <f>-H103*Assumptions!$P$58</f>
        <v>0</v>
      </c>
      <c r="I104" s="42">
        <f>-I103*Assumptions!$P$58</f>
        <v>0</v>
      </c>
      <c r="J104" s="42">
        <f>-J103*Assumptions!$P$58</f>
        <v>-2138363.2079008496</v>
      </c>
      <c r="K104" s="42">
        <f>-K103*Assumptions!$P$58</f>
        <v>-4276726.4158016993</v>
      </c>
      <c r="L104" s="42">
        <f>-L103*Assumptions!$P$58</f>
        <v>-4276726.4158016993</v>
      </c>
      <c r="M104" s="42">
        <f>-M103*Assumptions!$P$58</f>
        <v>-4704399.0573818693</v>
      </c>
      <c r="N104" s="42">
        <f>-N103*Assumptions!$P$58</f>
        <v>-4704399.0573818693</v>
      </c>
      <c r="O104" s="42">
        <f>-O103*Assumptions!$P$58</f>
        <v>-4704399.0573818693</v>
      </c>
      <c r="P104" s="42">
        <f>-P103*Assumptions!$P$58</f>
        <v>-4704399.0573818693</v>
      </c>
      <c r="Q104" s="42">
        <f>-Q103*Assumptions!$P$58</f>
        <v>-4704399.0573818693</v>
      </c>
      <c r="R104" s="42">
        <f>-R103*Assumptions!$P$58</f>
        <v>-5174838.9631200563</v>
      </c>
      <c r="S104" s="42">
        <f>-S103*Assumptions!$P$58</f>
        <v>-5174838.9631200563</v>
      </c>
      <c r="T104" s="42">
        <f>-T103*Assumptions!$P$58</f>
        <v>-5174838.9631200563</v>
      </c>
      <c r="U104" s="42">
        <f>-U103*Assumptions!$P$58</f>
        <v>-5174838.9631200563</v>
      </c>
      <c r="V104" s="42">
        <f>-V103*Assumptions!$P$58</f>
        <v>-5174838.9631200563</v>
      </c>
      <c r="W104" s="42">
        <f>-W103*Assumptions!$P$58</f>
        <v>-5692322.8594320631</v>
      </c>
      <c r="X104" s="42">
        <f>-X103*Assumptions!$P$58</f>
        <v>-5692322.8594320631</v>
      </c>
      <c r="Y104" s="42">
        <f>-Y103*Assumptions!$P$58</f>
        <v>-5692322.8594320631</v>
      </c>
      <c r="Z104" s="42">
        <f>-Z103*Assumptions!$P$58</f>
        <v>-5692322.8594320631</v>
      </c>
    </row>
    <row r="105" spans="2:26">
      <c r="B105" s="33" t="s">
        <v>244</v>
      </c>
      <c r="C105" s="33"/>
      <c r="D105" s="40"/>
      <c r="E105" s="40"/>
      <c r="F105" s="151">
        <f ca="1">+F110*Assumptions!$P$91</f>
        <v>0</v>
      </c>
      <c r="G105" s="151">
        <f ca="1">+G110*Assumptions!$P$91</f>
        <v>0</v>
      </c>
      <c r="H105" s="151">
        <f ca="1">+H110*Assumptions!$P$91</f>
        <v>0</v>
      </c>
      <c r="I105" s="151">
        <f ca="1">+I110*Assumptions!$P$91</f>
        <v>0</v>
      </c>
      <c r="J105" s="151">
        <f ca="1">+J110*Assumptions!$P$91</f>
        <v>7098300.3473736476</v>
      </c>
      <c r="K105" s="151">
        <f ca="1">+K110*Assumptions!$P$91</f>
        <v>14372266.133209011</v>
      </c>
      <c r="L105" s="151">
        <f ca="1">+L110*Assumptions!$P$91</f>
        <v>14553201.534824578</v>
      </c>
      <c r="M105" s="151">
        <f ca="1">+M110*Assumptions!$P$91</f>
        <v>14906386.720075745</v>
      </c>
      <c r="N105" s="151">
        <f ca="1">+N110*Assumptions!$P$91</f>
        <v>15098341.087649699</v>
      </c>
      <c r="O105" s="151">
        <f ca="1">+O110*Assumptions!$P$91</f>
        <v>15296054.086250873</v>
      </c>
      <c r="P105" s="151">
        <f ca="1">+P110*Assumptions!$P$91</f>
        <v>15669856.630828958</v>
      </c>
      <c r="Q105" s="151">
        <f ca="1">+Q110*Assumptions!$P$91</f>
        <v>15879610.351044942</v>
      </c>
      <c r="R105" s="151">
        <f ca="1">+R110*Assumptions!$P$91</f>
        <v>16095656.682867404</v>
      </c>
      <c r="S105" s="151">
        <f ca="1">+S110*Assumptions!$P$91</f>
        <v>16491745.723783804</v>
      </c>
      <c r="T105" s="151">
        <f ca="1">+T110*Assumptions!$P$91</f>
        <v>16720949.277214257</v>
      </c>
      <c r="U105" s="151">
        <f ca="1">+U110*Assumptions!$P$91</f>
        <v>16957028.937247619</v>
      </c>
      <c r="V105" s="151">
        <f ca="1">+V110*Assumptions!$P$91</f>
        <v>17377223.532604028</v>
      </c>
      <c r="W105" s="151">
        <f ca="1">+W110*Assumptions!$P$91</f>
        <v>17627680.443933424</v>
      </c>
      <c r="X105" s="151">
        <f ca="1">+X110*Assumptions!$P$91</f>
        <v>17885651.062602703</v>
      </c>
      <c r="Y105" s="151">
        <f ca="1">+Y110*Assumptions!$P$91</f>
        <v>18331933.996264547</v>
      </c>
      <c r="Z105" s="151">
        <f ca="1">+Z110*Assumptions!$P$91</f>
        <v>18605615.025610782</v>
      </c>
    </row>
    <row r="106" spans="2:26">
      <c r="B106" s="137" t="s">
        <v>238</v>
      </c>
      <c r="C106" s="137"/>
      <c r="D106" s="137"/>
      <c r="E106" s="137"/>
      <c r="F106" s="129">
        <f t="shared" ref="F106:Z106" ca="1" si="37">+SUM(F103:F105)</f>
        <v>0</v>
      </c>
      <c r="G106" s="129">
        <f t="shared" ca="1" si="37"/>
        <v>0</v>
      </c>
      <c r="H106" s="129">
        <f t="shared" ca="1" si="37"/>
        <v>0</v>
      </c>
      <c r="I106" s="129">
        <f t="shared" ca="1" si="37"/>
        <v>0</v>
      </c>
      <c r="J106" s="129">
        <f t="shared" ca="1" si="37"/>
        <v>20683196.021096691</v>
      </c>
      <c r="K106" s="129">
        <f t="shared" ca="1" si="37"/>
        <v>41542057.480655096</v>
      </c>
      <c r="L106" s="129">
        <f t="shared" ca="1" si="37"/>
        <v>41722992.882270664</v>
      </c>
      <c r="M106" s="129">
        <f t="shared" ca="1" si="37"/>
        <v>44793157.20226644</v>
      </c>
      <c r="N106" s="129">
        <f t="shared" ca="1" si="37"/>
        <v>44985111.569840401</v>
      </c>
      <c r="O106" s="129">
        <f t="shared" ca="1" si="37"/>
        <v>45182824.56844157</v>
      </c>
      <c r="P106" s="129">
        <f t="shared" ca="1" si="37"/>
        <v>45556627.11301966</v>
      </c>
      <c r="Q106" s="129">
        <f t="shared" ca="1" si="37"/>
        <v>45766380.833235636</v>
      </c>
      <c r="R106" s="129">
        <f t="shared" ca="1" si="37"/>
        <v>48971104.213277176</v>
      </c>
      <c r="S106" s="129">
        <f t="shared" ca="1" si="37"/>
        <v>49367193.254193574</v>
      </c>
      <c r="T106" s="129">
        <f t="shared" ca="1" si="37"/>
        <v>49596396.807624027</v>
      </c>
      <c r="U106" s="129">
        <f t="shared" ca="1" si="37"/>
        <v>49832476.467657387</v>
      </c>
      <c r="V106" s="129">
        <f t="shared" ca="1" si="37"/>
        <v>50252671.063013792</v>
      </c>
      <c r="W106" s="129">
        <f t="shared" ca="1" si="37"/>
        <v>53790672.72738418</v>
      </c>
      <c r="X106" s="129">
        <f t="shared" ca="1" si="37"/>
        <v>54048643.346053451</v>
      </c>
      <c r="Y106" s="129">
        <f t="shared" ca="1" si="37"/>
        <v>54494926.2797153</v>
      </c>
      <c r="Z106" s="129">
        <f t="shared" ca="1" si="37"/>
        <v>54768607.309061535</v>
      </c>
    </row>
    <row r="108" spans="2:26">
      <c r="B108" s="33" t="s">
        <v>371</v>
      </c>
      <c r="F108" s="34">
        <f>+F97*Assumptions!$P$123*'Phase III Pro Forma'!F101</f>
        <v>0</v>
      </c>
      <c r="G108" s="34">
        <f>+G97*Assumptions!$P$123*'Phase III Pro Forma'!G101</f>
        <v>0</v>
      </c>
      <c r="H108" s="34">
        <f>+H97*Assumptions!$P$123*'Phase III Pro Forma'!H101</f>
        <v>0</v>
      </c>
      <c r="I108" s="34">
        <f>+I97*Assumptions!$P$123*'Phase III Pro Forma'!I101</f>
        <v>0</v>
      </c>
      <c r="J108" s="34">
        <f>+J97*Assumptions!$P$123*'Phase III Pro Forma'!J101</f>
        <v>3253063.6752169388</v>
      </c>
      <c r="K108" s="34">
        <f>+K97*Assumptions!$P$123*'Phase III Pro Forma'!K101</f>
        <v>6701311.1709468942</v>
      </c>
      <c r="L108" s="34">
        <f>+L97*Assumptions!$P$123*'Phase III Pro Forma'!L101</f>
        <v>6902350.5060753012</v>
      </c>
      <c r="M108" s="34">
        <f>+M97*Assumptions!$P$123*'Phase III Pro Forma'!M101</f>
        <v>7109421.0212575607</v>
      </c>
      <c r="N108" s="34">
        <f>+N97*Assumptions!$P$123*'Phase III Pro Forma'!N101</f>
        <v>7322703.6518952874</v>
      </c>
      <c r="O108" s="34">
        <f>+O97*Assumptions!$P$123*'Phase III Pro Forma'!O101</f>
        <v>7542384.7614521468</v>
      </c>
      <c r="P108" s="34">
        <f>+P97*Assumptions!$P$123*'Phase III Pro Forma'!P101</f>
        <v>7768656.3042957103</v>
      </c>
      <c r="Q108" s="34">
        <f>+Q97*Assumptions!$P$123*'Phase III Pro Forma'!Q101</f>
        <v>8001715.9934245823</v>
      </c>
      <c r="R108" s="34">
        <f>+R97*Assumptions!$P$123*'Phase III Pro Forma'!R101</f>
        <v>8241767.4732273193</v>
      </c>
      <c r="S108" s="34">
        <f>+S97*Assumptions!$P$123*'Phase III Pro Forma'!S101</f>
        <v>8489020.4974241406</v>
      </c>
      <c r="T108" s="34">
        <f>+T97*Assumptions!$P$123*'Phase III Pro Forma'!T101</f>
        <v>8743691.1123468652</v>
      </c>
      <c r="U108" s="34">
        <f>+U97*Assumptions!$P$123*'Phase III Pro Forma'!U101</f>
        <v>9006001.8457172718</v>
      </c>
      <c r="V108" s="34">
        <f>+V97*Assumptions!$P$123*'Phase III Pro Forma'!V101</f>
        <v>9276181.901088791</v>
      </c>
      <c r="W108" s="34">
        <f>+W97*Assumptions!$P$123*'Phase III Pro Forma'!W101</f>
        <v>9554467.3581214529</v>
      </c>
      <c r="X108" s="34">
        <f>+X97*Assumptions!$P$123*'Phase III Pro Forma'!X101</f>
        <v>9841101.3788650967</v>
      </c>
      <c r="Y108" s="34">
        <f>+Y97*Assumptions!$P$123*'Phase III Pro Forma'!Y101</f>
        <v>10136334.420231052</v>
      </c>
      <c r="Z108" s="34">
        <f>+Z97*Assumptions!$P$123*'Phase III Pro Forma'!Z101</f>
        <v>10440424.452837983</v>
      </c>
    </row>
    <row r="109" spans="2:26">
      <c r="B109" s="33" t="s">
        <v>308</v>
      </c>
      <c r="F109" s="151">
        <f ca="1">+IFERROR(IFERROR(INDEX('Taxes and TIF'!$AR$11:$AR$45,MATCH('Phase III Pro Forma'!F$7,'Taxes and TIF'!$AG$11:$AG$45,0)),0)*'Loan Sizing'!$M$19*F98,0)</f>
        <v>0</v>
      </c>
      <c r="G109" s="151">
        <f ca="1">+IFERROR(IFERROR(INDEX('Taxes and TIF'!$AR$11:$AR$45,MATCH('Phase III Pro Forma'!G$7,'Taxes and TIF'!$AG$11:$AG$45,0)),0)*'Loan Sizing'!$M$19*G98,0)</f>
        <v>0</v>
      </c>
      <c r="H109" s="151">
        <f ca="1">+IFERROR(IFERROR(INDEX('Taxes and TIF'!$AR$11:$AR$45,MATCH('Phase III Pro Forma'!H$7,'Taxes and TIF'!$AG$11:$AG$45,0)),0)*'Loan Sizing'!$M$19*H98,0)</f>
        <v>0</v>
      </c>
      <c r="I109" s="151">
        <f ca="1">+IFERROR(IFERROR(INDEX('Taxes and TIF'!$AR$11:$AR$45,MATCH('Phase III Pro Forma'!I$7,'Taxes and TIF'!$AG$11:$AG$45,0)),0)*'Loan Sizing'!$M$19*I98,0)</f>
        <v>0</v>
      </c>
      <c r="J109" s="151">
        <f ca="1">+IFERROR(IFERROR(INDEX('Taxes and TIF'!$AR$11:$AR$45,MATCH('Phase III Pro Forma'!J$7,'Taxes and TIF'!$AG$11:$AG$45,0)),0)*'Loan Sizing'!$M$19*J98,0)</f>
        <v>4633936.7107537789</v>
      </c>
      <c r="K109" s="151">
        <f ca="1">+IFERROR(IFERROR(INDEX('Taxes and TIF'!$AR$11:$AR$45,MATCH('Phase III Pro Forma'!K$7,'Taxes and TIF'!$AG$11:$AG$45,0)),0)*'Loan Sizing'!$M$19*K98,0)</f>
        <v>9267873.4215075579</v>
      </c>
      <c r="L109" s="151">
        <f ca="1">+IFERROR(IFERROR(INDEX('Taxes and TIF'!$AR$11:$AR$45,MATCH('Phase III Pro Forma'!L$7,'Taxes and TIF'!$AG$11:$AG$45,0)),0)*'Loan Sizing'!$M$19*L98,0)</f>
        <v>9267873.4215075579</v>
      </c>
      <c r="M109" s="151">
        <f ca="1">+IFERROR(IFERROR(INDEX('Taxes and TIF'!$AR$11:$AR$45,MATCH('Phase III Pro Forma'!M$7,'Taxes and TIF'!$AG$11:$AG$45,0)),0)*'Loan Sizing'!$M$19*M98,0)</f>
        <v>9453230.88993771</v>
      </c>
      <c r="N109" s="151">
        <f ca="1">+IFERROR(IFERROR(INDEX('Taxes and TIF'!$AR$11:$AR$45,MATCH('Phase III Pro Forma'!N$7,'Taxes and TIF'!$AG$11:$AG$45,0)),0)*'Loan Sizing'!$M$19*N98,0)</f>
        <v>9453230.88993771</v>
      </c>
      <c r="O109" s="151">
        <f ca="1">+IFERROR(IFERROR(INDEX('Taxes and TIF'!$AR$11:$AR$45,MATCH('Phase III Pro Forma'!O$7,'Taxes and TIF'!$AG$11:$AG$45,0)),0)*'Loan Sizing'!$M$19*O98,0)</f>
        <v>9453230.88993771</v>
      </c>
      <c r="P109" s="151">
        <f ca="1">+IFERROR(IFERROR(INDEX('Taxes and TIF'!$AR$11:$AR$45,MATCH('Phase III Pro Forma'!P$7,'Taxes and TIF'!$AG$11:$AG$45,0)),0)*'Loan Sizing'!$M$19*P98,0)</f>
        <v>9642295.5077364594</v>
      </c>
      <c r="Q109" s="151">
        <f ca="1">+IFERROR(IFERROR(INDEX('Taxes and TIF'!$AR$11:$AR$45,MATCH('Phase III Pro Forma'!Q$7,'Taxes and TIF'!$AG$11:$AG$45,0)),0)*'Loan Sizing'!$M$19*Q98,0)</f>
        <v>9642295.5077364594</v>
      </c>
      <c r="R109" s="151">
        <f ca="1">+IFERROR(IFERROR(INDEX('Taxes and TIF'!$AR$11:$AR$45,MATCH('Phase III Pro Forma'!R$7,'Taxes and TIF'!$AG$11:$AG$45,0)),0)*'Loan Sizing'!$M$19*R98,0)</f>
        <v>9642295.5077364594</v>
      </c>
      <c r="S109" s="151">
        <f ca="1">+IFERROR(IFERROR(INDEX('Taxes and TIF'!$AR$11:$AR$45,MATCH('Phase III Pro Forma'!S$7,'Taxes and TIF'!$AG$11:$AG$45,0)),0)*'Loan Sizing'!$M$19*S98,0)</f>
        <v>9835141.4178911913</v>
      </c>
      <c r="T109" s="151">
        <f ca="1">+IFERROR(IFERROR(INDEX('Taxes and TIF'!$AR$11:$AR$45,MATCH('Phase III Pro Forma'!T$7,'Taxes and TIF'!$AG$11:$AG$45,0)),0)*'Loan Sizing'!$M$19*T98,0)</f>
        <v>9835141.4178911913</v>
      </c>
      <c r="U109" s="151">
        <f ca="1">+IFERROR(IFERROR(INDEX('Taxes and TIF'!$AR$11:$AR$45,MATCH('Phase III Pro Forma'!U$7,'Taxes and TIF'!$AG$11:$AG$45,0)),0)*'Loan Sizing'!$M$19*U98,0)</f>
        <v>9835141.4178911913</v>
      </c>
      <c r="V109" s="151">
        <f ca="1">+IFERROR(IFERROR(INDEX('Taxes and TIF'!$AR$11:$AR$45,MATCH('Phase III Pro Forma'!V$7,'Taxes and TIF'!$AG$11:$AG$45,0)),0)*'Loan Sizing'!$M$19*V98,0)</f>
        <v>10031844.246249015</v>
      </c>
      <c r="W109" s="151">
        <f ca="1">+IFERROR(IFERROR(INDEX('Taxes and TIF'!$AR$11:$AR$45,MATCH('Phase III Pro Forma'!W$7,'Taxes and TIF'!$AG$11:$AG$45,0)),0)*'Loan Sizing'!$M$19*W98,0)</f>
        <v>10031844.246249015</v>
      </c>
      <c r="X109" s="151">
        <f ca="1">+IFERROR(IFERROR(INDEX('Taxes and TIF'!$AR$11:$AR$45,MATCH('Phase III Pro Forma'!X$7,'Taxes and TIF'!$AG$11:$AG$45,0)),0)*'Loan Sizing'!$M$19*X98,0)</f>
        <v>10031844.246249015</v>
      </c>
      <c r="Y109" s="151">
        <f ca="1">+IFERROR(IFERROR(INDEX('Taxes and TIF'!$AR$11:$AR$45,MATCH('Phase III Pro Forma'!Y$7,'Taxes and TIF'!$AG$11:$AG$45,0)),0)*'Loan Sizing'!$M$19*Y98,0)</f>
        <v>10232481.131173994</v>
      </c>
      <c r="Z109" s="151">
        <f ca="1">+IFERROR(IFERROR(INDEX('Taxes and TIF'!$AR$11:$AR$45,MATCH('Phase III Pro Forma'!Z$7,'Taxes and TIF'!$AG$11:$AG$45,0)),0)*'Loan Sizing'!$M$19*Z98,0)</f>
        <v>10232481.131173994</v>
      </c>
    </row>
    <row r="110" spans="2:26">
      <c r="B110" s="137" t="s">
        <v>234</v>
      </c>
      <c r="C110" s="137"/>
      <c r="D110" s="137"/>
      <c r="E110" s="137"/>
      <c r="F110" s="129">
        <f ca="1">+SUM(F108:F109)</f>
        <v>0</v>
      </c>
      <c r="G110" s="129">
        <f t="shared" ref="G110" ca="1" si="38">+SUM(G108:G109)</f>
        <v>0</v>
      </c>
      <c r="H110" s="129">
        <f t="shared" ref="H110:Z110" ca="1" si="39">+SUM(H108:H109)</f>
        <v>0</v>
      </c>
      <c r="I110" s="129">
        <f t="shared" ca="1" si="39"/>
        <v>0</v>
      </c>
      <c r="J110" s="129">
        <f t="shared" ca="1" si="39"/>
        <v>7887000.3859707173</v>
      </c>
      <c r="K110" s="129">
        <f t="shared" ca="1" si="39"/>
        <v>15969184.592454452</v>
      </c>
      <c r="L110" s="129">
        <f t="shared" ca="1" si="39"/>
        <v>16170223.92758286</v>
      </c>
      <c r="M110" s="129">
        <f t="shared" ca="1" si="39"/>
        <v>16562651.911195271</v>
      </c>
      <c r="N110" s="129">
        <f t="shared" ca="1" si="39"/>
        <v>16775934.541832998</v>
      </c>
      <c r="O110" s="129">
        <f t="shared" ca="1" si="39"/>
        <v>16995615.651389856</v>
      </c>
      <c r="P110" s="129">
        <f t="shared" ca="1" si="39"/>
        <v>17410951.812032171</v>
      </c>
      <c r="Q110" s="129">
        <f t="shared" ca="1" si="39"/>
        <v>17644011.501161043</v>
      </c>
      <c r="R110" s="129">
        <f t="shared" ca="1" si="39"/>
        <v>17884062.980963778</v>
      </c>
      <c r="S110" s="129">
        <f t="shared" ca="1" si="39"/>
        <v>18324161.91531533</v>
      </c>
      <c r="T110" s="129">
        <f t="shared" ca="1" si="39"/>
        <v>18578832.530238055</v>
      </c>
      <c r="U110" s="129">
        <f t="shared" ca="1" si="39"/>
        <v>18841143.263608463</v>
      </c>
      <c r="V110" s="129">
        <f t="shared" ca="1" si="39"/>
        <v>19308026.147337805</v>
      </c>
      <c r="W110" s="129">
        <f t="shared" ca="1" si="39"/>
        <v>19586311.604370467</v>
      </c>
      <c r="X110" s="129">
        <f t="shared" ca="1" si="39"/>
        <v>19872945.625114113</v>
      </c>
      <c r="Y110" s="129">
        <f t="shared" ca="1" si="39"/>
        <v>20368815.551405046</v>
      </c>
      <c r="Z110" s="129">
        <f t="shared" ca="1" si="39"/>
        <v>20672905.584011979</v>
      </c>
    </row>
    <row r="111" spans="2:26">
      <c r="B111" s="33"/>
    </row>
    <row r="112" spans="2:26" ht="15.5">
      <c r="B112" s="138" t="s">
        <v>233</v>
      </c>
      <c r="C112" s="138"/>
      <c r="D112" s="138"/>
      <c r="E112" s="138"/>
      <c r="F112" s="139">
        <f ca="1">+F106-F110</f>
        <v>0</v>
      </c>
      <c r="G112" s="139">
        <f t="shared" ref="G112:Z112" ca="1" si="40">+G106-G110</f>
        <v>0</v>
      </c>
      <c r="H112" s="139">
        <f t="shared" ca="1" si="40"/>
        <v>0</v>
      </c>
      <c r="I112" s="139">
        <f t="shared" ca="1" si="40"/>
        <v>0</v>
      </c>
      <c r="J112" s="139">
        <f t="shared" ca="1" si="40"/>
        <v>12796195.635125974</v>
      </c>
      <c r="K112" s="139">
        <f t="shared" ca="1" si="40"/>
        <v>25572872.888200644</v>
      </c>
      <c r="L112" s="139">
        <f t="shared" ca="1" si="40"/>
        <v>25552768.954687804</v>
      </c>
      <c r="M112" s="139">
        <f t="shared" ca="1" si="40"/>
        <v>28230505.291071169</v>
      </c>
      <c r="N112" s="139">
        <f t="shared" ca="1" si="40"/>
        <v>28209177.028007403</v>
      </c>
      <c r="O112" s="139">
        <f t="shared" ca="1" si="40"/>
        <v>28187208.917051714</v>
      </c>
      <c r="P112" s="139">
        <f t="shared" ca="1" si="40"/>
        <v>28145675.30098749</v>
      </c>
      <c r="Q112" s="139">
        <f t="shared" ca="1" si="40"/>
        <v>28122369.332074594</v>
      </c>
      <c r="R112" s="139">
        <f t="shared" ca="1" si="40"/>
        <v>31087041.232313398</v>
      </c>
      <c r="S112" s="139">
        <f t="shared" ca="1" si="40"/>
        <v>31043031.338878244</v>
      </c>
      <c r="T112" s="139">
        <f t="shared" ca="1" si="40"/>
        <v>31017564.277385972</v>
      </c>
      <c r="U112" s="139">
        <f t="shared" ca="1" si="40"/>
        <v>30991333.204048924</v>
      </c>
      <c r="V112" s="139">
        <f t="shared" ca="1" si="40"/>
        <v>30944644.915675987</v>
      </c>
      <c r="W112" s="139">
        <f t="shared" ca="1" si="40"/>
        <v>34204361.123013712</v>
      </c>
      <c r="X112" s="139">
        <f t="shared" ca="1" si="40"/>
        <v>34175697.720939338</v>
      </c>
      <c r="Y112" s="139">
        <f t="shared" ca="1" si="40"/>
        <v>34126110.728310257</v>
      </c>
      <c r="Z112" s="139">
        <f t="shared" ca="1" si="40"/>
        <v>34095701.725049555</v>
      </c>
    </row>
    <row r="113" spans="2:26" ht="15.5">
      <c r="B113" s="143" t="s">
        <v>239</v>
      </c>
      <c r="C113" s="141"/>
      <c r="D113" s="141"/>
      <c r="E113" s="141"/>
      <c r="F113" s="144" t="str">
        <f ca="1">+IFERROR(F112/F106,"")</f>
        <v/>
      </c>
      <c r="G113" s="144" t="str">
        <f t="shared" ref="G113:Z113" ca="1" si="41">+IFERROR(G112/G106,"")</f>
        <v/>
      </c>
      <c r="H113" s="144" t="str">
        <f t="shared" ca="1" si="41"/>
        <v/>
      </c>
      <c r="I113" s="145" t="str">
        <f t="shared" ca="1" si="41"/>
        <v/>
      </c>
      <c r="J113" s="145">
        <f t="shared" ca="1" si="41"/>
        <v>0.61867593490261175</v>
      </c>
      <c r="K113" s="145">
        <f t="shared" ca="1" si="41"/>
        <v>0.61558994520454779</v>
      </c>
      <c r="L113" s="145">
        <f t="shared" ca="1" si="41"/>
        <v>0.61243854262300379</v>
      </c>
      <c r="M113" s="145">
        <f t="shared" ca="1" si="41"/>
        <v>0.63024147111565432</v>
      </c>
      <c r="N113" s="145">
        <f t="shared" ca="1" si="41"/>
        <v>0.62707807191301546</v>
      </c>
      <c r="O113" s="145">
        <f t="shared" ca="1" si="41"/>
        <v>0.6238478710943488</v>
      </c>
      <c r="P113" s="145">
        <f t="shared" ca="1" si="41"/>
        <v>0.6178173645551498</v>
      </c>
      <c r="Q113" s="145">
        <f t="shared" ca="1" si="41"/>
        <v>0.6144765834674013</v>
      </c>
      <c r="R113" s="145">
        <f t="shared" ca="1" si="41"/>
        <v>0.6348037629889709</v>
      </c>
      <c r="S113" s="145">
        <f t="shared" ca="1" si="41"/>
        <v>0.62881904545467038</v>
      </c>
      <c r="T113" s="145">
        <f t="shared" ca="1" si="41"/>
        <v>0.62539955065078257</v>
      </c>
      <c r="U113" s="145">
        <f t="shared" ca="1" si="41"/>
        <v>0.62191035647532245</v>
      </c>
      <c r="V113" s="145">
        <f t="shared" ca="1" si="41"/>
        <v>0.61578109702613193</v>
      </c>
      <c r="W113" s="145">
        <f t="shared" ca="1" si="41"/>
        <v>0.63587903606196561</v>
      </c>
      <c r="X113" s="145">
        <f t="shared" ca="1" si="41"/>
        <v>0.63231370123621788</v>
      </c>
      <c r="Y113" s="145">
        <f t="shared" ca="1" si="41"/>
        <v>0.62622546827837533</v>
      </c>
      <c r="Z113" s="145">
        <f t="shared" ca="1" si="41"/>
        <v>0.62254096644535961</v>
      </c>
    </row>
    <row r="114" spans="2:26" ht="15.5">
      <c r="B114" s="143" t="s">
        <v>179</v>
      </c>
      <c r="C114" s="141"/>
      <c r="D114" s="141"/>
      <c r="E114" s="141"/>
      <c r="F114" s="142">
        <f ca="1">+F112/Assumptions!$P$133</f>
        <v>0</v>
      </c>
      <c r="G114" s="142">
        <f ca="1">+G112/Assumptions!$P$133</f>
        <v>0</v>
      </c>
      <c r="H114" s="142">
        <f ca="1">+H112/Assumptions!$P$133</f>
        <v>0</v>
      </c>
      <c r="I114" s="142">
        <f ca="1">+I112/Assumptions!$P$133</f>
        <v>0</v>
      </c>
      <c r="J114" s="142">
        <f ca="1">+J112/Assumptions!$P$133</f>
        <v>196864548.23270729</v>
      </c>
      <c r="K114" s="142">
        <f ca="1">+K112/Assumptions!$P$133</f>
        <v>393428813.66462529</v>
      </c>
      <c r="L114" s="142">
        <f ca="1">+L112/Assumptions!$P$133</f>
        <v>393119522.37981236</v>
      </c>
      <c r="M114" s="142">
        <f ca="1">+M112/Assumptions!$P$133</f>
        <v>434315466.01647949</v>
      </c>
      <c r="N114" s="142">
        <f ca="1">+N112/Assumptions!$P$133</f>
        <v>433987338.89242154</v>
      </c>
      <c r="O114" s="142">
        <f ca="1">+O112/Assumptions!$P$133</f>
        <v>433649367.95464176</v>
      </c>
      <c r="P114" s="142">
        <f ca="1">+P112/Assumptions!$P$133</f>
        <v>433010389.24596137</v>
      </c>
      <c r="Q114" s="142">
        <f ca="1">+Q112/Assumptions!$P$133</f>
        <v>432651835.87807065</v>
      </c>
      <c r="R114" s="142">
        <f ca="1">+R112/Assumptions!$P$133</f>
        <v>478262172.80482149</v>
      </c>
      <c r="S114" s="142">
        <f ca="1">+S112/Assumptions!$P$133</f>
        <v>477585097.52120376</v>
      </c>
      <c r="T114" s="142">
        <f ca="1">+T112/Assumptions!$P$133</f>
        <v>477193296.57516879</v>
      </c>
      <c r="U114" s="142">
        <f ca="1">+U112/Assumptions!$P$133</f>
        <v>476789741.60075265</v>
      </c>
      <c r="V114" s="142">
        <f ca="1">+V112/Assumptions!$P$133</f>
        <v>476071460.24116904</v>
      </c>
      <c r="W114" s="142">
        <f ca="1">+W112/Assumptions!$P$133</f>
        <v>526220940.35405707</v>
      </c>
      <c r="X114" s="142">
        <f ca="1">+X112/Assumptions!$P$133</f>
        <v>525779964.93752825</v>
      </c>
      <c r="Y114" s="142">
        <f ca="1">+Y112/Assumptions!$P$133</f>
        <v>525017088.12785012</v>
      </c>
      <c r="Z114" s="142">
        <f ca="1">+Z112/Assumptions!$P$133</f>
        <v>524549257.30845469</v>
      </c>
    </row>
    <row r="116" spans="2:26" ht="15.5">
      <c r="B116" s="148" t="s">
        <v>212</v>
      </c>
      <c r="C116" s="149"/>
      <c r="D116" s="149"/>
      <c r="E116" s="149"/>
      <c r="F116" s="150">
        <f>+Assumptions!$H$22</f>
        <v>46022</v>
      </c>
      <c r="G116" s="150">
        <f>+EOMONTH(F116,12)</f>
        <v>46387</v>
      </c>
      <c r="H116" s="150">
        <f t="shared" ref="H116:Z116" si="42">+EOMONTH(G116,12)</f>
        <v>46752</v>
      </c>
      <c r="I116" s="150">
        <f t="shared" si="42"/>
        <v>47118</v>
      </c>
      <c r="J116" s="150">
        <f t="shared" si="42"/>
        <v>47483</v>
      </c>
      <c r="K116" s="150">
        <f t="shared" si="42"/>
        <v>47848</v>
      </c>
      <c r="L116" s="150">
        <f t="shared" si="42"/>
        <v>48213</v>
      </c>
      <c r="M116" s="150">
        <f t="shared" si="42"/>
        <v>48579</v>
      </c>
      <c r="N116" s="150">
        <f t="shared" si="42"/>
        <v>48944</v>
      </c>
      <c r="O116" s="150">
        <f t="shared" si="42"/>
        <v>49309</v>
      </c>
      <c r="P116" s="150">
        <f t="shared" si="42"/>
        <v>49674</v>
      </c>
      <c r="Q116" s="150">
        <f t="shared" si="42"/>
        <v>50040</v>
      </c>
      <c r="R116" s="150">
        <f t="shared" si="42"/>
        <v>50405</v>
      </c>
      <c r="S116" s="150">
        <f t="shared" si="42"/>
        <v>50770</v>
      </c>
      <c r="T116" s="150">
        <f t="shared" si="42"/>
        <v>51135</v>
      </c>
      <c r="U116" s="150">
        <f t="shared" si="42"/>
        <v>51501</v>
      </c>
      <c r="V116" s="150">
        <f t="shared" si="42"/>
        <v>51866</v>
      </c>
      <c r="W116" s="150">
        <f t="shared" si="42"/>
        <v>52231</v>
      </c>
      <c r="X116" s="150">
        <f t="shared" si="42"/>
        <v>52596</v>
      </c>
      <c r="Y116" s="150">
        <f t="shared" si="42"/>
        <v>52962</v>
      </c>
      <c r="Z116" s="150">
        <f t="shared" si="42"/>
        <v>53327</v>
      </c>
    </row>
    <row r="117" spans="2:26">
      <c r="B117" s="33" t="s">
        <v>690</v>
      </c>
      <c r="C117" s="33"/>
      <c r="D117" s="40"/>
      <c r="E117" s="40"/>
      <c r="F117" s="42">
        <f>+IF(AND(F116&gt;=Assumptions!$H$26,F116&lt;Assumptions!$H$28),SUM(Assumptions!$H$204:$H$205)/ROUNDUP((Assumptions!$H$27/12),0),0)</f>
        <v>0</v>
      </c>
      <c r="G117" s="42">
        <f>+IF(AND(G116&gt;=Assumptions!$H$26,G116&lt;Assumptions!$H$28),SUM(Assumptions!$H$204:$H$205)/ROUNDUP((Assumptions!$H$27/12),0),0)</f>
        <v>0</v>
      </c>
      <c r="H117" s="42">
        <f>+IF(AND(H116&gt;=Assumptions!$H$26,H116&lt;Assumptions!$H$28),SUM(Assumptions!$H$204:$H$205)/ROUNDUP((Assumptions!$H$27/12),0),0)</f>
        <v>0</v>
      </c>
      <c r="I117" s="42">
        <f>+IF(AND(I116&gt;=Assumptions!$H$26,I116&lt;Assumptions!$H$28),SUM(Assumptions!$H$204:$H$205)/ROUNDUP((Assumptions!$H$27/12),0),0)</f>
        <v>0</v>
      </c>
      <c r="J117" s="42">
        <f>+IF(AND(J116&gt;=Assumptions!$H$26,J116&lt;Assumptions!$H$28),SUM(Assumptions!$H$204:$H$205)/ROUNDUP((Assumptions!$H$27/12),0),0)</f>
        <v>211664</v>
      </c>
      <c r="K117" s="42">
        <f>+IF(AND(K116&gt;=Assumptions!$H$26,K116&lt;Assumptions!$H$28),SUM(Assumptions!$H$204:$H$205)/ROUNDUP((Assumptions!$H$27/12),0),0)</f>
        <v>211664</v>
      </c>
      <c r="L117" s="42">
        <f>+IF(AND(L116&gt;=Assumptions!$H$26,L116&lt;Assumptions!$H$28),SUM(Assumptions!$H$204:$H$205)/ROUNDUP((Assumptions!$H$27/12),0),0)</f>
        <v>0</v>
      </c>
      <c r="M117" s="42">
        <f>+IF(AND(M116&gt;=Assumptions!$H$26,M116&lt;Assumptions!$H$28),SUM(Assumptions!$H$204:$H$205)/ROUNDUP((Assumptions!$H$27/12),0),0)</f>
        <v>0</v>
      </c>
      <c r="N117" s="42">
        <f>+IF(AND(N116&gt;=Assumptions!$H$26,N116&lt;Assumptions!$H$28),SUM(Assumptions!$H$204:$H$205)/ROUNDUP((Assumptions!$H$27/12),0),0)</f>
        <v>0</v>
      </c>
      <c r="O117" s="42">
        <f>+IF(AND(O116&gt;=Assumptions!$H$26,O116&lt;Assumptions!$H$28),SUM(Assumptions!$H$204:$H$205)/ROUNDUP((Assumptions!$H$27/12),0),0)</f>
        <v>0</v>
      </c>
      <c r="P117" s="42">
        <f>+IF(AND(P116&gt;=Assumptions!$H$26,P116&lt;Assumptions!$H$28),SUM(Assumptions!$H$204:$H$205)/ROUNDUP((Assumptions!$H$27/12),0),0)</f>
        <v>0</v>
      </c>
      <c r="Q117" s="42">
        <f>+IF(AND(Q116&gt;=Assumptions!$H$26,Q116&lt;Assumptions!$H$28),SUM(Assumptions!$H$204:$H$205)/ROUNDUP((Assumptions!$H$27/12),0),0)</f>
        <v>0</v>
      </c>
      <c r="R117" s="42">
        <f>+IF(AND(R116&gt;=Assumptions!$H$26,R116&lt;Assumptions!$H$28),SUM(Assumptions!$H$204:$H$205)/ROUNDUP((Assumptions!$H$27/12),0),0)</f>
        <v>0</v>
      </c>
      <c r="S117" s="42">
        <f>+IF(AND(S116&gt;=Assumptions!$H$26,S116&lt;Assumptions!$H$28),SUM(Assumptions!$H$204:$H$205)/ROUNDUP((Assumptions!$H$27/12),0),0)</f>
        <v>0</v>
      </c>
      <c r="T117" s="42">
        <f>+IF(AND(T116&gt;=Assumptions!$H$26,T116&lt;Assumptions!$H$28),SUM(Assumptions!$H$204:$H$205)/ROUNDUP((Assumptions!$H$27/12),0),0)</f>
        <v>0</v>
      </c>
      <c r="U117" s="42">
        <f>+IF(AND(U116&gt;=Assumptions!$H$26,U116&lt;Assumptions!$H$28),SUM(Assumptions!$H$204:$H$205)/ROUNDUP((Assumptions!$H$27/12),0),0)</f>
        <v>0</v>
      </c>
      <c r="V117" s="42">
        <f>+IF(AND(V116&gt;=Assumptions!$H$26,V116&lt;Assumptions!$H$28),SUM(Assumptions!$H$204:$H$205)/ROUNDUP((Assumptions!$H$27/12),0),0)</f>
        <v>0</v>
      </c>
      <c r="W117" s="42">
        <f>+IF(AND(W116&gt;=Assumptions!$H$26,W116&lt;Assumptions!$H$28),SUM(Assumptions!$H$204:$H$205)/ROUNDUP((Assumptions!$H$27/12),0),0)</f>
        <v>0</v>
      </c>
      <c r="X117" s="42">
        <f>+IF(AND(X116&gt;=Assumptions!$H$26,X116&lt;Assumptions!$H$28),SUM(Assumptions!$H$204:$H$205)/ROUNDUP((Assumptions!$H$27/12),0),0)</f>
        <v>0</v>
      </c>
      <c r="Y117" s="42">
        <f>+IF(AND(Y116&gt;=Assumptions!$H$26,Y116&lt;Assumptions!$H$28),SUM(Assumptions!$H$204:$H$205)/ROUNDUP((Assumptions!$H$27/12),0),0)</f>
        <v>0</v>
      </c>
      <c r="Z117" s="42">
        <f>+IF(AND(Z116&gt;=Assumptions!$H$26,Z116&lt;Assumptions!$H$28),SUM(Assumptions!$H$204:$H$205)/ROUNDUP((Assumptions!$H$27/12),0),0)</f>
        <v>0</v>
      </c>
    </row>
    <row r="118" spans="2:26">
      <c r="B118" s="33" t="s">
        <v>466</v>
      </c>
      <c r="C118" s="33"/>
      <c r="D118" s="42"/>
      <c r="E118" s="42"/>
      <c r="F118" s="42">
        <f>+F119-E119</f>
        <v>0</v>
      </c>
      <c r="G118" s="42">
        <f t="shared" ref="G118:Z118" si="43">+G119-F119</f>
        <v>0</v>
      </c>
      <c r="H118" s="42">
        <f t="shared" si="43"/>
        <v>0</v>
      </c>
      <c r="I118" s="42">
        <f t="shared" si="43"/>
        <v>0</v>
      </c>
      <c r="J118" s="42">
        <f t="shared" si="43"/>
        <v>705.54666666666662</v>
      </c>
      <c r="K118" s="42">
        <f t="shared" si="43"/>
        <v>705.54666666666662</v>
      </c>
      <c r="L118" s="42">
        <f t="shared" si="43"/>
        <v>0</v>
      </c>
      <c r="M118" s="42">
        <f t="shared" si="43"/>
        <v>0</v>
      </c>
      <c r="N118" s="42">
        <f t="shared" si="43"/>
        <v>0</v>
      </c>
      <c r="O118" s="42">
        <f t="shared" si="43"/>
        <v>0</v>
      </c>
      <c r="P118" s="42">
        <f t="shared" si="43"/>
        <v>0</v>
      </c>
      <c r="Q118" s="42">
        <f t="shared" si="43"/>
        <v>0</v>
      </c>
      <c r="R118" s="42">
        <f t="shared" si="43"/>
        <v>0</v>
      </c>
      <c r="S118" s="42">
        <f t="shared" si="43"/>
        <v>0</v>
      </c>
      <c r="T118" s="42">
        <f t="shared" si="43"/>
        <v>0</v>
      </c>
      <c r="U118" s="42">
        <f t="shared" si="43"/>
        <v>0</v>
      </c>
      <c r="V118" s="42">
        <f t="shared" si="43"/>
        <v>0</v>
      </c>
      <c r="W118" s="42">
        <f t="shared" si="43"/>
        <v>0</v>
      </c>
      <c r="X118" s="42">
        <f t="shared" si="43"/>
        <v>0</v>
      </c>
      <c r="Y118" s="42">
        <f t="shared" si="43"/>
        <v>0</v>
      </c>
      <c r="Z118" s="42">
        <f t="shared" si="43"/>
        <v>0</v>
      </c>
    </row>
    <row r="119" spans="2:26">
      <c r="B119" s="33" t="s">
        <v>232</v>
      </c>
      <c r="C119" s="33"/>
      <c r="D119" s="40"/>
      <c r="E119" s="40"/>
      <c r="F119" s="42">
        <f>+F121*SUM(Assumptions!$P$49:$P$50)</f>
        <v>0</v>
      </c>
      <c r="G119" s="42">
        <f>+G121*SUM(Assumptions!$P$49:$P$50)</f>
        <v>0</v>
      </c>
      <c r="H119" s="42">
        <f>+H121*SUM(Assumptions!$P$49:$P$50)</f>
        <v>0</v>
      </c>
      <c r="I119" s="42">
        <f>+I121*SUM(Assumptions!$P$49:$P$50)</f>
        <v>0</v>
      </c>
      <c r="J119" s="42">
        <f>+J121*SUM(Assumptions!$P$49:$P$50)</f>
        <v>705.54666666666662</v>
      </c>
      <c r="K119" s="42">
        <f>+K121*SUM(Assumptions!$P$49:$P$50)</f>
        <v>1411.0933333333332</v>
      </c>
      <c r="L119" s="42">
        <f>+L121*SUM(Assumptions!$P$49:$P$50)</f>
        <v>1411.0933333333332</v>
      </c>
      <c r="M119" s="42">
        <f>+M121*SUM(Assumptions!$P$49:$P$50)</f>
        <v>1411.0933333333332</v>
      </c>
      <c r="N119" s="42">
        <f>+N121*SUM(Assumptions!$P$49:$P$50)</f>
        <v>1411.0933333333332</v>
      </c>
      <c r="O119" s="42">
        <f>+O121*SUM(Assumptions!$P$49:$P$50)</f>
        <v>1411.0933333333332</v>
      </c>
      <c r="P119" s="42">
        <f>+P121*SUM(Assumptions!$P$49:$P$50)</f>
        <v>1411.0933333333332</v>
      </c>
      <c r="Q119" s="42">
        <f>+Q121*SUM(Assumptions!$P$49:$P$50)</f>
        <v>1411.0933333333332</v>
      </c>
      <c r="R119" s="42">
        <f>+R121*SUM(Assumptions!$P$49:$P$50)</f>
        <v>1411.0933333333332</v>
      </c>
      <c r="S119" s="42">
        <f>+S121*SUM(Assumptions!$P$49:$P$50)</f>
        <v>1411.0933333333332</v>
      </c>
      <c r="T119" s="42">
        <f>+T121*SUM(Assumptions!$P$49:$P$50)</f>
        <v>1411.0933333333332</v>
      </c>
      <c r="U119" s="42">
        <f>+U121*SUM(Assumptions!$P$49:$P$50)</f>
        <v>1411.0933333333332</v>
      </c>
      <c r="V119" s="42">
        <f>+V121*SUM(Assumptions!$P$49:$P$50)</f>
        <v>1411.0933333333332</v>
      </c>
      <c r="W119" s="42">
        <f>+W121*SUM(Assumptions!$P$49:$P$50)</f>
        <v>1411.0933333333332</v>
      </c>
      <c r="X119" s="42">
        <f>+X121*SUM(Assumptions!$P$49:$P$50)</f>
        <v>1411.0933333333332</v>
      </c>
      <c r="Y119" s="42">
        <f>+Y121*SUM(Assumptions!$P$49:$P$50)</f>
        <v>1411.0933333333332</v>
      </c>
      <c r="Z119" s="42">
        <f>+Z121*SUM(Assumptions!$P$49:$P$50)</f>
        <v>1411.0933333333332</v>
      </c>
    </row>
    <row r="120" spans="2:26">
      <c r="B120" s="33" t="s">
        <v>231</v>
      </c>
      <c r="C120" s="33"/>
      <c r="D120" s="42">
        <v>0</v>
      </c>
      <c r="E120" s="42"/>
      <c r="F120" s="42">
        <f>+D120+F117</f>
        <v>0</v>
      </c>
      <c r="G120" s="42">
        <f t="shared" ref="G120:Z120" si="44">+F120+G117</f>
        <v>0</v>
      </c>
      <c r="H120" s="42">
        <f t="shared" si="44"/>
        <v>0</v>
      </c>
      <c r="I120" s="42">
        <f t="shared" si="44"/>
        <v>0</v>
      </c>
      <c r="J120" s="42">
        <f t="shared" si="44"/>
        <v>211664</v>
      </c>
      <c r="K120" s="42">
        <f t="shared" si="44"/>
        <v>423328</v>
      </c>
      <c r="L120" s="42">
        <f t="shared" si="44"/>
        <v>423328</v>
      </c>
      <c r="M120" s="42">
        <f t="shared" si="44"/>
        <v>423328</v>
      </c>
      <c r="N120" s="42">
        <f t="shared" si="44"/>
        <v>423328</v>
      </c>
      <c r="O120" s="42">
        <f t="shared" si="44"/>
        <v>423328</v>
      </c>
      <c r="P120" s="42">
        <f t="shared" si="44"/>
        <v>423328</v>
      </c>
      <c r="Q120" s="42">
        <f t="shared" si="44"/>
        <v>423328</v>
      </c>
      <c r="R120" s="42">
        <f t="shared" si="44"/>
        <v>423328</v>
      </c>
      <c r="S120" s="42">
        <f t="shared" si="44"/>
        <v>423328</v>
      </c>
      <c r="T120" s="42">
        <f t="shared" si="44"/>
        <v>423328</v>
      </c>
      <c r="U120" s="42">
        <f t="shared" si="44"/>
        <v>423328</v>
      </c>
      <c r="V120" s="42">
        <f t="shared" si="44"/>
        <v>423328</v>
      </c>
      <c r="W120" s="42">
        <f t="shared" si="44"/>
        <v>423328</v>
      </c>
      <c r="X120" s="42">
        <f t="shared" si="44"/>
        <v>423328</v>
      </c>
      <c r="Y120" s="42">
        <f t="shared" si="44"/>
        <v>423328</v>
      </c>
      <c r="Z120" s="42">
        <f t="shared" si="44"/>
        <v>423328</v>
      </c>
    </row>
    <row r="121" spans="2:26">
      <c r="B121" s="33" t="s">
        <v>285</v>
      </c>
      <c r="C121" s="33"/>
      <c r="D121" s="42"/>
      <c r="E121" s="42"/>
      <c r="F121" s="108">
        <f t="shared" ref="F121:Z121" si="45">+F120/SUM($F117:$Z117)</f>
        <v>0</v>
      </c>
      <c r="G121" s="108">
        <f t="shared" si="45"/>
        <v>0</v>
      </c>
      <c r="H121" s="108">
        <f t="shared" si="45"/>
        <v>0</v>
      </c>
      <c r="I121" s="108">
        <f t="shared" si="45"/>
        <v>0</v>
      </c>
      <c r="J121" s="108">
        <f t="shared" si="45"/>
        <v>0.5</v>
      </c>
      <c r="K121" s="108">
        <f t="shared" si="45"/>
        <v>1</v>
      </c>
      <c r="L121" s="108">
        <f t="shared" si="45"/>
        <v>1</v>
      </c>
      <c r="M121" s="108">
        <f t="shared" si="45"/>
        <v>1</v>
      </c>
      <c r="N121" s="108">
        <f t="shared" si="45"/>
        <v>1</v>
      </c>
      <c r="O121" s="108">
        <f t="shared" si="45"/>
        <v>1</v>
      </c>
      <c r="P121" s="108">
        <f t="shared" si="45"/>
        <v>1</v>
      </c>
      <c r="Q121" s="108">
        <f t="shared" si="45"/>
        <v>1</v>
      </c>
      <c r="R121" s="108">
        <f t="shared" si="45"/>
        <v>1</v>
      </c>
      <c r="S121" s="108">
        <f t="shared" si="45"/>
        <v>1</v>
      </c>
      <c r="T121" s="108">
        <f t="shared" si="45"/>
        <v>1</v>
      </c>
      <c r="U121" s="108">
        <f t="shared" si="45"/>
        <v>1</v>
      </c>
      <c r="V121" s="108">
        <f t="shared" si="45"/>
        <v>1</v>
      </c>
      <c r="W121" s="108">
        <f t="shared" si="45"/>
        <v>1</v>
      </c>
      <c r="X121" s="108">
        <f t="shared" si="45"/>
        <v>1</v>
      </c>
      <c r="Y121" s="108">
        <f t="shared" si="45"/>
        <v>1</v>
      </c>
      <c r="Z121" s="108">
        <f t="shared" si="45"/>
        <v>1</v>
      </c>
    </row>
    <row r="122" spans="2:26">
      <c r="B122" s="33"/>
      <c r="C122" s="33"/>
      <c r="D122" s="40"/>
      <c r="E122" s="40"/>
      <c r="F122" s="34"/>
      <c r="G122" s="34"/>
      <c r="H122" s="34"/>
      <c r="I122" s="34"/>
      <c r="J122" s="34"/>
      <c r="K122" s="34"/>
      <c r="L122" s="34"/>
      <c r="M122" s="34"/>
      <c r="N122" s="34"/>
      <c r="O122" s="34"/>
      <c r="P122" s="34"/>
      <c r="Q122" s="34"/>
      <c r="R122" s="34"/>
      <c r="S122" s="34"/>
      <c r="T122" s="34"/>
      <c r="U122" s="34"/>
      <c r="V122" s="34"/>
      <c r="W122" s="34"/>
      <c r="X122" s="34"/>
      <c r="Y122" s="34"/>
      <c r="Z122" s="34"/>
    </row>
    <row r="123" spans="2:26">
      <c r="B123" s="33" t="s">
        <v>236</v>
      </c>
      <c r="C123" s="33"/>
      <c r="D123" s="42"/>
      <c r="E123" s="42"/>
      <c r="F123" s="108">
        <v>1</v>
      </c>
      <c r="G123" s="108">
        <f>+F123*(1+Assumptions!$P$74)</f>
        <v>1.02</v>
      </c>
      <c r="H123" s="108">
        <f>+G123*(1+Assumptions!$P$74)</f>
        <v>1.0404</v>
      </c>
      <c r="I123" s="108">
        <f>+H123*(1+Assumptions!$P$74)</f>
        <v>1.0612079999999999</v>
      </c>
      <c r="J123" s="108">
        <f>+I123*(1+Assumptions!$P$74)</f>
        <v>1.08243216</v>
      </c>
      <c r="K123" s="108">
        <f>+J123*(1+Assumptions!$P$74)</f>
        <v>1.1040808032</v>
      </c>
      <c r="L123" s="108">
        <f>+K123*(1+Assumptions!$P$74)</f>
        <v>1.1261624192640001</v>
      </c>
      <c r="M123" s="108">
        <f>+L123*(1+Assumptions!$P$74)</f>
        <v>1.14868566764928</v>
      </c>
      <c r="N123" s="108">
        <f>+M123*(1+Assumptions!$P$74)</f>
        <v>1.1716593810022657</v>
      </c>
      <c r="O123" s="108">
        <f>+N123*(1+Assumptions!$P$74)</f>
        <v>1.1950925686223111</v>
      </c>
      <c r="P123" s="108">
        <f>+O123*(1+Assumptions!$P$74)</f>
        <v>1.2189944199947573</v>
      </c>
      <c r="Q123" s="108">
        <f>+P123*(1+Assumptions!$P$74)</f>
        <v>1.2433743083946525</v>
      </c>
      <c r="R123" s="108">
        <f>+Q123*(1+Assumptions!$P$74)</f>
        <v>1.2682417945625455</v>
      </c>
      <c r="S123" s="108">
        <f>+R123*(1+Assumptions!$P$74)</f>
        <v>1.2936066304537963</v>
      </c>
      <c r="T123" s="108">
        <f>+S123*(1+Assumptions!$P$74)</f>
        <v>1.3194787630628724</v>
      </c>
      <c r="U123" s="108">
        <f>+T123*(1+Assumptions!$P$74)</f>
        <v>1.3458683383241299</v>
      </c>
      <c r="V123" s="108">
        <f>+U123*(1+Assumptions!$P$74)</f>
        <v>1.3727857050906125</v>
      </c>
      <c r="W123" s="108">
        <f>+V123*(1+Assumptions!$P$74)</f>
        <v>1.4002414191924248</v>
      </c>
      <c r="X123" s="108">
        <f>+W123*(1+Assumptions!$P$74)</f>
        <v>1.4282462475762734</v>
      </c>
      <c r="Y123" s="108">
        <f>+X123*(1+Assumptions!$P$74)</f>
        <v>1.4568111725277988</v>
      </c>
      <c r="Z123" s="108">
        <f>+Y123*(1+Assumptions!$P$74)</f>
        <v>1.4859473959783549</v>
      </c>
    </row>
    <row r="124" spans="2:26">
      <c r="B124" s="33" t="s">
        <v>237</v>
      </c>
      <c r="C124" s="33"/>
      <c r="D124" s="42"/>
      <c r="E124" s="42"/>
      <c r="F124" s="108">
        <v>1</v>
      </c>
      <c r="G124" s="108">
        <f>+F124*(1+Assumptions!$P$82)</f>
        <v>1.03</v>
      </c>
      <c r="H124" s="108">
        <f>+G124*(1+Assumptions!$P$82)</f>
        <v>1.0609</v>
      </c>
      <c r="I124" s="108">
        <f>+H124*(1+Assumptions!$P$82)</f>
        <v>1.092727</v>
      </c>
      <c r="J124" s="108">
        <f>+I124*(1+Assumptions!$P$82)</f>
        <v>1.1255088100000001</v>
      </c>
      <c r="K124" s="108">
        <f>+J124*(1+Assumptions!$P$82)</f>
        <v>1.1592740743000001</v>
      </c>
      <c r="L124" s="108">
        <f>+K124*(1+Assumptions!$P$82)</f>
        <v>1.1940522965290001</v>
      </c>
      <c r="M124" s="108">
        <f>+L124*(1+Assumptions!$P$82)</f>
        <v>1.2298738654248702</v>
      </c>
      <c r="N124" s="108">
        <f>+M124*(1+Assumptions!$P$82)</f>
        <v>1.2667700813876164</v>
      </c>
      <c r="O124" s="108">
        <f>+N124*(1+Assumptions!$P$82)</f>
        <v>1.3047731838292449</v>
      </c>
      <c r="P124" s="108">
        <f>+O124*(1+Assumptions!$P$82)</f>
        <v>1.3439163793441222</v>
      </c>
      <c r="Q124" s="108">
        <f>+P124*(1+Assumptions!$P$82)</f>
        <v>1.3842338707244459</v>
      </c>
      <c r="R124" s="108">
        <f>+Q124*(1+Assumptions!$P$82)</f>
        <v>1.4257608868461793</v>
      </c>
      <c r="S124" s="108">
        <f>+R124*(1+Assumptions!$P$82)</f>
        <v>1.4685337134515648</v>
      </c>
      <c r="T124" s="108">
        <f>+S124*(1+Assumptions!$P$82)</f>
        <v>1.5125897248551119</v>
      </c>
      <c r="U124" s="108">
        <f>+T124*(1+Assumptions!$P$82)</f>
        <v>1.5579674166007653</v>
      </c>
      <c r="V124" s="108">
        <f>+U124*(1+Assumptions!$P$82)</f>
        <v>1.6047064390987884</v>
      </c>
      <c r="W124" s="108">
        <f>+V124*(1+Assumptions!$P$82)</f>
        <v>1.652847632271752</v>
      </c>
      <c r="X124" s="108">
        <f>+W124*(1+Assumptions!$P$82)</f>
        <v>1.7024330612399046</v>
      </c>
      <c r="Y124" s="108">
        <f>+X124*(1+Assumptions!$P$82)</f>
        <v>1.7535060530771018</v>
      </c>
      <c r="Z124" s="108">
        <f>+Y124*(1+Assumptions!$P$82)</f>
        <v>1.806111234669415</v>
      </c>
    </row>
    <row r="125" spans="2:26">
      <c r="B125" s="33"/>
      <c r="C125" s="33"/>
      <c r="D125" s="40"/>
      <c r="E125" s="40"/>
      <c r="F125" s="34"/>
      <c r="G125" s="34"/>
      <c r="H125" s="34"/>
      <c r="I125" s="34"/>
      <c r="J125" s="34"/>
      <c r="K125" s="34"/>
      <c r="L125" s="34"/>
      <c r="M125" s="34"/>
      <c r="N125" s="34"/>
      <c r="O125" s="34"/>
      <c r="P125" s="34"/>
      <c r="Q125" s="34"/>
      <c r="R125" s="34"/>
      <c r="S125" s="34"/>
      <c r="T125" s="34"/>
      <c r="U125" s="34"/>
      <c r="V125" s="34"/>
      <c r="W125" s="34"/>
      <c r="X125" s="34"/>
      <c r="Y125" s="34"/>
      <c r="Z125" s="34"/>
    </row>
    <row r="126" spans="2:26">
      <c r="B126" s="33" t="s">
        <v>228</v>
      </c>
      <c r="C126" s="33"/>
      <c r="D126" s="40"/>
      <c r="E126" s="40"/>
      <c r="F126" s="34">
        <f>+F121*Assumptions!$H$203*F123</f>
        <v>0</v>
      </c>
      <c r="G126" s="34">
        <f>+G121*Assumptions!$H$203*G123</f>
        <v>0</v>
      </c>
      <c r="H126" s="34">
        <f>+H121*Assumptions!$H$203*H123</f>
        <v>0</v>
      </c>
      <c r="I126" s="34">
        <f>+I121*Assumptions!$H$203*I123</f>
        <v>0</v>
      </c>
      <c r="J126" s="34">
        <f>+J121*Assumptions!$H$203*J123</f>
        <v>991992.44488185411</v>
      </c>
      <c r="K126" s="34">
        <f>+K121*Assumptions!$H$203*K123</f>
        <v>2023664.5875589824</v>
      </c>
      <c r="L126" s="34">
        <f>+L121*Assumptions!$H$203*L123</f>
        <v>2064137.8793101623</v>
      </c>
      <c r="M126" s="34">
        <f>+M121*Assumptions!$H$203*M123</f>
        <v>2105420.6368963653</v>
      </c>
      <c r="N126" s="34">
        <f>+N121*Assumptions!$H$203*N123</f>
        <v>2147529.0496342932</v>
      </c>
      <c r="O126" s="34">
        <f>+O121*Assumptions!$H$203*O123</f>
        <v>2190479.6306269788</v>
      </c>
      <c r="P126" s="34">
        <f>+P121*Assumptions!$H$203*P123</f>
        <v>2234289.2232395187</v>
      </c>
      <c r="Q126" s="34">
        <f>+Q121*Assumptions!$H$203*Q123</f>
        <v>2278975.0077043087</v>
      </c>
      <c r="R126" s="34">
        <f>+R121*Assumptions!$H$203*R123</f>
        <v>2324554.5078583951</v>
      </c>
      <c r="S126" s="34">
        <f>+S121*Assumptions!$H$203*S123</f>
        <v>2371045.5980155626</v>
      </c>
      <c r="T126" s="34">
        <f>+T121*Assumptions!$H$203*T123</f>
        <v>2418466.5099758743</v>
      </c>
      <c r="U126" s="34">
        <f>+U121*Assumptions!$H$203*U123</f>
        <v>2466835.8401753916</v>
      </c>
      <c r="V126" s="34">
        <f>+V121*Assumptions!$H$203*V123</f>
        <v>2516172.5569788995</v>
      </c>
      <c r="W126" s="34">
        <f>+W121*Assumptions!$H$203*W123</f>
        <v>2566496.0081184776</v>
      </c>
      <c r="X126" s="34">
        <f>+X121*Assumptions!$H$203*X123</f>
        <v>2617825.9282808476</v>
      </c>
      <c r="Y126" s="34">
        <f>+Y121*Assumptions!$H$203*Y123</f>
        <v>2670182.4468464642</v>
      </c>
      <c r="Z126" s="34">
        <f>+Z121*Assumptions!$H$203*Z123</f>
        <v>2723586.0957833938</v>
      </c>
    </row>
    <row r="127" spans="2:26">
      <c r="B127" s="33" t="s">
        <v>229</v>
      </c>
      <c r="C127" s="33"/>
      <c r="D127" s="40"/>
      <c r="E127" s="40"/>
      <c r="F127" s="42">
        <f>-F126*Assumptions!$P$60</f>
        <v>0</v>
      </c>
      <c r="G127" s="42">
        <f>-G126*Assumptions!$P$60</f>
        <v>0</v>
      </c>
      <c r="H127" s="42">
        <f>-H126*Assumptions!$P$60</f>
        <v>0</v>
      </c>
      <c r="I127" s="42">
        <f>-I126*Assumptions!$P$60</f>
        <v>0</v>
      </c>
      <c r="J127" s="42">
        <f>-J126*Assumptions!$P$60</f>
        <v>-99199.244488185417</v>
      </c>
      <c r="K127" s="42">
        <f>-K126*Assumptions!$P$60</f>
        <v>-202366.45875589826</v>
      </c>
      <c r="L127" s="42">
        <f>-L126*Assumptions!$P$60</f>
        <v>-206413.78793101624</v>
      </c>
      <c r="M127" s="42">
        <f>-M126*Assumptions!$P$60</f>
        <v>-210542.06368963653</v>
      </c>
      <c r="N127" s="42">
        <f>-N126*Assumptions!$P$60</f>
        <v>-214752.90496342932</v>
      </c>
      <c r="O127" s="42">
        <f>-O126*Assumptions!$P$60</f>
        <v>-219047.96306269791</v>
      </c>
      <c r="P127" s="42">
        <f>-P126*Assumptions!$P$60</f>
        <v>-223428.92232395188</v>
      </c>
      <c r="Q127" s="42">
        <f>-Q126*Assumptions!$P$60</f>
        <v>-227897.5007704309</v>
      </c>
      <c r="R127" s="42">
        <f>-R126*Assumptions!$P$60</f>
        <v>-232455.45078583952</v>
      </c>
      <c r="S127" s="42">
        <f>-S126*Assumptions!$P$60</f>
        <v>-237104.55980155629</v>
      </c>
      <c r="T127" s="42">
        <f>-T126*Assumptions!$P$60</f>
        <v>-241846.65099758745</v>
      </c>
      <c r="U127" s="42">
        <f>-U126*Assumptions!$P$60</f>
        <v>-246683.58401753916</v>
      </c>
      <c r="V127" s="42">
        <f>-V126*Assumptions!$P$60</f>
        <v>-251617.25569788995</v>
      </c>
      <c r="W127" s="42">
        <f>-W126*Assumptions!$P$60</f>
        <v>-256649.60081184778</v>
      </c>
      <c r="X127" s="42">
        <f>-X126*Assumptions!$P$60</f>
        <v>-261782.59282808477</v>
      </c>
      <c r="Y127" s="42">
        <f>-Y126*Assumptions!$P$60</f>
        <v>-267018.24468464643</v>
      </c>
      <c r="Z127" s="42">
        <f>-Z126*Assumptions!$P$60</f>
        <v>-272358.60957833938</v>
      </c>
    </row>
    <row r="128" spans="2:26">
      <c r="B128" s="137" t="s">
        <v>238</v>
      </c>
      <c r="C128" s="137"/>
      <c r="D128" s="137"/>
      <c r="E128" s="137"/>
      <c r="F128" s="129">
        <f t="shared" ref="F128:Z128" si="46">+SUM(F126:F127)</f>
        <v>0</v>
      </c>
      <c r="G128" s="129">
        <f t="shared" si="46"/>
        <v>0</v>
      </c>
      <c r="H128" s="129">
        <f t="shared" si="46"/>
        <v>0</v>
      </c>
      <c r="I128" s="129">
        <f t="shared" si="46"/>
        <v>0</v>
      </c>
      <c r="J128" s="129">
        <f t="shared" si="46"/>
        <v>892793.20039366873</v>
      </c>
      <c r="K128" s="129">
        <f t="shared" si="46"/>
        <v>1821298.1288030841</v>
      </c>
      <c r="L128" s="129">
        <f t="shared" si="46"/>
        <v>1857724.0913791461</v>
      </c>
      <c r="M128" s="129">
        <f t="shared" si="46"/>
        <v>1894878.5732067288</v>
      </c>
      <c r="N128" s="129">
        <f t="shared" si="46"/>
        <v>1932776.1446708639</v>
      </c>
      <c r="O128" s="129">
        <f t="shared" si="46"/>
        <v>1971431.6675642808</v>
      </c>
      <c r="P128" s="129">
        <f t="shared" si="46"/>
        <v>2010860.3009155667</v>
      </c>
      <c r="Q128" s="129">
        <f t="shared" si="46"/>
        <v>2051077.5069338777</v>
      </c>
      <c r="R128" s="129">
        <f t="shared" si="46"/>
        <v>2092099.0570725556</v>
      </c>
      <c r="S128" s="129">
        <f t="shared" si="46"/>
        <v>2133941.0382140065</v>
      </c>
      <c r="T128" s="129">
        <f t="shared" si="46"/>
        <v>2176619.8589782869</v>
      </c>
      <c r="U128" s="129">
        <f t="shared" si="46"/>
        <v>2220152.2561578527</v>
      </c>
      <c r="V128" s="129">
        <f t="shared" si="46"/>
        <v>2264555.3012810098</v>
      </c>
      <c r="W128" s="129">
        <f t="shared" si="46"/>
        <v>2309846.4073066297</v>
      </c>
      <c r="X128" s="129">
        <f t="shared" si="46"/>
        <v>2356043.3354527629</v>
      </c>
      <c r="Y128" s="129">
        <f t="shared" si="46"/>
        <v>2403164.2021618178</v>
      </c>
      <c r="Z128" s="129">
        <f t="shared" si="46"/>
        <v>2451227.4862050544</v>
      </c>
    </row>
    <row r="130" spans="2:26">
      <c r="B130" s="33" t="s">
        <v>371</v>
      </c>
      <c r="F130" s="34">
        <f>+F119*Assumptions!$P$97*'Phase III Pro Forma'!F124</f>
        <v>0</v>
      </c>
      <c r="G130" s="34">
        <f>+G119*Assumptions!$P$97*'Phase III Pro Forma'!G124</f>
        <v>0</v>
      </c>
      <c r="H130" s="34">
        <f>+H119*Assumptions!$P$97*'Phase III Pro Forma'!H124</f>
        <v>0</v>
      </c>
      <c r="I130" s="34">
        <f>+I119*Assumptions!$P$97*'Phase III Pro Forma'!I124</f>
        <v>0</v>
      </c>
      <c r="J130" s="34">
        <f>+J119*Assumptions!$P$97*'Phase III Pro Forma'!J124</f>
        <v>429779.14206649776</v>
      </c>
      <c r="K130" s="34">
        <f>+K119*Assumptions!$P$97*'Phase III Pro Forma'!K124</f>
        <v>885345.03265698534</v>
      </c>
      <c r="L130" s="34">
        <f>+L119*Assumptions!$P$97*'Phase III Pro Forma'!L124</f>
        <v>911905.38363669487</v>
      </c>
      <c r="M130" s="34">
        <f>+M119*Assumptions!$P$97*'Phase III Pro Forma'!M124</f>
        <v>939262.5451457958</v>
      </c>
      <c r="N130" s="34">
        <f>+N119*Assumptions!$P$97*'Phase III Pro Forma'!N124</f>
        <v>967440.42150016967</v>
      </c>
      <c r="O130" s="34">
        <f>+O119*Assumptions!$P$97*'Phase III Pro Forma'!O124</f>
        <v>996463.63414517487</v>
      </c>
      <c r="P130" s="34">
        <f>+P119*Assumptions!$P$97*'Phase III Pro Forma'!P124</f>
        <v>1026357.54316953</v>
      </c>
      <c r="Q130" s="34">
        <f>+Q119*Assumptions!$P$97*'Phase III Pro Forma'!Q124</f>
        <v>1057148.269464616</v>
      </c>
      <c r="R130" s="34">
        <f>+R119*Assumptions!$P$97*'Phase III Pro Forma'!R124</f>
        <v>1088862.7175485545</v>
      </c>
      <c r="S130" s="34">
        <f>+S119*Assumptions!$P$97*'Phase III Pro Forma'!S124</f>
        <v>1121528.5990750112</v>
      </c>
      <c r="T130" s="34">
        <f>+T119*Assumptions!$P$97*'Phase III Pro Forma'!T124</f>
        <v>1155174.4570472615</v>
      </c>
      <c r="U130" s="34">
        <f>+U119*Assumptions!$P$97*'Phase III Pro Forma'!U124</f>
        <v>1189829.6907586795</v>
      </c>
      <c r="V130" s="34">
        <f>+V119*Assumptions!$P$97*'Phase III Pro Forma'!V124</f>
        <v>1225524.58148144</v>
      </c>
      <c r="W130" s="34">
        <f>+W119*Assumptions!$P$97*'Phase III Pro Forma'!W124</f>
        <v>1262290.3189258832</v>
      </c>
      <c r="X130" s="34">
        <f>+X119*Assumptions!$P$97*'Phase III Pro Forma'!X124</f>
        <v>1300159.0284936596</v>
      </c>
      <c r="Y130" s="34">
        <f>+Y119*Assumptions!$P$97*'Phase III Pro Forma'!Y124</f>
        <v>1339163.7993484696</v>
      </c>
      <c r="Z130" s="34">
        <f>+Z119*Assumptions!$P$97*'Phase III Pro Forma'!Z124</f>
        <v>1379338.7133289238</v>
      </c>
    </row>
    <row r="131" spans="2:26">
      <c r="B131" s="33" t="s">
        <v>308</v>
      </c>
      <c r="F131" s="151">
        <f ca="1">+IFERROR(IFERROR(INDEX('Taxes and TIF'!$AR$11:$AR$45,MATCH('Phase III Pro Forma'!F$7,'Taxes and TIF'!$AG$11:$AG$45,0)),0)*'Loan Sizing'!$M$20*F121,0)</f>
        <v>0</v>
      </c>
      <c r="G131" s="151">
        <f ca="1">+IFERROR(IFERROR(INDEX('Taxes and TIF'!$AR$11:$AR$45,MATCH('Phase III Pro Forma'!G$7,'Taxes and TIF'!$AG$11:$AG$45,0)),0)*'Loan Sizing'!$M$20*G121,0)</f>
        <v>0</v>
      </c>
      <c r="H131" s="151">
        <f ca="1">+IFERROR(IFERROR(INDEX('Taxes and TIF'!$AR$11:$AR$45,MATCH('Phase III Pro Forma'!H$7,'Taxes and TIF'!$AG$11:$AG$45,0)),0)*'Loan Sizing'!$M$20*H121,0)</f>
        <v>0</v>
      </c>
      <c r="I131" s="151">
        <f ca="1">+IFERROR(IFERROR(INDEX('Taxes and TIF'!$AR$11:$AR$45,MATCH('Phase III Pro Forma'!I$7,'Taxes and TIF'!$AG$11:$AG$45,0)),0)*'Loan Sizing'!$M$20*I121,0)</f>
        <v>0</v>
      </c>
      <c r="J131" s="151">
        <f ca="1">+IFERROR(IFERROR(INDEX('Taxes and TIF'!$AR$11:$AR$45,MATCH('Phase III Pro Forma'!J$7,'Taxes and TIF'!$AG$11:$AG$45,0)),0)*'Loan Sizing'!$M$20*J121,0)</f>
        <v>125869.70637054439</v>
      </c>
      <c r="K131" s="151">
        <f ca="1">+IFERROR(IFERROR(INDEX('Taxes and TIF'!$AR$11:$AR$45,MATCH('Phase III Pro Forma'!K$7,'Taxes and TIF'!$AG$11:$AG$45,0)),0)*'Loan Sizing'!$M$20*K121,0)</f>
        <v>251739.41274108877</v>
      </c>
      <c r="L131" s="151">
        <f ca="1">+IFERROR(IFERROR(INDEX('Taxes and TIF'!$AR$11:$AR$45,MATCH('Phase III Pro Forma'!L$7,'Taxes and TIF'!$AG$11:$AG$45,0)),0)*'Loan Sizing'!$M$20*L121,0)</f>
        <v>251739.41274108877</v>
      </c>
      <c r="M131" s="151">
        <f ca="1">+IFERROR(IFERROR(INDEX('Taxes and TIF'!$AR$11:$AR$45,MATCH('Phase III Pro Forma'!M$7,'Taxes and TIF'!$AG$11:$AG$45,0)),0)*'Loan Sizing'!$M$20*M121,0)</f>
        <v>256774.20099591056</v>
      </c>
      <c r="N131" s="151">
        <f ca="1">+IFERROR(IFERROR(INDEX('Taxes and TIF'!$AR$11:$AR$45,MATCH('Phase III Pro Forma'!N$7,'Taxes and TIF'!$AG$11:$AG$45,0)),0)*'Loan Sizing'!$M$20*N121,0)</f>
        <v>256774.20099591056</v>
      </c>
      <c r="O131" s="151">
        <f ca="1">+IFERROR(IFERROR(INDEX('Taxes and TIF'!$AR$11:$AR$45,MATCH('Phase III Pro Forma'!O$7,'Taxes and TIF'!$AG$11:$AG$45,0)),0)*'Loan Sizing'!$M$20*O121,0)</f>
        <v>256774.20099591056</v>
      </c>
      <c r="P131" s="151">
        <f ca="1">+IFERROR(IFERROR(INDEX('Taxes and TIF'!$AR$11:$AR$45,MATCH('Phase III Pro Forma'!P$7,'Taxes and TIF'!$AG$11:$AG$45,0)),0)*'Loan Sizing'!$M$20*P121,0)</f>
        <v>261909.68501582867</v>
      </c>
      <c r="Q131" s="151">
        <f ca="1">+IFERROR(IFERROR(INDEX('Taxes and TIF'!$AR$11:$AR$45,MATCH('Phase III Pro Forma'!Q$7,'Taxes and TIF'!$AG$11:$AG$45,0)),0)*'Loan Sizing'!$M$20*Q121,0)</f>
        <v>261909.68501582867</v>
      </c>
      <c r="R131" s="151">
        <f ca="1">+IFERROR(IFERROR(INDEX('Taxes and TIF'!$AR$11:$AR$45,MATCH('Phase III Pro Forma'!R$7,'Taxes and TIF'!$AG$11:$AG$45,0)),0)*'Loan Sizing'!$M$20*R121,0)</f>
        <v>261909.68501582867</v>
      </c>
      <c r="S131" s="151">
        <f ca="1">+IFERROR(IFERROR(INDEX('Taxes and TIF'!$AR$11:$AR$45,MATCH('Phase III Pro Forma'!S$7,'Taxes and TIF'!$AG$11:$AG$45,0)),0)*'Loan Sizing'!$M$20*S121,0)</f>
        <v>267147.87871614529</v>
      </c>
      <c r="T131" s="151">
        <f ca="1">+IFERROR(IFERROR(INDEX('Taxes and TIF'!$AR$11:$AR$45,MATCH('Phase III Pro Forma'!T$7,'Taxes and TIF'!$AG$11:$AG$45,0)),0)*'Loan Sizing'!$M$20*T121,0)</f>
        <v>267147.87871614529</v>
      </c>
      <c r="U131" s="151">
        <f ca="1">+IFERROR(IFERROR(INDEX('Taxes and TIF'!$AR$11:$AR$45,MATCH('Phase III Pro Forma'!U$7,'Taxes and TIF'!$AG$11:$AG$45,0)),0)*'Loan Sizing'!$M$20*U121,0)</f>
        <v>267147.87871614529</v>
      </c>
      <c r="V131" s="151">
        <f ca="1">+IFERROR(IFERROR(INDEX('Taxes and TIF'!$AR$11:$AR$45,MATCH('Phase III Pro Forma'!V$7,'Taxes and TIF'!$AG$11:$AG$45,0)),0)*'Loan Sizing'!$M$20*V121,0)</f>
        <v>272490.83629046817</v>
      </c>
      <c r="W131" s="151">
        <f ca="1">+IFERROR(IFERROR(INDEX('Taxes and TIF'!$AR$11:$AR$45,MATCH('Phase III Pro Forma'!W$7,'Taxes and TIF'!$AG$11:$AG$45,0)),0)*'Loan Sizing'!$M$20*W121,0)</f>
        <v>272490.83629046817</v>
      </c>
      <c r="X131" s="151">
        <f ca="1">+IFERROR(IFERROR(INDEX('Taxes and TIF'!$AR$11:$AR$45,MATCH('Phase III Pro Forma'!X$7,'Taxes and TIF'!$AG$11:$AG$45,0)),0)*'Loan Sizing'!$M$20*X121,0)</f>
        <v>272490.83629046817</v>
      </c>
      <c r="Y131" s="151">
        <f ca="1">+IFERROR(IFERROR(INDEX('Taxes and TIF'!$AR$11:$AR$45,MATCH('Phase III Pro Forma'!Y$7,'Taxes and TIF'!$AG$11:$AG$45,0)),0)*'Loan Sizing'!$M$20*Y121,0)</f>
        <v>277940.65301627759</v>
      </c>
      <c r="Z131" s="151">
        <f ca="1">+IFERROR(IFERROR(INDEX('Taxes and TIF'!$AR$11:$AR$45,MATCH('Phase III Pro Forma'!Z$7,'Taxes and TIF'!$AG$11:$AG$45,0)),0)*'Loan Sizing'!$M$20*Z121,0)</f>
        <v>277940.65301627759</v>
      </c>
    </row>
    <row r="132" spans="2:26">
      <c r="B132" s="137" t="s">
        <v>234</v>
      </c>
      <c r="C132" s="137"/>
      <c r="D132" s="137"/>
      <c r="E132" s="137"/>
      <c r="F132" s="129">
        <f ca="1">+SUM(F130:F131)</f>
        <v>0</v>
      </c>
      <c r="G132" s="129">
        <f t="shared" ref="G132" ca="1" si="47">+SUM(G130:G131)</f>
        <v>0</v>
      </c>
      <c r="H132" s="129">
        <f t="shared" ref="H132:Z132" ca="1" si="48">+SUM(H130:H131)</f>
        <v>0</v>
      </c>
      <c r="I132" s="129">
        <f t="shared" ca="1" si="48"/>
        <v>0</v>
      </c>
      <c r="J132" s="129">
        <f t="shared" ca="1" si="48"/>
        <v>555648.84843704221</v>
      </c>
      <c r="K132" s="129">
        <f t="shared" ca="1" si="48"/>
        <v>1137084.4453980741</v>
      </c>
      <c r="L132" s="129">
        <f t="shared" ca="1" si="48"/>
        <v>1163644.7963777836</v>
      </c>
      <c r="M132" s="129">
        <f t="shared" ca="1" si="48"/>
        <v>1196036.7461417064</v>
      </c>
      <c r="N132" s="129">
        <f t="shared" ca="1" si="48"/>
        <v>1224214.6224960801</v>
      </c>
      <c r="O132" s="129">
        <f t="shared" ca="1" si="48"/>
        <v>1253237.8351410856</v>
      </c>
      <c r="P132" s="129">
        <f t="shared" ca="1" si="48"/>
        <v>1288267.2281853587</v>
      </c>
      <c r="Q132" s="129">
        <f t="shared" ca="1" si="48"/>
        <v>1319057.9544804445</v>
      </c>
      <c r="R132" s="129">
        <f t="shared" ca="1" si="48"/>
        <v>1350772.4025643831</v>
      </c>
      <c r="S132" s="129">
        <f t="shared" ca="1" si="48"/>
        <v>1388676.4777911566</v>
      </c>
      <c r="T132" s="129">
        <f t="shared" ca="1" si="48"/>
        <v>1422322.3357634069</v>
      </c>
      <c r="U132" s="129">
        <f t="shared" ca="1" si="48"/>
        <v>1456977.5694748247</v>
      </c>
      <c r="V132" s="129">
        <f t="shared" ca="1" si="48"/>
        <v>1498015.4177719082</v>
      </c>
      <c r="W132" s="129">
        <f t="shared" ca="1" si="48"/>
        <v>1534781.1552163514</v>
      </c>
      <c r="X132" s="129">
        <f t="shared" ca="1" si="48"/>
        <v>1572649.8647841278</v>
      </c>
      <c r="Y132" s="129">
        <f t="shared" ca="1" si="48"/>
        <v>1617104.4523647472</v>
      </c>
      <c r="Z132" s="129">
        <f t="shared" ca="1" si="48"/>
        <v>1657279.3663452014</v>
      </c>
    </row>
    <row r="133" spans="2:26">
      <c r="B133" s="33"/>
    </row>
    <row r="134" spans="2:26" ht="15.5">
      <c r="B134" s="138" t="s">
        <v>233</v>
      </c>
      <c r="C134" s="138"/>
      <c r="D134" s="138"/>
      <c r="E134" s="138"/>
      <c r="F134" s="139">
        <f ca="1">+F128-F132</f>
        <v>0</v>
      </c>
      <c r="G134" s="139">
        <f t="shared" ref="G134:Z134" ca="1" si="49">+G128-G132</f>
        <v>0</v>
      </c>
      <c r="H134" s="139">
        <f t="shared" ca="1" si="49"/>
        <v>0</v>
      </c>
      <c r="I134" s="139">
        <f t="shared" ca="1" si="49"/>
        <v>0</v>
      </c>
      <c r="J134" s="139">
        <f t="shared" ca="1" si="49"/>
        <v>337144.35195662652</v>
      </c>
      <c r="K134" s="139">
        <f t="shared" ca="1" si="49"/>
        <v>684213.68340501003</v>
      </c>
      <c r="L134" s="139">
        <f t="shared" ca="1" si="49"/>
        <v>694079.29500136245</v>
      </c>
      <c r="M134" s="139">
        <f t="shared" ca="1" si="49"/>
        <v>698841.82706502243</v>
      </c>
      <c r="N134" s="139">
        <f t="shared" ca="1" si="49"/>
        <v>708561.52217478375</v>
      </c>
      <c r="O134" s="139">
        <f t="shared" ca="1" si="49"/>
        <v>718193.83242319524</v>
      </c>
      <c r="P134" s="139">
        <f t="shared" ca="1" si="49"/>
        <v>722593.07273020805</v>
      </c>
      <c r="Q134" s="139">
        <f t="shared" ca="1" si="49"/>
        <v>732019.55245343316</v>
      </c>
      <c r="R134" s="139">
        <f t="shared" ca="1" si="49"/>
        <v>741326.65450817253</v>
      </c>
      <c r="S134" s="139">
        <f t="shared" ca="1" si="49"/>
        <v>745264.56042284984</v>
      </c>
      <c r="T134" s="139">
        <f t="shared" ca="1" si="49"/>
        <v>754297.52321487991</v>
      </c>
      <c r="U134" s="139">
        <f t="shared" ca="1" si="49"/>
        <v>763174.68668302801</v>
      </c>
      <c r="V134" s="139">
        <f t="shared" ca="1" si="49"/>
        <v>766539.88350910158</v>
      </c>
      <c r="W134" s="139">
        <f t="shared" ca="1" si="49"/>
        <v>775065.25209027831</v>
      </c>
      <c r="X134" s="139">
        <f t="shared" ca="1" si="49"/>
        <v>783393.4706686351</v>
      </c>
      <c r="Y134" s="139">
        <f t="shared" ca="1" si="49"/>
        <v>786059.74979707063</v>
      </c>
      <c r="Z134" s="139">
        <f t="shared" ca="1" si="49"/>
        <v>793948.11985985306</v>
      </c>
    </row>
    <row r="135" spans="2:26" ht="15.5">
      <c r="B135" s="143" t="s">
        <v>239</v>
      </c>
      <c r="C135" s="141"/>
      <c r="D135" s="141"/>
      <c r="E135" s="141"/>
      <c r="F135" s="144" t="str">
        <f ca="1">+IFERROR(F134/F128,"")</f>
        <v/>
      </c>
      <c r="G135" s="144" t="str">
        <f t="shared" ref="G135:Z135" ca="1" si="50">+IFERROR(G134/G128,"")</f>
        <v/>
      </c>
      <c r="H135" s="144" t="str">
        <f t="shared" ca="1" si="50"/>
        <v/>
      </c>
      <c r="I135" s="145" t="str">
        <f t="shared" ca="1" si="50"/>
        <v/>
      </c>
      <c r="J135" s="145">
        <f t="shared" ca="1" si="50"/>
        <v>0.37762871828321037</v>
      </c>
      <c r="K135" s="145">
        <f t="shared" ca="1" si="50"/>
        <v>0.37567363222113437</v>
      </c>
      <c r="L135" s="145">
        <f t="shared" ca="1" si="50"/>
        <v>0.37361807290020582</v>
      </c>
      <c r="M135" s="145">
        <f t="shared" ca="1" si="50"/>
        <v>0.36880559891622128</v>
      </c>
      <c r="N135" s="145">
        <f t="shared" ca="1" si="50"/>
        <v>0.36660299441736233</v>
      </c>
      <c r="O135" s="145">
        <f t="shared" ca="1" si="50"/>
        <v>0.36430064720961358</v>
      </c>
      <c r="P135" s="145">
        <f t="shared" ca="1" si="50"/>
        <v>0.35934523765833137</v>
      </c>
      <c r="Q135" s="145">
        <f t="shared" ca="1" si="50"/>
        <v>0.35689511974987098</v>
      </c>
      <c r="R135" s="145">
        <f t="shared" ca="1" si="50"/>
        <v>0.3543458671337964</v>
      </c>
      <c r="S135" s="145">
        <f t="shared" ca="1" si="50"/>
        <v>0.34924327667768934</v>
      </c>
      <c r="T135" s="145">
        <f t="shared" ca="1" si="50"/>
        <v>0.34654536487090121</v>
      </c>
      <c r="U135" s="145">
        <f t="shared" ca="1" si="50"/>
        <v>0.34374880577053823</v>
      </c>
      <c r="V135" s="145">
        <f t="shared" ca="1" si="50"/>
        <v>0.3384946629810659</v>
      </c>
      <c r="W135" s="145">
        <f t="shared" ca="1" si="50"/>
        <v>0.33554839388391822</v>
      </c>
      <c r="X135" s="145">
        <f t="shared" ca="1" si="50"/>
        <v>0.33250384612220629</v>
      </c>
      <c r="Y135" s="145">
        <f t="shared" ca="1" si="50"/>
        <v>0.32709364973477623</v>
      </c>
      <c r="Z135" s="145">
        <f t="shared" ca="1" si="50"/>
        <v>0.32389817931139026</v>
      </c>
    </row>
    <row r="136" spans="2:26" ht="15.5">
      <c r="B136" s="143" t="s">
        <v>179</v>
      </c>
      <c r="C136" s="141"/>
      <c r="D136" s="141"/>
      <c r="E136" s="141"/>
      <c r="F136" s="142">
        <f ca="1">+F134/Assumptions!$P$135</f>
        <v>0</v>
      </c>
      <c r="G136" s="142">
        <f ca="1">+G134/Assumptions!$P$135</f>
        <v>0</v>
      </c>
      <c r="H136" s="142">
        <f ca="1">+H134/Assumptions!$P$135</f>
        <v>0</v>
      </c>
      <c r="I136" s="142">
        <f ca="1">+I134/Assumptions!$P$135</f>
        <v>0</v>
      </c>
      <c r="J136" s="142">
        <f ca="1">+J134/Assumptions!$P$135</f>
        <v>4816347.8850946641</v>
      </c>
      <c r="K136" s="142">
        <f ca="1">+K134/Assumptions!$P$135</f>
        <v>9774481.1915001422</v>
      </c>
      <c r="L136" s="142">
        <f ca="1">+L134/Assumptions!$P$135</f>
        <v>9915418.5000194628</v>
      </c>
      <c r="M136" s="142">
        <f ca="1">+M134/Assumptions!$P$135</f>
        <v>9983454.6723574623</v>
      </c>
      <c r="N136" s="142">
        <f ca="1">+N134/Assumptions!$P$135</f>
        <v>10122307.459639767</v>
      </c>
      <c r="O136" s="142">
        <f ca="1">+O134/Assumptions!$P$135</f>
        <v>10259911.89175993</v>
      </c>
      <c r="P136" s="142">
        <f ca="1">+P134/Assumptions!$P$135</f>
        <v>10322758.181860114</v>
      </c>
      <c r="Q136" s="142">
        <f ca="1">+Q134/Assumptions!$P$135</f>
        <v>10457422.177906187</v>
      </c>
      <c r="R136" s="142">
        <f ca="1">+R134/Assumptions!$P$135</f>
        <v>10590380.778688177</v>
      </c>
      <c r="S136" s="142">
        <f ca="1">+S134/Assumptions!$P$135</f>
        <v>10646636.577469282</v>
      </c>
      <c r="T136" s="142">
        <f ca="1">+T134/Assumptions!$P$135</f>
        <v>10775678.903069712</v>
      </c>
      <c r="U136" s="142">
        <f ca="1">+U134/Assumptions!$P$135</f>
        <v>10902495.524043256</v>
      </c>
      <c r="V136" s="142">
        <f ca="1">+V134/Assumptions!$P$135</f>
        <v>10950569.764415735</v>
      </c>
      <c r="W136" s="142">
        <f ca="1">+W134/Assumptions!$P$135</f>
        <v>11072360.744146831</v>
      </c>
      <c r="X136" s="142">
        <f ca="1">+X134/Assumptions!$P$135</f>
        <v>11191335.295266215</v>
      </c>
      <c r="Y136" s="142">
        <f ca="1">+Y134/Assumptions!$P$135</f>
        <v>11229424.997101007</v>
      </c>
      <c r="Z136" s="142">
        <f ca="1">+Z134/Assumptions!$P$135</f>
        <v>11342115.9979979</v>
      </c>
    </row>
    <row r="138" spans="2:26" ht="15.5">
      <c r="B138" s="138" t="s">
        <v>699</v>
      </c>
      <c r="C138" s="138"/>
      <c r="D138" s="138"/>
      <c r="E138" s="138"/>
      <c r="F138" s="139">
        <f t="shared" ref="F138:Z138" ca="1" si="51">+F134+F112+F91+F70+F49+F26</f>
        <v>0</v>
      </c>
      <c r="G138" s="139">
        <f t="shared" ca="1" si="51"/>
        <v>0</v>
      </c>
      <c r="H138" s="139">
        <f t="shared" ca="1" si="51"/>
        <v>0</v>
      </c>
      <c r="I138" s="139">
        <f t="shared" ca="1" si="51"/>
        <v>0</v>
      </c>
      <c r="J138" s="139">
        <f t="shared" ca="1" si="51"/>
        <v>17695780.225437015</v>
      </c>
      <c r="K138" s="139">
        <f t="shared" ca="1" si="51"/>
        <v>35754736.869227603</v>
      </c>
      <c r="L138" s="139">
        <f t="shared" ca="1" si="51"/>
        <v>36128451.462820411</v>
      </c>
      <c r="M138" s="139">
        <f t="shared" ca="1" si="51"/>
        <v>39134741.580764815</v>
      </c>
      <c r="N138" s="139">
        <f t="shared" ca="1" si="51"/>
        <v>39530468.660809331</v>
      </c>
      <c r="O138" s="139">
        <f t="shared" ca="1" si="51"/>
        <v>39937688.577507399</v>
      </c>
      <c r="P138" s="139">
        <f t="shared" ca="1" si="51"/>
        <v>40259582.732104376</v>
      </c>
      <c r="Q138" s="139">
        <f t="shared" ca="1" si="51"/>
        <v>40690809.903440759</v>
      </c>
      <c r="R138" s="139">
        <f t="shared" ca="1" si="51"/>
        <v>44123248.766067222</v>
      </c>
      <c r="S138" s="139">
        <f t="shared" ca="1" si="51"/>
        <v>44480814.298916437</v>
      </c>
      <c r="T138" s="139">
        <f t="shared" ca="1" si="51"/>
        <v>44950760.265942037</v>
      </c>
      <c r="U138" s="139">
        <f t="shared" ca="1" si="51"/>
        <v>45434377.823733427</v>
      </c>
      <c r="V138" s="139">
        <f t="shared" ca="1" si="51"/>
        <v>45830987.685414076</v>
      </c>
      <c r="W138" s="139">
        <f t="shared" ca="1" si="51"/>
        <v>49630709.891323589</v>
      </c>
      <c r="X138" s="139">
        <f t="shared" ca="1" si="51"/>
        <v>50157799.756649643</v>
      </c>
      <c r="Y138" s="139">
        <f t="shared" ca="1" si="51"/>
        <v>50597137.831802323</v>
      </c>
      <c r="Z138" s="139">
        <f t="shared" ca="1" si="51"/>
        <v>51155380.432816945</v>
      </c>
    </row>
    <row r="140" spans="2:26" ht="15.5">
      <c r="B140" s="148" t="s">
        <v>31</v>
      </c>
      <c r="F140" s="150">
        <f>+Assumptions!$H$22</f>
        <v>46022</v>
      </c>
      <c r="G140" s="150">
        <f>+EOMONTH(F140,12)</f>
        <v>46387</v>
      </c>
      <c r="H140" s="150">
        <f t="shared" ref="H140:Z140" si="52">+EOMONTH(G140,12)</f>
        <v>46752</v>
      </c>
      <c r="I140" s="150">
        <f t="shared" si="52"/>
        <v>47118</v>
      </c>
      <c r="J140" s="150">
        <f t="shared" si="52"/>
        <v>47483</v>
      </c>
      <c r="K140" s="150">
        <f t="shared" si="52"/>
        <v>47848</v>
      </c>
      <c r="L140" s="150">
        <f t="shared" si="52"/>
        <v>48213</v>
      </c>
      <c r="M140" s="150">
        <f t="shared" si="52"/>
        <v>48579</v>
      </c>
      <c r="N140" s="150">
        <f t="shared" si="52"/>
        <v>48944</v>
      </c>
      <c r="O140" s="150">
        <f t="shared" si="52"/>
        <v>49309</v>
      </c>
      <c r="P140" s="150">
        <f t="shared" si="52"/>
        <v>49674</v>
      </c>
      <c r="Q140" s="150">
        <f t="shared" si="52"/>
        <v>50040</v>
      </c>
      <c r="R140" s="150">
        <f t="shared" si="52"/>
        <v>50405</v>
      </c>
      <c r="S140" s="150">
        <f t="shared" si="52"/>
        <v>50770</v>
      </c>
      <c r="T140" s="150">
        <f t="shared" si="52"/>
        <v>51135</v>
      </c>
      <c r="U140" s="150">
        <f t="shared" si="52"/>
        <v>51501</v>
      </c>
      <c r="V140" s="150">
        <f t="shared" si="52"/>
        <v>51866</v>
      </c>
      <c r="W140" s="150">
        <f t="shared" si="52"/>
        <v>52231</v>
      </c>
      <c r="X140" s="150">
        <f t="shared" si="52"/>
        <v>52596</v>
      </c>
      <c r="Y140" s="150">
        <f t="shared" si="52"/>
        <v>52962</v>
      </c>
      <c r="Z140" s="150">
        <f t="shared" si="52"/>
        <v>53327</v>
      </c>
    </row>
    <row r="141" spans="2:26">
      <c r="B141" s="33" t="s">
        <v>313</v>
      </c>
      <c r="F141" s="34">
        <v>0</v>
      </c>
      <c r="G141" s="34">
        <f t="shared" ref="G141:Z141" ca="1" si="53">+F144</f>
        <v>0</v>
      </c>
      <c r="H141" s="34">
        <f t="shared" ca="1" si="53"/>
        <v>0</v>
      </c>
      <c r="I141" s="34">
        <f t="shared" ca="1" si="53"/>
        <v>0</v>
      </c>
      <c r="J141" s="34">
        <f t="shared" ca="1" si="53"/>
        <v>0</v>
      </c>
      <c r="K141" s="34">
        <f t="shared" ca="1" si="53"/>
        <v>329180061.01890624</v>
      </c>
      <c r="L141" s="34">
        <f t="shared" ca="1" si="53"/>
        <v>325073738.0525465</v>
      </c>
      <c r="M141" s="34">
        <f t="shared" ca="1" si="53"/>
        <v>320700504.09337354</v>
      </c>
      <c r="N141" s="34">
        <f t="shared" ca="1" si="53"/>
        <v>316043009.92685425</v>
      </c>
      <c r="O141" s="34">
        <f t="shared" ca="1" si="53"/>
        <v>311082778.63951117</v>
      </c>
      <c r="P141" s="34">
        <f t="shared" ca="1" si="53"/>
        <v>305800132.31849092</v>
      </c>
      <c r="Q141" s="34">
        <f t="shared" ca="1" si="53"/>
        <v>300174113.98660427</v>
      </c>
      <c r="R141" s="34">
        <f t="shared" ca="1" si="53"/>
        <v>294182404.4631449</v>
      </c>
      <c r="S141" s="34">
        <f t="shared" ca="1" si="53"/>
        <v>287801233.82066089</v>
      </c>
      <c r="T141" s="34">
        <f t="shared" ca="1" si="53"/>
        <v>281005287.08641523</v>
      </c>
      <c r="U141" s="34">
        <f t="shared" ca="1" si="53"/>
        <v>273767603.81444359</v>
      </c>
      <c r="V141" s="34">
        <f t="shared" ca="1" si="53"/>
        <v>266059471.12979397</v>
      </c>
      <c r="W141" s="34">
        <f t="shared" ca="1" si="53"/>
        <v>257850309.82064196</v>
      </c>
      <c r="X141" s="34">
        <f t="shared" ca="1" si="53"/>
        <v>249107553.02639508</v>
      </c>
      <c r="Y141" s="34">
        <f t="shared" ca="1" si="53"/>
        <v>239796517.04052231</v>
      </c>
      <c r="Z141" s="34">
        <f t="shared" ca="1" si="53"/>
        <v>229880263.71556765</v>
      </c>
    </row>
    <row r="142" spans="2:26">
      <c r="B142" s="33" t="s">
        <v>324</v>
      </c>
      <c r="F142" s="151">
        <f>+IF(YEAR(F$140)=YEAR(Assumptions!$H$26),'S&amp;U'!$T$17,0)</f>
        <v>0</v>
      </c>
      <c r="G142" s="151">
        <f>+IF(YEAR(G$140)=YEAR(Assumptions!$H$26),'S&amp;U'!$T$17,0)</f>
        <v>0</v>
      </c>
      <c r="H142" s="151">
        <f>+IF(YEAR(H$140)=YEAR(Assumptions!$H$26),'S&amp;U'!$T$17,0)</f>
        <v>0</v>
      </c>
      <c r="I142" s="151">
        <f>+IF(YEAR(I$140)=YEAR(Assumptions!$H$26),'S&amp;U'!$T$17,0)</f>
        <v>0</v>
      </c>
      <c r="J142" s="151">
        <f ca="1">+IF(YEAR(J$140)=YEAR(Assumptions!$H$26),'S&amp;U'!$T$17,0)</f>
        <v>333035763.33473688</v>
      </c>
      <c r="K142" s="151">
        <f>+IF(YEAR(K$140)=YEAR(Assumptions!$H$26),'S&amp;U'!$T$17,0)</f>
        <v>0</v>
      </c>
      <c r="L142" s="151">
        <f>+IF(YEAR(L$140)=YEAR(Assumptions!$H$26),'S&amp;U'!$T$17,0)</f>
        <v>0</v>
      </c>
      <c r="M142" s="151">
        <f>+IF(YEAR(M$140)=YEAR(Assumptions!$H$26),'S&amp;U'!$T$17,0)</f>
        <v>0</v>
      </c>
      <c r="N142" s="151">
        <f>+IF(YEAR(N$140)=YEAR(Assumptions!$H$26),'S&amp;U'!$T$17,0)</f>
        <v>0</v>
      </c>
      <c r="O142" s="151">
        <f>+IF(YEAR(O$140)=YEAR(Assumptions!$H$26),'S&amp;U'!$T$17,0)</f>
        <v>0</v>
      </c>
      <c r="P142" s="151">
        <f>+IF(YEAR(P$140)=YEAR(Assumptions!$H$26),'S&amp;U'!$T$17,0)</f>
        <v>0</v>
      </c>
      <c r="Q142" s="151">
        <f>+IF(YEAR(Q$140)=YEAR(Assumptions!$H$26),'S&amp;U'!$T$17,0)</f>
        <v>0</v>
      </c>
      <c r="R142" s="151">
        <f>+IF(YEAR(R$140)=YEAR(Assumptions!$H$26),'S&amp;U'!$T$17,0)</f>
        <v>0</v>
      </c>
      <c r="S142" s="151">
        <f>+IF(YEAR(S$140)=YEAR(Assumptions!$H$26),'S&amp;U'!$T$17,0)</f>
        <v>0</v>
      </c>
      <c r="T142" s="151">
        <f>+IF(YEAR(T$140)=YEAR(Assumptions!$H$26),'S&amp;U'!$T$17,0)</f>
        <v>0</v>
      </c>
      <c r="U142" s="151">
        <f>+IF(YEAR(U$140)=YEAR(Assumptions!$H$26),'S&amp;U'!$T$17,0)</f>
        <v>0</v>
      </c>
      <c r="V142" s="151">
        <f>+IF(YEAR(V$140)=YEAR(Assumptions!$H$26),'S&amp;U'!$T$17,0)</f>
        <v>0</v>
      </c>
      <c r="W142" s="151">
        <f>+IF(YEAR(W$140)=YEAR(Assumptions!$H$26),'S&amp;U'!$T$17,0)</f>
        <v>0</v>
      </c>
      <c r="X142" s="151">
        <f>+IF(YEAR(X$140)=YEAR(Assumptions!$H$26),'S&amp;U'!$T$17,0)</f>
        <v>0</v>
      </c>
      <c r="Y142" s="151">
        <f>+IF(YEAR(Y$140)=YEAR(Assumptions!$H$26),'S&amp;U'!$T$17,0)</f>
        <v>0</v>
      </c>
      <c r="Z142" s="151">
        <f>+IF(YEAR(Z$140)=YEAR(Assumptions!$H$26),'S&amp;U'!$T$17,0)</f>
        <v>0</v>
      </c>
    </row>
    <row r="143" spans="2:26">
      <c r="B143" s="33" t="s">
        <v>156</v>
      </c>
      <c r="F143" s="151">
        <f ca="1">+IFERROR(PPMT(Assumptions!$P$151,F2,Assumptions!$P$153,'S&amp;U'!$T$17),0)</f>
        <v>0</v>
      </c>
      <c r="G143" s="151">
        <f ca="1">+IFERROR(PPMT(Assumptions!$P$151,G2,Assumptions!$P$153,'S&amp;U'!$T$17),0)</f>
        <v>0</v>
      </c>
      <c r="H143" s="151">
        <f ca="1">+IFERROR(PPMT(Assumptions!$P$151,H2,Assumptions!$P$153,'S&amp;U'!$T$17),0)</f>
        <v>0</v>
      </c>
      <c r="I143" s="151">
        <f ca="1">+IFERROR(PPMT(Assumptions!$P$151,I2,Assumptions!$P$153,'S&amp;U'!$T$17),0)</f>
        <v>0</v>
      </c>
      <c r="J143" s="151">
        <f ca="1">+IFERROR(PPMT(Assumptions!$P$151,J2,Assumptions!$P$153,'S&amp;U'!$T$17),0)</f>
        <v>-3855702.3158306638</v>
      </c>
      <c r="K143" s="151">
        <f ca="1">+IFERROR(PPMT(Assumptions!$P$151,K2,Assumptions!$P$153,'S&amp;U'!$T$17),0)</f>
        <v>-4106322.9663596558</v>
      </c>
      <c r="L143" s="151">
        <f ca="1">+IFERROR(PPMT(Assumptions!$P$151,L2,Assumptions!$P$153,'S&amp;U'!$T$17),0)</f>
        <v>-4373233.9591730349</v>
      </c>
      <c r="M143" s="151">
        <f ca="1">+IFERROR(PPMT(Assumptions!$P$151,M2,Assumptions!$P$153,'S&amp;U'!$T$17),0)</f>
        <v>-4657494.1665192805</v>
      </c>
      <c r="N143" s="151">
        <f ca="1">+IFERROR(PPMT(Assumptions!$P$151,N2,Assumptions!$P$153,'S&amp;U'!$T$17),0)</f>
        <v>-4960231.2873430345</v>
      </c>
      <c r="O143" s="151">
        <f ca="1">+IFERROR(PPMT(Assumptions!$P$151,O2,Assumptions!$P$153,'S&amp;U'!$T$17),0)</f>
        <v>-5282646.3210203322</v>
      </c>
      <c r="P143" s="151">
        <f ca="1">+IFERROR(PPMT(Assumptions!$P$151,P2,Assumptions!$P$153,'S&amp;U'!$T$17),0)</f>
        <v>-5626018.3318866529</v>
      </c>
      <c r="Q143" s="151">
        <f ca="1">+IFERROR(PPMT(Assumptions!$P$151,Q2,Assumptions!$P$153,'S&amp;U'!$T$17),0)</f>
        <v>-5991709.5234592864</v>
      </c>
      <c r="R143" s="151">
        <f ca="1">+IFERROR(PPMT(Assumptions!$P$151,R2,Assumptions!$P$153,'S&amp;U'!$T$17),0)</f>
        <v>-6381170.6424841397</v>
      </c>
      <c r="S143" s="151">
        <f ca="1">+IFERROR(PPMT(Assumptions!$P$151,S2,Assumptions!$P$153,'S&amp;U'!$T$17),0)</f>
        <v>-6795946.7342456086</v>
      </c>
      <c r="T143" s="151">
        <f ca="1">+IFERROR(PPMT(Assumptions!$P$151,T2,Assumptions!$P$153,'S&amp;U'!$T$17),0)</f>
        <v>-7237683.2719715741</v>
      </c>
      <c r="U143" s="151">
        <f ca="1">+IFERROR(PPMT(Assumptions!$P$151,U2,Assumptions!$P$153,'S&amp;U'!$T$17),0)</f>
        <v>-7708132.6846497264</v>
      </c>
      <c r="V143" s="151">
        <f ca="1">+IFERROR(PPMT(Assumptions!$P$151,V2,Assumptions!$P$153,'S&amp;U'!$T$17),0)</f>
        <v>-8209161.3091519587</v>
      </c>
      <c r="W143" s="151">
        <f ca="1">+IFERROR(PPMT(Assumptions!$P$151,W2,Assumptions!$P$153,'S&amp;U'!$T$17),0)</f>
        <v>-8742756.7942468356</v>
      </c>
      <c r="X143" s="151">
        <f ca="1">+IFERROR(PPMT(Assumptions!$P$151,X2,Assumptions!$P$153,'S&amp;U'!$T$17),0)</f>
        <v>-9311035.9858728815</v>
      </c>
      <c r="Y143" s="151">
        <f ca="1">+IFERROR(PPMT(Assumptions!$P$151,Y2,Assumptions!$P$153,'S&amp;U'!$T$17),0)</f>
        <v>-9916253.3249546178</v>
      </c>
      <c r="Z143" s="151">
        <f ca="1">+IFERROR(PPMT(Assumptions!$P$151,Z2,Assumptions!$P$153,'S&amp;U'!$T$17),0)</f>
        <v>-10560809.791076666</v>
      </c>
    </row>
    <row r="144" spans="2:26">
      <c r="B144" s="33" t="s">
        <v>315</v>
      </c>
      <c r="F144" s="151">
        <f t="shared" ref="F144:N144" ca="1" si="54">+SUM(F141:F143)</f>
        <v>0</v>
      </c>
      <c r="G144" s="151">
        <f t="shared" ca="1" si="54"/>
        <v>0</v>
      </c>
      <c r="H144" s="151">
        <f t="shared" ca="1" si="54"/>
        <v>0</v>
      </c>
      <c r="I144" s="151">
        <f t="shared" ca="1" si="54"/>
        <v>0</v>
      </c>
      <c r="J144" s="151">
        <f t="shared" ca="1" si="54"/>
        <v>329180061.01890624</v>
      </c>
      <c r="K144" s="151">
        <f t="shared" ca="1" si="54"/>
        <v>325073738.05254656</v>
      </c>
      <c r="L144" s="151">
        <f t="shared" ca="1" si="54"/>
        <v>320700504.09337348</v>
      </c>
      <c r="M144" s="151">
        <f t="shared" ca="1" si="54"/>
        <v>316043009.92685425</v>
      </c>
      <c r="N144" s="151">
        <f t="shared" ca="1" si="54"/>
        <v>311082778.63951123</v>
      </c>
      <c r="O144" s="151">
        <f t="shared" ref="O144:Z144" ca="1" si="55">+SUM(O141:O143)</f>
        <v>305800132.31849086</v>
      </c>
      <c r="P144" s="151">
        <f t="shared" ca="1" si="55"/>
        <v>300174113.98660427</v>
      </c>
      <c r="Q144" s="151">
        <f t="shared" ca="1" si="55"/>
        <v>294182404.46314496</v>
      </c>
      <c r="R144" s="151">
        <f t="shared" ca="1" si="55"/>
        <v>287801233.82066077</v>
      </c>
      <c r="S144" s="151">
        <f t="shared" ca="1" si="55"/>
        <v>281005287.08641529</v>
      </c>
      <c r="T144" s="151">
        <f t="shared" ca="1" si="55"/>
        <v>273767603.81444365</v>
      </c>
      <c r="U144" s="151">
        <f t="shared" ca="1" si="55"/>
        <v>266059471.12979385</v>
      </c>
      <c r="V144" s="151">
        <f t="shared" ca="1" si="55"/>
        <v>257850309.82064202</v>
      </c>
      <c r="W144" s="151">
        <f t="shared" ca="1" si="55"/>
        <v>249107553.02639514</v>
      </c>
      <c r="X144" s="151">
        <f t="shared" ca="1" si="55"/>
        <v>239796517.04052219</v>
      </c>
      <c r="Y144" s="151">
        <f t="shared" ca="1" si="55"/>
        <v>229880263.71556768</v>
      </c>
      <c r="Z144" s="151">
        <f t="shared" ca="1" si="55"/>
        <v>219319453.92449099</v>
      </c>
    </row>
    <row r="146" spans="2:26">
      <c r="B146" s="41" t="s">
        <v>314</v>
      </c>
      <c r="F146" s="34">
        <f ca="1">-IFERROR(IPMT(Assumptions!$P$151,F2,Assumptions!$P$153,'S&amp;U'!$T$17),0)</f>
        <v>0</v>
      </c>
      <c r="G146" s="34">
        <f ca="1">-IFERROR(IPMT(Assumptions!$P$151,G2,Assumptions!$P$153,'S&amp;U'!$T$17),0)</f>
        <v>0</v>
      </c>
      <c r="H146" s="34">
        <f ca="1">-IFERROR(IPMT(Assumptions!$P$151,H2,Assumptions!$P$153,'S&amp;U'!$T$17),0)</f>
        <v>0</v>
      </c>
      <c r="I146" s="34">
        <f ca="1">-IFERROR(IPMT(Assumptions!$P$151,I2,Assumptions!$P$153,'S&amp;U'!$T$17),0)</f>
        <v>0</v>
      </c>
      <c r="J146" s="34">
        <f ca="1">-IFERROR(IPMT(Assumptions!$P$151,J2,Assumptions!$P$153,'S&amp;U'!$T$17),0)</f>
        <v>21647324.6167579</v>
      </c>
      <c r="K146" s="34">
        <f ca="1">-IFERROR(IPMT(Assumptions!$P$151,K2,Assumptions!$P$153,'S&amp;U'!$T$17),0)</f>
        <v>21396703.96622891</v>
      </c>
      <c r="L146" s="34">
        <f ca="1">-IFERROR(IPMT(Assumptions!$P$151,L2,Assumptions!$P$153,'S&amp;U'!$T$17),0)</f>
        <v>21129792.973415531</v>
      </c>
      <c r="M146" s="34">
        <f ca="1">-IFERROR(IPMT(Assumptions!$P$151,M2,Assumptions!$P$153,'S&amp;U'!$T$17),0)</f>
        <v>20845532.766069282</v>
      </c>
      <c r="N146" s="34">
        <f ca="1">-IFERROR(IPMT(Assumptions!$P$151,N2,Assumptions!$P$153,'S&amp;U'!$T$17),0)</f>
        <v>20542795.645245526</v>
      </c>
      <c r="O146" s="34">
        <f ca="1">-IFERROR(IPMT(Assumptions!$P$151,O2,Assumptions!$P$153,'S&amp;U'!$T$17),0)</f>
        <v>20220380.611568231</v>
      </c>
      <c r="P146" s="34">
        <f ca="1">-IFERROR(IPMT(Assumptions!$P$151,P2,Assumptions!$P$153,'S&amp;U'!$T$17),0)</f>
        <v>19877008.60070191</v>
      </c>
      <c r="Q146" s="34">
        <f ca="1">-IFERROR(IPMT(Assumptions!$P$151,Q2,Assumptions!$P$153,'S&amp;U'!$T$17),0)</f>
        <v>19511317.409129277</v>
      </c>
      <c r="R146" s="34">
        <f ca="1">-IFERROR(IPMT(Assumptions!$P$151,R2,Assumptions!$P$153,'S&amp;U'!$T$17),0)</f>
        <v>19121856.290104423</v>
      </c>
      <c r="S146" s="34">
        <f ca="1">-IFERROR(IPMT(Assumptions!$P$151,S2,Assumptions!$P$153,'S&amp;U'!$T$17),0)</f>
        <v>18707080.198342953</v>
      </c>
      <c r="T146" s="34">
        <f ca="1">-IFERROR(IPMT(Assumptions!$P$151,T2,Assumptions!$P$153,'S&amp;U'!$T$17),0)</f>
        <v>18265343.66061699</v>
      </c>
      <c r="U146" s="34">
        <f ca="1">-IFERROR(IPMT(Assumptions!$P$151,U2,Assumptions!$P$153,'S&amp;U'!$T$17),0)</f>
        <v>17794894.247938838</v>
      </c>
      <c r="V146" s="34">
        <f ca="1">-IFERROR(IPMT(Assumptions!$P$151,V2,Assumptions!$P$153,'S&amp;U'!$T$17),0)</f>
        <v>17293865.623436604</v>
      </c>
      <c r="W146" s="34">
        <f ca="1">-IFERROR(IPMT(Assumptions!$P$151,W2,Assumptions!$P$153,'S&amp;U'!$T$17),0)</f>
        <v>16760270.138341729</v>
      </c>
      <c r="X146" s="34">
        <f ca="1">-IFERROR(IPMT(Assumptions!$P$151,X2,Assumptions!$P$153,'S&amp;U'!$T$17),0)</f>
        <v>16191990.946715683</v>
      </c>
      <c r="Y146" s="34">
        <f ca="1">-IFERROR(IPMT(Assumptions!$P$151,Y2,Assumptions!$P$153,'S&amp;U'!$T$17),0)</f>
        <v>15586773.607633943</v>
      </c>
      <c r="Z146" s="34">
        <f ca="1">-IFERROR(IPMT(Assumptions!$P$151,Z2,Assumptions!$P$153,'S&amp;U'!$T$17),0)</f>
        <v>14942217.141511893</v>
      </c>
    </row>
    <row r="147" spans="2:26">
      <c r="B147" s="137" t="s">
        <v>323</v>
      </c>
      <c r="C147" s="137"/>
      <c r="D147" s="137"/>
      <c r="E147" s="137"/>
      <c r="F147" s="129">
        <f t="shared" ref="F147:K147" ca="1" si="56">+F146-F143</f>
        <v>0</v>
      </c>
      <c r="G147" s="129">
        <f t="shared" ca="1" si="56"/>
        <v>0</v>
      </c>
      <c r="H147" s="129">
        <f t="shared" ca="1" si="56"/>
        <v>0</v>
      </c>
      <c r="I147" s="129">
        <f t="shared" ca="1" si="56"/>
        <v>0</v>
      </c>
      <c r="J147" s="129">
        <f t="shared" ca="1" si="56"/>
        <v>25503026.932588562</v>
      </c>
      <c r="K147" s="129">
        <f t="shared" ca="1" si="56"/>
        <v>25503026.932588566</v>
      </c>
      <c r="L147" s="129">
        <f ca="1">+L146-L143</f>
        <v>25503026.932588566</v>
      </c>
      <c r="M147" s="129">
        <f t="shared" ref="M147:Z147" ca="1" si="57">+M146-M143</f>
        <v>25503026.932588562</v>
      </c>
      <c r="N147" s="129">
        <f t="shared" ca="1" si="57"/>
        <v>25503026.932588562</v>
      </c>
      <c r="O147" s="129">
        <f t="shared" ca="1" si="57"/>
        <v>25503026.932588562</v>
      </c>
      <c r="P147" s="129">
        <f t="shared" ca="1" si="57"/>
        <v>25503026.932588562</v>
      </c>
      <c r="Q147" s="129">
        <f t="shared" ca="1" si="57"/>
        <v>25503026.932588562</v>
      </c>
      <c r="R147" s="129">
        <f t="shared" ca="1" si="57"/>
        <v>25503026.932588562</v>
      </c>
      <c r="S147" s="129">
        <f t="shared" ca="1" si="57"/>
        <v>25503026.932588562</v>
      </c>
      <c r="T147" s="129">
        <f t="shared" ca="1" si="57"/>
        <v>25503026.932588562</v>
      </c>
      <c r="U147" s="129">
        <f t="shared" ca="1" si="57"/>
        <v>25503026.932588562</v>
      </c>
      <c r="V147" s="129">
        <f t="shared" ca="1" si="57"/>
        <v>25503026.932588562</v>
      </c>
      <c r="W147" s="129">
        <f t="shared" ca="1" si="57"/>
        <v>25503026.932588562</v>
      </c>
      <c r="X147" s="129">
        <f t="shared" ca="1" si="57"/>
        <v>25503026.932588562</v>
      </c>
      <c r="Y147" s="129">
        <f t="shared" ca="1" si="57"/>
        <v>25503026.932588562</v>
      </c>
      <c r="Z147" s="129">
        <f t="shared" ca="1" si="57"/>
        <v>25503026.932588559</v>
      </c>
    </row>
    <row r="148" spans="2:26" ht="15.5">
      <c r="B148" s="146" t="s">
        <v>172</v>
      </c>
      <c r="F148" s="180" t="str">
        <f ca="1">+IFERROR(F138/F147,"")</f>
        <v/>
      </c>
      <c r="G148" s="180" t="str">
        <f t="shared" ref="G148:Z148" ca="1" si="58">+IFERROR(G138/G147,"")</f>
        <v/>
      </c>
      <c r="H148" s="180" t="str">
        <f t="shared" ca="1" si="58"/>
        <v/>
      </c>
      <c r="I148" s="180" t="str">
        <f t="shared" ca="1" si="58"/>
        <v/>
      </c>
      <c r="J148" s="180">
        <f t="shared" ca="1" si="58"/>
        <v>0.69386980111073782</v>
      </c>
      <c r="K148" s="180">
        <f t="shared" ca="1" si="58"/>
        <v>1.4019801243098355</v>
      </c>
      <c r="L148" s="180">
        <f t="shared" ca="1" si="58"/>
        <v>1.4166338591225947</v>
      </c>
      <c r="M148" s="180">
        <f t="shared" ca="1" si="58"/>
        <v>1.5345135965314463</v>
      </c>
      <c r="N148" s="180">
        <f t="shared" ca="1" si="58"/>
        <v>1.5500304636504174</v>
      </c>
      <c r="O148" s="180">
        <f t="shared" ca="1" si="58"/>
        <v>1.5659979767528605</v>
      </c>
      <c r="P148" s="180">
        <f t="shared" ca="1" si="58"/>
        <v>1.5786197786843659</v>
      </c>
      <c r="Q148" s="180">
        <f t="shared" ca="1" si="58"/>
        <v>1.5955286410118155</v>
      </c>
      <c r="R148" s="180">
        <f t="shared" ca="1" si="58"/>
        <v>1.7301181103990899</v>
      </c>
      <c r="S148" s="180">
        <f t="shared" ca="1" si="58"/>
        <v>1.7441386238775236</v>
      </c>
      <c r="T148" s="180">
        <f t="shared" ca="1" si="58"/>
        <v>1.7625656901339251</v>
      </c>
      <c r="U148" s="180">
        <f t="shared" ca="1" si="58"/>
        <v>1.7815288335705737</v>
      </c>
      <c r="V148" s="180">
        <f t="shared" ca="1" si="58"/>
        <v>1.7970803154683499</v>
      </c>
      <c r="W148" s="180">
        <f t="shared" ca="1" si="58"/>
        <v>1.9460713437079864</v>
      </c>
      <c r="X148" s="180">
        <f t="shared" ca="1" si="58"/>
        <v>1.9667390811777108</v>
      </c>
      <c r="Y148" s="180">
        <f t="shared" ca="1" si="58"/>
        <v>1.9839659804126122</v>
      </c>
      <c r="Z148" s="180">
        <f t="shared" ca="1" si="58"/>
        <v>2.0058552487920176</v>
      </c>
    </row>
    <row r="150" spans="2:26">
      <c r="B150" s="41" t="s">
        <v>150</v>
      </c>
      <c r="F150" s="34">
        <f>+F142*Assumptions!$P$152</f>
        <v>0</v>
      </c>
      <c r="G150" s="34">
        <f>+G142*Assumptions!$P$152</f>
        <v>0</v>
      </c>
      <c r="H150" s="34">
        <f>+H142*Assumptions!$P$152</f>
        <v>0</v>
      </c>
      <c r="I150" s="34">
        <f>+I142*Assumptions!$P$152</f>
        <v>0</v>
      </c>
      <c r="J150" s="34">
        <f ca="1">+J142*Assumptions!$P$152</f>
        <v>3330357.6333473688</v>
      </c>
      <c r="K150" s="34">
        <f>+K142*Assumptions!$P$152</f>
        <v>0</v>
      </c>
      <c r="L150" s="34">
        <f>+L142*Assumptions!$P$152</f>
        <v>0</v>
      </c>
      <c r="M150" s="34">
        <f>+M142*Assumptions!$P$152</f>
        <v>0</v>
      </c>
      <c r="N150" s="34">
        <f>+N142*Assumptions!$P$152</f>
        <v>0</v>
      </c>
      <c r="O150" s="34">
        <f>+O142*Assumptions!$P$152</f>
        <v>0</v>
      </c>
      <c r="P150" s="34">
        <f>+P142*Assumptions!$P$152</f>
        <v>0</v>
      </c>
      <c r="Q150" s="34">
        <f>+Q142*Assumptions!$P$152</f>
        <v>0</v>
      </c>
      <c r="R150" s="34">
        <f>+R142*Assumptions!$P$152</f>
        <v>0</v>
      </c>
      <c r="S150" s="34">
        <f>+S142*Assumptions!$P$152</f>
        <v>0</v>
      </c>
      <c r="T150" s="34">
        <f>+T142*Assumptions!$P$152</f>
        <v>0</v>
      </c>
      <c r="U150" s="34">
        <f>+U142*Assumptions!$P$152</f>
        <v>0</v>
      </c>
      <c r="V150" s="34">
        <f>+V142*Assumptions!$P$152</f>
        <v>0</v>
      </c>
      <c r="W150" s="34">
        <f>+W142*Assumptions!$P$152</f>
        <v>0</v>
      </c>
      <c r="X150" s="34">
        <f>+X142*Assumptions!$P$152</f>
        <v>0</v>
      </c>
      <c r="Y150" s="34">
        <f>+Y142*Assumptions!$P$152</f>
        <v>0</v>
      </c>
      <c r="Z150" s="34">
        <f>+Z142*Assumptions!$P$152</f>
        <v>0</v>
      </c>
    </row>
    <row r="152" spans="2:26" s="157" customFormat="1">
      <c r="B152" s="137" t="s">
        <v>316</v>
      </c>
      <c r="C152" s="137"/>
      <c r="D152" s="137"/>
      <c r="E152" s="137"/>
      <c r="F152" s="129">
        <f ca="1">+F138-F147-F150</f>
        <v>0</v>
      </c>
      <c r="G152" s="129">
        <f t="shared" ref="G152:Z152" ca="1" si="59">+G138-G147-G150</f>
        <v>0</v>
      </c>
      <c r="H152" s="129">
        <f t="shared" ca="1" si="59"/>
        <v>0</v>
      </c>
      <c r="I152" s="129">
        <f t="shared" ca="1" si="59"/>
        <v>0</v>
      </c>
      <c r="J152" s="129">
        <f t="shared" ca="1" si="59"/>
        <v>-11137604.340498917</v>
      </c>
      <c r="K152" s="129">
        <f t="shared" ca="1" si="59"/>
        <v>10251709.936639037</v>
      </c>
      <c r="L152" s="129">
        <f t="shared" ca="1" si="59"/>
        <v>10625424.530231845</v>
      </c>
      <c r="M152" s="129">
        <f t="shared" ca="1" si="59"/>
        <v>13631714.648176253</v>
      </c>
      <c r="N152" s="129">
        <f t="shared" ca="1" si="59"/>
        <v>14027441.728220768</v>
      </c>
      <c r="O152" s="129">
        <f t="shared" ca="1" si="59"/>
        <v>14434661.644918837</v>
      </c>
      <c r="P152" s="129">
        <f t="shared" ca="1" si="59"/>
        <v>14756555.799515814</v>
      </c>
      <c r="Q152" s="129">
        <f t="shared" ca="1" si="59"/>
        <v>15187782.970852196</v>
      </c>
      <c r="R152" s="129">
        <f t="shared" ca="1" si="59"/>
        <v>18620221.833478659</v>
      </c>
      <c r="S152" s="129">
        <f t="shared" ca="1" si="59"/>
        <v>18977787.366327874</v>
      </c>
      <c r="T152" s="129">
        <f t="shared" ca="1" si="59"/>
        <v>19447733.333353475</v>
      </c>
      <c r="U152" s="129">
        <f t="shared" ca="1" si="59"/>
        <v>19931350.891144864</v>
      </c>
      <c r="V152" s="129">
        <f t="shared" ca="1" si="59"/>
        <v>20327960.752825513</v>
      </c>
      <c r="W152" s="129">
        <f t="shared" ca="1" si="59"/>
        <v>24127682.958735026</v>
      </c>
      <c r="X152" s="129">
        <f t="shared" ca="1" si="59"/>
        <v>24654772.824061081</v>
      </c>
      <c r="Y152" s="129">
        <f t="shared" ca="1" si="59"/>
        <v>25094110.899213761</v>
      </c>
      <c r="Z152" s="129">
        <f t="shared" ca="1" si="59"/>
        <v>25652353.500228386</v>
      </c>
    </row>
    <row r="154" spans="2:26" ht="15.5">
      <c r="B154" s="148" t="s">
        <v>317</v>
      </c>
    </row>
    <row r="155" spans="2:26">
      <c r="B155" s="33" t="s">
        <v>318</v>
      </c>
      <c r="F155" s="34">
        <f>+IF(YEAR(F$140)=YEAR(Assumptions!$H$30),F136+F114+F93+F72+F51+F28,0)</f>
        <v>0</v>
      </c>
      <c r="G155" s="34">
        <f>+IF(YEAR(G$140)=YEAR(Assumptions!$H$30),G136+G114+G93+G72+G51+G28,0)</f>
        <v>0</v>
      </c>
      <c r="H155" s="34">
        <f>+IF(YEAR(H$140)=YEAR(Assumptions!$H$30),H136+H114+H93+H72+H51+H28,0)</f>
        <v>0</v>
      </c>
      <c r="I155" s="34">
        <f>+IF(YEAR(I$140)=YEAR(Assumptions!$H$30),I136+I114+I93+I72+I51+I28,0)</f>
        <v>0</v>
      </c>
      <c r="J155" s="34">
        <f>+IF(YEAR(J$140)=YEAR(Assumptions!$H$30),J136+J114+J93+J72+J51+J28,0)</f>
        <v>0</v>
      </c>
      <c r="K155" s="34">
        <f>+IF(YEAR(K$140)=YEAR(Assumptions!$H$30),K136+K114+K93+K72+K51+K28,0)</f>
        <v>0</v>
      </c>
      <c r="L155" s="34">
        <f ca="1">+IF(YEAR(L$140)=YEAR(Assumptions!$H$30),L136+L114+L93+L72+L51+L28,0)</f>
        <v>555059605.55789495</v>
      </c>
      <c r="M155" s="34">
        <f>+IF(YEAR(M$140)=YEAR(Assumptions!$H$30),M136+M114+M93+M72+M51+M28,0)</f>
        <v>0</v>
      </c>
      <c r="N155" s="34">
        <f>+IF(YEAR(N$140)=YEAR(Assumptions!$H$30),N136+N114+N93+N72+N51+N28,0)</f>
        <v>0</v>
      </c>
      <c r="O155" s="34">
        <f>+IF(YEAR(O$140)=YEAR(Assumptions!$H$30),O136+O114+O93+O72+O51+O28,0)</f>
        <v>0</v>
      </c>
      <c r="P155" s="34">
        <f>+IF(YEAR(P$140)=YEAR(Assumptions!$H$30),P136+P114+P93+P72+P51+P28,0)</f>
        <v>0</v>
      </c>
      <c r="Q155" s="34">
        <f>+IF(YEAR(Q$140)=YEAR(Assumptions!$H$30),Q136+Q114+Q93+Q72+Q51+Q28,0)</f>
        <v>0</v>
      </c>
      <c r="R155" s="34">
        <f>+IF(YEAR(R$140)=YEAR(Assumptions!$H$30),R136+R114+R93+R72+R51+R28,0)</f>
        <v>0</v>
      </c>
      <c r="S155" s="34">
        <f>+IF(YEAR(S$140)=YEAR(Assumptions!$H$30),S136+S114+S93+S72+S51+S28,0)</f>
        <v>0</v>
      </c>
      <c r="T155" s="34">
        <f>+IF(YEAR(T$140)=YEAR(Assumptions!$H$30),T136+T114+T93+T72+T51+T28,0)</f>
        <v>0</v>
      </c>
      <c r="U155" s="34">
        <f>+IF(YEAR(U$140)=YEAR(Assumptions!$H$30),U136+U114+U93+U72+U51+U28,0)</f>
        <v>0</v>
      </c>
      <c r="V155" s="34">
        <f>+IF(YEAR(V$140)=YEAR(Assumptions!$H$30),V136+V114+V93+V72+V51+V28,0)</f>
        <v>0</v>
      </c>
      <c r="W155" s="34">
        <f>+IF(YEAR(W$140)=YEAR(Assumptions!$H$30),W136+W114+W93+W72+W51+W28,0)</f>
        <v>0</v>
      </c>
      <c r="X155" s="34">
        <f>+IF(YEAR(X$140)=YEAR(Assumptions!$H$30),X136+X114+X93+X72+X51+X28,0)</f>
        <v>0</v>
      </c>
      <c r="Y155" s="34">
        <f>+IF(YEAR(Y$140)=YEAR(Assumptions!$H$30),Y136+Y114+Y93+Y72+Y51+Y28,0)</f>
        <v>0</v>
      </c>
      <c r="Z155" s="34">
        <f>+IF(YEAR(Z$140)=YEAR(Assumptions!$H$30),Z136+Z114+Z93+Z72+Z51+Z28,0)</f>
        <v>0</v>
      </c>
    </row>
    <row r="156" spans="2:26" ht="17.25">
      <c r="B156" s="207" t="s">
        <v>351</v>
      </c>
      <c r="C156" s="207"/>
      <c r="D156" s="207"/>
      <c r="E156" s="207"/>
      <c r="F156" s="151">
        <f>+IF(YEAR(F$140)=YEAR(Assumptions!$H$26),('S&amp;U'!$J$23-'S&amp;U'!$T$25),0)</f>
        <v>0</v>
      </c>
      <c r="G156" s="151">
        <f>+IF(YEAR(G$140)=YEAR(Assumptions!$H$26),('S&amp;U'!$J$23-'S&amp;U'!$T$25),0)</f>
        <v>0</v>
      </c>
      <c r="H156" s="151">
        <f>+IF(YEAR(H$140)=YEAR(Assumptions!$H$26),('S&amp;U'!$J$23-'S&amp;U'!$T$25),0)</f>
        <v>0</v>
      </c>
      <c r="I156" s="151">
        <f>+IF(YEAR(I$140)=YEAR(Assumptions!$H$26),('S&amp;U'!$J$23-'S&amp;U'!$T$25),0)</f>
        <v>0</v>
      </c>
      <c r="J156" s="151">
        <f ca="1">+IF(YEAR(J$140)=YEAR(Assumptions!$H$26),('S&amp;U'!$J$23-'S&amp;U'!$T$25),0)</f>
        <v>97569052.667740524</v>
      </c>
      <c r="K156" s="151">
        <f>+IF(YEAR(K$140)=YEAR(Assumptions!$H$26),('S&amp;U'!$J$23-'S&amp;U'!$T$25),0)</f>
        <v>0</v>
      </c>
      <c r="L156" s="151">
        <f>+IF(YEAR(L$140)=YEAR(Assumptions!$H$26),('S&amp;U'!$J$23-'S&amp;U'!$T$25),0)</f>
        <v>0</v>
      </c>
      <c r="M156" s="151">
        <f>+IF(YEAR(M$140)=YEAR(Assumptions!$H$26),('S&amp;U'!$J$23-'S&amp;U'!$T$25),0)</f>
        <v>0</v>
      </c>
      <c r="N156" s="151">
        <f>+IF(YEAR(N$140)=YEAR(Assumptions!$H$26),('S&amp;U'!$J$23-'S&amp;U'!$T$25),0)</f>
        <v>0</v>
      </c>
      <c r="O156" s="151">
        <f>+IF(YEAR(O$140)=YEAR(Assumptions!$H$26),('S&amp;U'!$J$23-'S&amp;U'!$T$25),0)</f>
        <v>0</v>
      </c>
      <c r="P156" s="151">
        <f>+IF(YEAR(P$140)=YEAR(Assumptions!$H$26),('S&amp;U'!$J$23-'S&amp;U'!$T$25),0)</f>
        <v>0</v>
      </c>
      <c r="Q156" s="151">
        <f>+IF(YEAR(Q$140)=YEAR(Assumptions!$H$26),('S&amp;U'!$J$23-'S&amp;U'!$T$25),0)</f>
        <v>0</v>
      </c>
      <c r="R156" s="151">
        <f>+IF(YEAR(R$140)=YEAR(Assumptions!$H$26),('S&amp;U'!$J$23-'S&amp;U'!$T$25),0)</f>
        <v>0</v>
      </c>
      <c r="S156" s="151">
        <f>+IF(YEAR(S$140)=YEAR(Assumptions!$H$26),('S&amp;U'!$J$23-'S&amp;U'!$T$25),0)</f>
        <v>0</v>
      </c>
      <c r="T156" s="151">
        <f>+IF(YEAR(T$140)=YEAR(Assumptions!$H$26),('S&amp;U'!$J$23-'S&amp;U'!$T$25),0)</f>
        <v>0</v>
      </c>
      <c r="U156" s="151">
        <f>+IF(YEAR(U$140)=YEAR(Assumptions!$H$26),('S&amp;U'!$J$23-'S&amp;U'!$T$25),0)</f>
        <v>0</v>
      </c>
      <c r="V156" s="151">
        <f>+IF(YEAR(V$140)=YEAR(Assumptions!$H$26),('S&amp;U'!$J$23-'S&amp;U'!$T$25),0)</f>
        <v>0</v>
      </c>
      <c r="W156" s="151">
        <f>+IF(YEAR(W$140)=YEAR(Assumptions!$H$26),('S&amp;U'!$J$23-'S&amp;U'!$T$25),0)</f>
        <v>0</v>
      </c>
      <c r="X156" s="151">
        <f>+IF(YEAR(X$140)=YEAR(Assumptions!$H$26),('S&amp;U'!$J$23-'S&amp;U'!$T$25),0)</f>
        <v>0</v>
      </c>
      <c r="Y156" s="151">
        <f>+IF(YEAR(Y$140)=YEAR(Assumptions!$H$26),('S&amp;U'!$J$23-'S&amp;U'!$T$25),0)</f>
        <v>0</v>
      </c>
      <c r="Z156" s="151">
        <f>+IF(YEAR(Z$140)=YEAR(Assumptions!$H$26),('S&amp;U'!$J$23-'S&amp;U'!$T$25),0)</f>
        <v>0</v>
      </c>
    </row>
    <row r="157" spans="2:26">
      <c r="B157" s="33" t="s">
        <v>319</v>
      </c>
      <c r="F157" s="151">
        <f>-F155*Assumptions!$P$136</f>
        <v>0</v>
      </c>
      <c r="G157" s="151">
        <f>-G155*Assumptions!$P$136</f>
        <v>0</v>
      </c>
      <c r="H157" s="151">
        <f>-H155*Assumptions!$P$136</f>
        <v>0</v>
      </c>
      <c r="I157" s="151">
        <f>-I155*Assumptions!$P$136</f>
        <v>0</v>
      </c>
      <c r="J157" s="151">
        <f>-J155*Assumptions!$P$136</f>
        <v>0</v>
      </c>
      <c r="K157" s="151">
        <f>-K155*Assumptions!$P$136</f>
        <v>0</v>
      </c>
      <c r="L157" s="151">
        <f ca="1">-L155*Assumptions!$P$136</f>
        <v>-11101192.1111579</v>
      </c>
      <c r="M157" s="151">
        <f>-M155*Assumptions!$P$136</f>
        <v>0</v>
      </c>
      <c r="N157" s="151">
        <f>-N155*Assumptions!$P$136</f>
        <v>0</v>
      </c>
      <c r="O157" s="151">
        <f>-O155*Assumptions!$P$136</f>
        <v>0</v>
      </c>
      <c r="P157" s="151">
        <f>-P155*Assumptions!$P$136</f>
        <v>0</v>
      </c>
      <c r="Q157" s="151">
        <f>-Q155*Assumptions!$P$136</f>
        <v>0</v>
      </c>
      <c r="R157" s="151">
        <f>-R155*Assumptions!$P$136</f>
        <v>0</v>
      </c>
      <c r="S157" s="151">
        <f>-S155*Assumptions!$P$136</f>
        <v>0</v>
      </c>
      <c r="T157" s="151">
        <f>-T155*Assumptions!$P$136</f>
        <v>0</v>
      </c>
      <c r="U157" s="151">
        <f>-U155*Assumptions!$P$136</f>
        <v>0</v>
      </c>
      <c r="V157" s="151">
        <f>-V155*Assumptions!$P$136</f>
        <v>0</v>
      </c>
      <c r="W157" s="151">
        <f>-W155*Assumptions!$P$136</f>
        <v>0</v>
      </c>
      <c r="X157" s="151">
        <f>-X155*Assumptions!$P$136</f>
        <v>0</v>
      </c>
      <c r="Y157" s="151">
        <f>-Y155*Assumptions!$P$136</f>
        <v>0</v>
      </c>
      <c r="Z157" s="151">
        <f>-Z155*Assumptions!$P$136</f>
        <v>0</v>
      </c>
    </row>
    <row r="158" spans="2:26">
      <c r="B158" s="33" t="s">
        <v>320</v>
      </c>
      <c r="F158" s="151">
        <f>+IF(YEAR(F$140)=YEAR(Assumptions!$H$30),-F144,0)</f>
        <v>0</v>
      </c>
      <c r="G158" s="151">
        <f>+IF(YEAR(G$140)=YEAR(Assumptions!$H$30),-G144,0)</f>
        <v>0</v>
      </c>
      <c r="H158" s="151">
        <f>+IF(YEAR(H$140)=YEAR(Assumptions!$H$30),-H144,0)</f>
        <v>0</v>
      </c>
      <c r="I158" s="151">
        <f>+IF(YEAR(I$140)=YEAR(Assumptions!$H$30),-I144,0)</f>
        <v>0</v>
      </c>
      <c r="J158" s="151">
        <f>+IF(YEAR(J$140)=YEAR(Assumptions!$H$30),-J144,0)</f>
        <v>0</v>
      </c>
      <c r="K158" s="151">
        <f>+IF(YEAR(K$140)=YEAR(Assumptions!$H$30),-K144,0)</f>
        <v>0</v>
      </c>
      <c r="L158" s="151">
        <f ca="1">+IF(YEAR(L$140)=YEAR(Assumptions!$H$30),-L144,0)</f>
        <v>-320700504.09337348</v>
      </c>
      <c r="M158" s="151">
        <f>+IF(YEAR(M$140)=YEAR(Assumptions!$H$30),-M144,0)</f>
        <v>0</v>
      </c>
      <c r="N158" s="151">
        <f>+IF(YEAR(N$140)=YEAR(Assumptions!$H$30),-N144,0)</f>
        <v>0</v>
      </c>
      <c r="O158" s="151">
        <f>+IF(YEAR(O$140)=YEAR(Assumptions!$H$30),-O144,0)</f>
        <v>0</v>
      </c>
      <c r="P158" s="151">
        <f>+IF(YEAR(P$140)=YEAR(Assumptions!$H$30),-P144,0)</f>
        <v>0</v>
      </c>
      <c r="Q158" s="151">
        <f>+IF(YEAR(Q$140)=YEAR(Assumptions!$H$30),-Q144,0)</f>
        <v>0</v>
      </c>
      <c r="R158" s="151">
        <f>+IF(YEAR(R$140)=YEAR(Assumptions!$H$30),-R144,0)</f>
        <v>0</v>
      </c>
      <c r="S158" s="151">
        <f>+IF(YEAR(S$140)=YEAR(Assumptions!$H$30),-S144,0)</f>
        <v>0</v>
      </c>
      <c r="T158" s="151">
        <f>+IF(YEAR(T$140)=YEAR(Assumptions!$H$30),-T144,0)</f>
        <v>0</v>
      </c>
      <c r="U158" s="151">
        <f>+IF(YEAR(U$140)=YEAR(Assumptions!$H$30),-U144,0)</f>
        <v>0</v>
      </c>
      <c r="V158" s="151">
        <f>+IF(YEAR(V$140)=YEAR(Assumptions!$H$30),-V144,0)</f>
        <v>0</v>
      </c>
      <c r="W158" s="151">
        <f>+IF(YEAR(W$140)=YEAR(Assumptions!$H$30),-W144,0)</f>
        <v>0</v>
      </c>
      <c r="X158" s="151">
        <f>+IF(YEAR(X$140)=YEAR(Assumptions!$H$30),-X144,0)</f>
        <v>0</v>
      </c>
      <c r="Y158" s="151">
        <f>+IF(YEAR(Y$140)=YEAR(Assumptions!$H$30),-Y144,0)</f>
        <v>0</v>
      </c>
      <c r="Z158" s="151">
        <f>+IF(YEAR(Z$140)=YEAR(Assumptions!$H$30),-Z144,0)</f>
        <v>0</v>
      </c>
    </row>
    <row r="159" spans="2:26">
      <c r="B159" s="137" t="s">
        <v>321</v>
      </c>
      <c r="C159" s="137"/>
      <c r="D159" s="137"/>
      <c r="E159" s="137"/>
      <c r="F159" s="129">
        <f>+SUM(F155:F158)</f>
        <v>0</v>
      </c>
      <c r="G159" s="129">
        <f t="shared" ref="G159:Z159" si="60">+SUM(G155:G158)</f>
        <v>0</v>
      </c>
      <c r="H159" s="129">
        <f t="shared" si="60"/>
        <v>0</v>
      </c>
      <c r="I159" s="129">
        <f t="shared" si="60"/>
        <v>0</v>
      </c>
      <c r="J159" s="129">
        <f t="shared" ca="1" si="60"/>
        <v>97569052.667740524</v>
      </c>
      <c r="K159" s="129">
        <f t="shared" si="60"/>
        <v>0</v>
      </c>
      <c r="L159" s="129">
        <f t="shared" ca="1" si="60"/>
        <v>223257909.35336357</v>
      </c>
      <c r="M159" s="129">
        <f t="shared" si="60"/>
        <v>0</v>
      </c>
      <c r="N159" s="129">
        <f t="shared" si="60"/>
        <v>0</v>
      </c>
      <c r="O159" s="129">
        <f t="shared" si="60"/>
        <v>0</v>
      </c>
      <c r="P159" s="129">
        <f t="shared" si="60"/>
        <v>0</v>
      </c>
      <c r="Q159" s="129">
        <f t="shared" si="60"/>
        <v>0</v>
      </c>
      <c r="R159" s="129">
        <f t="shared" si="60"/>
        <v>0</v>
      </c>
      <c r="S159" s="129">
        <f t="shared" si="60"/>
        <v>0</v>
      </c>
      <c r="T159" s="129">
        <f t="shared" si="60"/>
        <v>0</v>
      </c>
      <c r="U159" s="129">
        <f t="shared" si="60"/>
        <v>0</v>
      </c>
      <c r="V159" s="129">
        <f t="shared" si="60"/>
        <v>0</v>
      </c>
      <c r="W159" s="129">
        <f t="shared" si="60"/>
        <v>0</v>
      </c>
      <c r="X159" s="129">
        <f t="shared" si="60"/>
        <v>0</v>
      </c>
      <c r="Y159" s="129">
        <f t="shared" si="60"/>
        <v>0</v>
      </c>
      <c r="Z159" s="129">
        <f t="shared" si="60"/>
        <v>0</v>
      </c>
    </row>
    <row r="160" spans="2:26">
      <c r="B160" s="208" t="s">
        <v>700</v>
      </c>
    </row>
    <row r="162" spans="2:26" ht="15.5">
      <c r="B162" s="138" t="s">
        <v>322</v>
      </c>
      <c r="C162" s="138"/>
      <c r="D162" s="138"/>
      <c r="E162" s="138"/>
      <c r="F162" s="139">
        <f ca="1">+IF(YEAR(F$140)&lt;=YEAR(Assumptions!$H$30),'Phase III Pro Forma'!F159+'Phase III Pro Forma'!F152,0)</f>
        <v>0</v>
      </c>
      <c r="G162" s="139">
        <f ca="1">+IF(YEAR(G$140)&lt;=YEAR(Assumptions!$H$30),'Phase III Pro Forma'!G159+'Phase III Pro Forma'!G152,0)</f>
        <v>0</v>
      </c>
      <c r="H162" s="139">
        <f ca="1">+IF(YEAR(H$140)&lt;=YEAR(Assumptions!$H$30),'Phase III Pro Forma'!H159+'Phase III Pro Forma'!H152,0)</f>
        <v>0</v>
      </c>
      <c r="I162" s="139">
        <f ca="1">+IF(YEAR(I$140)&lt;=YEAR(Assumptions!$H$30),'Phase III Pro Forma'!I159+'Phase III Pro Forma'!I152,0)</f>
        <v>0</v>
      </c>
      <c r="J162" s="139">
        <f ca="1">+IF(YEAR(J$140)&lt;=YEAR(Assumptions!$H$30),'Phase III Pro Forma'!J159+'Phase III Pro Forma'!J152,0)</f>
        <v>86431448.3272416</v>
      </c>
      <c r="K162" s="139">
        <f ca="1">+IF(YEAR(K$140)&lt;=YEAR(Assumptions!$H$30),'Phase III Pro Forma'!K159+'Phase III Pro Forma'!K152,0)</f>
        <v>10251709.936639037</v>
      </c>
      <c r="L162" s="139">
        <f ca="1">+IF(YEAR(L$140)&lt;=YEAR(Assumptions!$H$30),'Phase III Pro Forma'!L159+'Phase III Pro Forma'!L152,0)</f>
        <v>233883333.88359541</v>
      </c>
      <c r="M162" s="139">
        <f>+IF(YEAR(M$140)&lt;=YEAR(Assumptions!$H$30),'Phase III Pro Forma'!M159+'Phase III Pro Forma'!M152,0)</f>
        <v>0</v>
      </c>
      <c r="N162" s="139">
        <f>+IF(YEAR(N$140)&lt;=YEAR(Assumptions!$H$30),'Phase III Pro Forma'!N159+'Phase III Pro Forma'!N152,0)</f>
        <v>0</v>
      </c>
      <c r="O162" s="139">
        <f>+IF(YEAR(O$140)&lt;=YEAR(Assumptions!$H$30),'Phase III Pro Forma'!O159+'Phase III Pro Forma'!O152,0)</f>
        <v>0</v>
      </c>
      <c r="P162" s="139">
        <f>+IF(YEAR(P$140)&lt;=YEAR(Assumptions!$H$30),'Phase III Pro Forma'!P159+'Phase III Pro Forma'!P152,0)</f>
        <v>0</v>
      </c>
      <c r="Q162" s="139">
        <f>+IF(YEAR(Q$140)&lt;=YEAR(Assumptions!$H$30),'Phase III Pro Forma'!Q159+'Phase III Pro Forma'!Q152,0)</f>
        <v>0</v>
      </c>
      <c r="R162" s="139">
        <f>+IF(YEAR(R$140)&lt;=YEAR(Assumptions!$H$30),'Phase III Pro Forma'!R159+'Phase III Pro Forma'!R152,0)</f>
        <v>0</v>
      </c>
      <c r="S162" s="139">
        <f>+IF(YEAR(S$140)&lt;=YEAR(Assumptions!$H$30),'Phase III Pro Forma'!S159+'Phase III Pro Forma'!S152,0)</f>
        <v>0</v>
      </c>
      <c r="T162" s="139">
        <f>+IF(YEAR(T$140)&lt;=YEAR(Assumptions!$H$30),'Phase III Pro Forma'!T159+'Phase III Pro Forma'!T152,0)</f>
        <v>0</v>
      </c>
      <c r="U162" s="139">
        <f>+IF(YEAR(U$140)&lt;=YEAR(Assumptions!$H$30),'Phase III Pro Forma'!U159+'Phase III Pro Forma'!U152,0)</f>
        <v>0</v>
      </c>
      <c r="V162" s="139">
        <f>+IF(YEAR(V$140)&lt;=YEAR(Assumptions!$H$30),'Phase III Pro Forma'!V159+'Phase III Pro Forma'!V152,0)</f>
        <v>0</v>
      </c>
      <c r="W162" s="139">
        <f>+IF(YEAR(W$140)&lt;=YEAR(Assumptions!$H$30),'Phase III Pro Forma'!W159+'Phase III Pro Forma'!W152,0)</f>
        <v>0</v>
      </c>
      <c r="X162" s="139">
        <f>+IF(YEAR(X$140)&lt;=YEAR(Assumptions!$H$30),'Phase III Pro Forma'!X159+'Phase III Pro Forma'!X152,0)</f>
        <v>0</v>
      </c>
      <c r="Y162" s="139">
        <f>+IF(YEAR(Y$140)&lt;=YEAR(Assumptions!$H$30),'Phase III Pro Forma'!Y159+'Phase III Pro Forma'!Y152,0)</f>
        <v>0</v>
      </c>
      <c r="Z162" s="139">
        <f>+IF(YEAR(Z$140)&lt;=YEAR(Assumptions!$H$30),'Phase III Pro Forma'!Z159+'Phase III Pro Forma'!Z152,0)</f>
        <v>0</v>
      </c>
    </row>
    <row r="164" spans="2:26" ht="15.5">
      <c r="B164" s="37" t="s">
        <v>698</v>
      </c>
      <c r="C164" s="38"/>
      <c r="D164" s="38"/>
      <c r="E164" s="38"/>
      <c r="F164" s="136"/>
      <c r="G164" s="136"/>
      <c r="H164" s="136"/>
      <c r="I164" s="136"/>
      <c r="J164" s="136"/>
      <c r="K164" s="136"/>
      <c r="L164" s="136"/>
      <c r="M164" s="136"/>
      <c r="N164" s="136"/>
      <c r="O164" s="136"/>
      <c r="P164" s="136"/>
      <c r="Q164" s="136"/>
      <c r="R164" s="136"/>
      <c r="S164" s="136"/>
      <c r="T164" s="136"/>
      <c r="U164" s="136"/>
      <c r="V164" s="136"/>
      <c r="W164" s="136"/>
      <c r="X164" s="136"/>
      <c r="Y164" s="136"/>
      <c r="Z164" s="136"/>
    </row>
    <row r="166" spans="2:26" ht="15.5">
      <c r="B166" s="148" t="s">
        <v>26</v>
      </c>
      <c r="C166" s="149"/>
      <c r="D166" s="149"/>
      <c r="E166" s="149"/>
      <c r="F166" s="150">
        <f>+Assumptions!$H$22</f>
        <v>46022</v>
      </c>
      <c r="G166" s="150">
        <f>+EOMONTH(F166,12)</f>
        <v>46387</v>
      </c>
      <c r="H166" s="150">
        <f t="shared" ref="H166:Z166" si="61">+EOMONTH(G166,12)</f>
        <v>46752</v>
      </c>
      <c r="I166" s="150">
        <f t="shared" si="61"/>
        <v>47118</v>
      </c>
      <c r="J166" s="150">
        <f t="shared" si="61"/>
        <v>47483</v>
      </c>
      <c r="K166" s="150">
        <f t="shared" si="61"/>
        <v>47848</v>
      </c>
      <c r="L166" s="150">
        <f t="shared" si="61"/>
        <v>48213</v>
      </c>
      <c r="M166" s="150">
        <f t="shared" si="61"/>
        <v>48579</v>
      </c>
      <c r="N166" s="150">
        <f t="shared" si="61"/>
        <v>48944</v>
      </c>
      <c r="O166" s="150">
        <f t="shared" si="61"/>
        <v>49309</v>
      </c>
      <c r="P166" s="150">
        <f t="shared" si="61"/>
        <v>49674</v>
      </c>
      <c r="Q166" s="150">
        <f t="shared" si="61"/>
        <v>50040</v>
      </c>
      <c r="R166" s="150">
        <f t="shared" si="61"/>
        <v>50405</v>
      </c>
      <c r="S166" s="150">
        <f t="shared" si="61"/>
        <v>50770</v>
      </c>
      <c r="T166" s="150">
        <f t="shared" si="61"/>
        <v>51135</v>
      </c>
      <c r="U166" s="150">
        <f t="shared" si="61"/>
        <v>51501</v>
      </c>
      <c r="V166" s="150">
        <f t="shared" si="61"/>
        <v>51866</v>
      </c>
      <c r="W166" s="150">
        <f t="shared" si="61"/>
        <v>52231</v>
      </c>
      <c r="X166" s="150">
        <f t="shared" si="61"/>
        <v>52596</v>
      </c>
      <c r="Y166" s="150">
        <f t="shared" si="61"/>
        <v>52962</v>
      </c>
      <c r="Z166" s="150">
        <f t="shared" si="61"/>
        <v>53327</v>
      </c>
    </row>
    <row r="167" spans="2:26">
      <c r="B167" s="33" t="s">
        <v>691</v>
      </c>
      <c r="C167" s="33"/>
      <c r="D167" s="40"/>
      <c r="E167" s="40"/>
      <c r="F167" s="42">
        <f>+IF(AND(F166&gt;=Assumptions!$H$26,F166&lt;Assumptions!$H$28),Assumptions!$H$93/ROUNDUP((Assumptions!$H$27/12),0),0)</f>
        <v>0</v>
      </c>
      <c r="G167" s="42">
        <f>+IF(AND(G166&gt;=Assumptions!$H$26,G166&lt;Assumptions!$H$28),Assumptions!$H$93/ROUNDUP((Assumptions!$H$27/12),0),0)</f>
        <v>0</v>
      </c>
      <c r="H167" s="42">
        <f>+IF(AND(H166&gt;=Assumptions!$H$26,H166&lt;Assumptions!$H$28),Assumptions!$H$93/ROUNDUP((Assumptions!$H$27/12),0),0)</f>
        <v>0</v>
      </c>
      <c r="I167" s="42">
        <f>+IF(AND(I166&gt;=Assumptions!$H$26,I166&lt;Assumptions!$H$28),Assumptions!$H$93/ROUNDUP((Assumptions!$H$27/12),0),0)</f>
        <v>0</v>
      </c>
      <c r="J167" s="42">
        <f>+IF(AND(J166&gt;=Assumptions!$H$26,J166&lt;Assumptions!$H$28),Assumptions!$H$93/ROUNDUP((Assumptions!$H$27/12),0),0)</f>
        <v>4.9999999999999998E-7</v>
      </c>
      <c r="K167" s="42">
        <f>+IF(AND(K166&gt;=Assumptions!$H$26,K166&lt;Assumptions!$H$28),Assumptions!$H$93/ROUNDUP((Assumptions!$H$27/12),0),0)</f>
        <v>4.9999999999999998E-7</v>
      </c>
      <c r="L167" s="42">
        <f>+IF(AND(L166&gt;=Assumptions!$H$26,L166&lt;Assumptions!$H$28),Assumptions!$H$93/ROUNDUP((Assumptions!$H$27/12),0),0)</f>
        <v>0</v>
      </c>
      <c r="M167" s="42">
        <f>+IF(AND(M166&gt;=Assumptions!$H$26,M166&lt;Assumptions!$H$28),Assumptions!$H$93/ROUNDUP((Assumptions!$H$27/12),0),0)</f>
        <v>0</v>
      </c>
      <c r="N167" s="42">
        <f>+IF(AND(N166&gt;=Assumptions!$H$26,N166&lt;Assumptions!$H$28),Assumptions!$H$93/ROUNDUP((Assumptions!$H$27/12),0),0)</f>
        <v>0</v>
      </c>
      <c r="O167" s="42">
        <f>+IF(AND(O166&gt;=Assumptions!$H$26,O166&lt;Assumptions!$H$28),Assumptions!$H$93/ROUNDUP((Assumptions!$H$27/12),0),0)</f>
        <v>0</v>
      </c>
      <c r="P167" s="42">
        <f>+IF(AND(P166&gt;=Assumptions!$H$26,P166&lt;Assumptions!$H$28),Assumptions!$H$93/ROUNDUP((Assumptions!$H$27/12),0),0)</f>
        <v>0</v>
      </c>
      <c r="Q167" s="42">
        <f>+IF(AND(Q166&gt;=Assumptions!$H$26,Q166&lt;Assumptions!$H$28),Assumptions!$H$93/ROUNDUP((Assumptions!$H$27/12),0),0)</f>
        <v>0</v>
      </c>
      <c r="R167" s="42">
        <f>+IF(AND(R166&gt;=Assumptions!$H$26,R166&lt;Assumptions!$H$28),Assumptions!$H$93/ROUNDUP((Assumptions!$H$27/12),0),0)</f>
        <v>0</v>
      </c>
      <c r="S167" s="42">
        <f>+IF(AND(S166&gt;=Assumptions!$H$26,S166&lt;Assumptions!$H$28),Assumptions!$H$93/ROUNDUP((Assumptions!$H$27/12),0),0)</f>
        <v>0</v>
      </c>
      <c r="T167" s="42">
        <f>+IF(AND(T166&gt;=Assumptions!$H$26,T166&lt;Assumptions!$H$28),Assumptions!$H$93/ROUNDUP((Assumptions!$H$27/12),0),0)</f>
        <v>0</v>
      </c>
      <c r="U167" s="42">
        <f>+IF(AND(U166&gt;=Assumptions!$H$26,U166&lt;Assumptions!$H$28),Assumptions!$H$93/ROUNDUP((Assumptions!$H$27/12),0),0)</f>
        <v>0</v>
      </c>
      <c r="V167" s="42">
        <f>+IF(AND(V166&gt;=Assumptions!$H$26,V166&lt;Assumptions!$H$28),Assumptions!$H$93/ROUNDUP((Assumptions!$H$27/12),0),0)</f>
        <v>0</v>
      </c>
      <c r="W167" s="42">
        <f>+IF(AND(W166&gt;=Assumptions!$H$26,W166&lt;Assumptions!$H$28),Assumptions!$H$93/ROUNDUP((Assumptions!$H$27/12),0),0)</f>
        <v>0</v>
      </c>
      <c r="X167" s="42">
        <f>+IF(AND(X166&gt;=Assumptions!$H$26,X166&lt;Assumptions!$H$28),Assumptions!$H$93/ROUNDUP((Assumptions!$H$27/12),0),0)</f>
        <v>0</v>
      </c>
      <c r="Y167" s="42">
        <f>+IF(AND(Y166&gt;=Assumptions!$H$26,Y166&lt;Assumptions!$H$28),Assumptions!$H$93/ROUNDUP((Assumptions!$H$27/12),0),0)</f>
        <v>0</v>
      </c>
      <c r="Z167" s="42">
        <f>+IF(AND(Z166&gt;=Assumptions!$H$26,Z166&lt;Assumptions!$H$28),Assumptions!$H$93/ROUNDUP((Assumptions!$H$27/12),0),0)</f>
        <v>0</v>
      </c>
    </row>
    <row r="168" spans="2:26">
      <c r="B168" s="33" t="s">
        <v>290</v>
      </c>
      <c r="C168" s="33"/>
      <c r="D168" s="40"/>
      <c r="E168" s="40"/>
      <c r="F168" s="42">
        <f>+D168+F167</f>
        <v>0</v>
      </c>
      <c r="G168" s="42">
        <f t="shared" ref="G168:Z168" si="62">+F168+G167</f>
        <v>0</v>
      </c>
      <c r="H168" s="42">
        <f t="shared" si="62"/>
        <v>0</v>
      </c>
      <c r="I168" s="42">
        <f t="shared" si="62"/>
        <v>0</v>
      </c>
      <c r="J168" s="42">
        <f t="shared" si="62"/>
        <v>4.9999999999999998E-7</v>
      </c>
      <c r="K168" s="42">
        <f t="shared" si="62"/>
        <v>9.9999999999999995E-7</v>
      </c>
      <c r="L168" s="42">
        <f t="shared" si="62"/>
        <v>9.9999999999999995E-7</v>
      </c>
      <c r="M168" s="42">
        <f t="shared" si="62"/>
        <v>9.9999999999999995E-7</v>
      </c>
      <c r="N168" s="42">
        <f t="shared" si="62"/>
        <v>9.9999999999999995E-7</v>
      </c>
      <c r="O168" s="42">
        <f t="shared" si="62"/>
        <v>9.9999999999999995E-7</v>
      </c>
      <c r="P168" s="42">
        <f t="shared" si="62"/>
        <v>9.9999999999999995E-7</v>
      </c>
      <c r="Q168" s="42">
        <f t="shared" si="62"/>
        <v>9.9999999999999995E-7</v>
      </c>
      <c r="R168" s="42">
        <f t="shared" si="62"/>
        <v>9.9999999999999995E-7</v>
      </c>
      <c r="S168" s="42">
        <f t="shared" si="62"/>
        <v>9.9999999999999995E-7</v>
      </c>
      <c r="T168" s="42">
        <f t="shared" si="62"/>
        <v>9.9999999999999995E-7</v>
      </c>
      <c r="U168" s="42">
        <f t="shared" si="62"/>
        <v>9.9999999999999995E-7</v>
      </c>
      <c r="V168" s="42">
        <f t="shared" si="62"/>
        <v>9.9999999999999995E-7</v>
      </c>
      <c r="W168" s="42">
        <f t="shared" si="62"/>
        <v>9.9999999999999995E-7</v>
      </c>
      <c r="X168" s="42">
        <f t="shared" si="62"/>
        <v>9.9999999999999995E-7</v>
      </c>
      <c r="Y168" s="42">
        <f t="shared" si="62"/>
        <v>9.9999999999999995E-7</v>
      </c>
      <c r="Z168" s="42">
        <f t="shared" si="62"/>
        <v>9.9999999999999995E-7</v>
      </c>
    </row>
    <row r="169" spans="2:26">
      <c r="B169" s="33" t="s">
        <v>284</v>
      </c>
      <c r="C169" s="33"/>
      <c r="D169" s="42"/>
      <c r="E169" s="42"/>
      <c r="F169" s="108">
        <f t="shared" ref="F169:J169" si="63">+F168/SUM($F167:$Z167)</f>
        <v>0</v>
      </c>
      <c r="G169" s="108">
        <f t="shared" si="63"/>
        <v>0</v>
      </c>
      <c r="H169" s="108">
        <f t="shared" si="63"/>
        <v>0</v>
      </c>
      <c r="I169" s="108">
        <f t="shared" si="63"/>
        <v>0</v>
      </c>
      <c r="J169" s="108">
        <f t="shared" si="63"/>
        <v>0.5</v>
      </c>
      <c r="K169" s="108">
        <f>+K168/SUM($F167:$Z167)</f>
        <v>1</v>
      </c>
      <c r="L169" s="108">
        <f t="shared" ref="L169:Z169" si="64">+L168/SUM($F167:$Z167)</f>
        <v>1</v>
      </c>
      <c r="M169" s="108">
        <f t="shared" si="64"/>
        <v>1</v>
      </c>
      <c r="N169" s="108">
        <f t="shared" si="64"/>
        <v>1</v>
      </c>
      <c r="O169" s="108">
        <f t="shared" si="64"/>
        <v>1</v>
      </c>
      <c r="P169" s="108">
        <f t="shared" si="64"/>
        <v>1</v>
      </c>
      <c r="Q169" s="108">
        <f t="shared" si="64"/>
        <v>1</v>
      </c>
      <c r="R169" s="108">
        <f t="shared" si="64"/>
        <v>1</v>
      </c>
      <c r="S169" s="108">
        <f t="shared" si="64"/>
        <v>1</v>
      </c>
      <c r="T169" s="108">
        <f t="shared" si="64"/>
        <v>1</v>
      </c>
      <c r="U169" s="108">
        <f t="shared" si="64"/>
        <v>1</v>
      </c>
      <c r="V169" s="108">
        <f t="shared" si="64"/>
        <v>1</v>
      </c>
      <c r="W169" s="108">
        <f t="shared" si="64"/>
        <v>1</v>
      </c>
      <c r="X169" s="108">
        <f t="shared" si="64"/>
        <v>1</v>
      </c>
      <c r="Y169" s="108">
        <f t="shared" si="64"/>
        <v>1</v>
      </c>
      <c r="Z169" s="108">
        <f t="shared" si="64"/>
        <v>1</v>
      </c>
    </row>
    <row r="170" spans="2:26">
      <c r="B170" s="33"/>
      <c r="C170" s="33"/>
      <c r="D170" s="42"/>
      <c r="E170" s="42"/>
      <c r="F170" s="108"/>
      <c r="G170" s="108"/>
      <c r="H170" s="108"/>
      <c r="I170" s="108"/>
      <c r="J170" s="108"/>
      <c r="K170" s="108"/>
      <c r="L170" s="108"/>
      <c r="M170" s="108"/>
      <c r="N170" s="108"/>
      <c r="O170" s="108"/>
      <c r="P170" s="108"/>
      <c r="Q170" s="108"/>
      <c r="R170" s="108"/>
      <c r="S170" s="108"/>
      <c r="T170" s="108"/>
      <c r="U170" s="108"/>
      <c r="V170" s="108"/>
      <c r="W170" s="108"/>
      <c r="X170" s="108"/>
      <c r="Y170" s="108"/>
      <c r="Z170" s="108"/>
    </row>
    <row r="171" spans="2:26">
      <c r="B171" s="33" t="s">
        <v>287</v>
      </c>
      <c r="F171" s="34">
        <f>+IF(F2=1,Assumptions!$H$118,IF(F2=2,Assumptions!$H$120,IF(F2&gt;2,Assumptions!$H$97,0)))</f>
        <v>0</v>
      </c>
      <c r="G171" s="34">
        <f>+IF(G2=1,Assumptions!$H$118,IF(G2=2,Assumptions!$H$120,IF(G2&gt;2,Assumptions!$H$97,0)))</f>
        <v>0</v>
      </c>
      <c r="H171" s="34">
        <f>+IF(H2=1,Assumptions!$H$118,IF(H2=2,Assumptions!$H$120,IF(H2&gt;2,Assumptions!$H$97,0)))</f>
        <v>0</v>
      </c>
      <c r="I171" s="34">
        <f>+IF(I2=1,Assumptions!$H$118,IF(I2=2,Assumptions!$H$120,IF(I2&gt;2,Assumptions!$H$97,0)))</f>
        <v>0</v>
      </c>
      <c r="J171" s="34">
        <f>+IF(J2=1,Assumptions!$H$118,IF(J2=2,Assumptions!$H$120,IF(J2&gt;2,Assumptions!$H$97,0)))</f>
        <v>150</v>
      </c>
      <c r="K171" s="34">
        <f>+IF(K2=1,Assumptions!$H$118,IF(K2=2,Assumptions!$H$120,IF(K2&gt;2,Assumptions!$H$97,0)))</f>
        <v>155</v>
      </c>
      <c r="L171" s="34">
        <f>+IF(L2=1,Assumptions!$H$118,IF(L2=2,Assumptions!$H$120,IF(L2&gt;2,Assumptions!$H$97,0)))</f>
        <v>160</v>
      </c>
      <c r="M171" s="34">
        <f>+IF(M2=1,Assumptions!$H$118,IF(M2=2,Assumptions!$H$120,IF(M2&gt;2,Assumptions!$H$97,0)))</f>
        <v>160</v>
      </c>
      <c r="N171" s="34">
        <f>+IF(N2=1,Assumptions!$H$118,IF(N2=2,Assumptions!$H$120,IF(N2&gt;2,Assumptions!$H$97,0)))</f>
        <v>160</v>
      </c>
      <c r="O171" s="34">
        <f>+IF(O2=1,Assumptions!$H$118,IF(O2=2,Assumptions!$H$120,IF(O2&gt;2,Assumptions!$H$97,0)))</f>
        <v>160</v>
      </c>
      <c r="P171" s="34">
        <f>+IF(P2=1,Assumptions!$H$118,IF(P2=2,Assumptions!$H$120,IF(P2&gt;2,Assumptions!$H$97,0)))</f>
        <v>160</v>
      </c>
      <c r="Q171" s="34">
        <f>+IF(Q2=1,Assumptions!$H$118,IF(Q2=2,Assumptions!$H$120,IF(Q2&gt;2,Assumptions!$H$97,0)))</f>
        <v>160</v>
      </c>
      <c r="R171" s="34">
        <f>+IF(R2=1,Assumptions!$H$118,IF(R2=2,Assumptions!$H$120,IF(R2&gt;2,Assumptions!$H$97,0)))</f>
        <v>160</v>
      </c>
      <c r="S171" s="34">
        <f>+IF(S2=1,Assumptions!$H$118,IF(S2=2,Assumptions!$H$120,IF(S2&gt;2,Assumptions!$H$97,0)))</f>
        <v>160</v>
      </c>
      <c r="T171" s="34">
        <f>+IF(T2=1,Assumptions!$H$118,IF(T2=2,Assumptions!$H$120,IF(T2&gt;2,Assumptions!$H$97,0)))</f>
        <v>160</v>
      </c>
      <c r="U171" s="34">
        <f>+IF(U2=1,Assumptions!$H$118,IF(U2=2,Assumptions!$H$120,IF(U2&gt;2,Assumptions!$H$97,0)))</f>
        <v>160</v>
      </c>
      <c r="V171" s="34">
        <f>+IF(V2=1,Assumptions!$H$118,IF(V2=2,Assumptions!$H$120,IF(V2&gt;2,Assumptions!$H$97,0)))</f>
        <v>160</v>
      </c>
      <c r="W171" s="34">
        <f>+IF(W2=1,Assumptions!$H$118,IF(W2=2,Assumptions!$H$120,IF(W2&gt;2,Assumptions!$H$97,0)))</f>
        <v>160</v>
      </c>
      <c r="X171" s="34">
        <f>+IF(X2=1,Assumptions!$H$118,IF(X2=2,Assumptions!$H$120,IF(X2&gt;2,Assumptions!$H$97,0)))</f>
        <v>160</v>
      </c>
      <c r="Y171" s="34">
        <f>+IF(Y2=1,Assumptions!$H$118,IF(Y2=2,Assumptions!$H$120,IF(Y2&gt;2,Assumptions!$H$97,0)))</f>
        <v>160</v>
      </c>
      <c r="Z171" s="34">
        <f>+IF(Z2=1,Assumptions!$H$118,IF(Z2=2,Assumptions!$H$120,IF(Z2&gt;2,Assumptions!$H$97,0)))</f>
        <v>160</v>
      </c>
    </row>
    <row r="172" spans="2:26">
      <c r="B172" s="33" t="s">
        <v>294</v>
      </c>
      <c r="C172" s="33"/>
      <c r="D172" s="42"/>
      <c r="E172" s="42"/>
      <c r="F172" s="108">
        <v>1</v>
      </c>
      <c r="G172" s="108">
        <f>+F172*(1+Assumptions!$P$67)</f>
        <v>1</v>
      </c>
      <c r="H172" s="108">
        <f>+G172*(1+Assumptions!$P$67)</f>
        <v>1</v>
      </c>
      <c r="I172" s="108">
        <f>+H172*(1+Assumptions!$P$67)</f>
        <v>1</v>
      </c>
      <c r="J172" s="108">
        <f>+I172*(1+Assumptions!$P$67)</f>
        <v>1</v>
      </c>
      <c r="K172" s="108">
        <f>+J172*(1+Assumptions!$P$67)</f>
        <v>1</v>
      </c>
      <c r="L172" s="108">
        <f>+K172*(1+Assumptions!$P$67)</f>
        <v>1</v>
      </c>
      <c r="M172" s="108">
        <f>+L172*(1+Assumptions!$P$67)</f>
        <v>1</v>
      </c>
      <c r="N172" s="108">
        <f>+M172*(1+Assumptions!$P$67)</f>
        <v>1</v>
      </c>
      <c r="O172" s="108">
        <f>+N172*(1+Assumptions!$P$67)</f>
        <v>1</v>
      </c>
      <c r="P172" s="108">
        <f>+O172*(1+Assumptions!$P$67)</f>
        <v>1</v>
      </c>
      <c r="Q172" s="108">
        <f>+P172*(1+Assumptions!$P$67)</f>
        <v>1</v>
      </c>
      <c r="R172" s="108">
        <f>+Q172*(1+Assumptions!$P$67)</f>
        <v>1</v>
      </c>
      <c r="S172" s="108">
        <f>+R172*(1+Assumptions!$P$67)</f>
        <v>1</v>
      </c>
      <c r="T172" s="108">
        <f>+S172*(1+Assumptions!$P$67)</f>
        <v>1</v>
      </c>
      <c r="U172" s="108">
        <f>+T172*(1+Assumptions!$P$67)</f>
        <v>1</v>
      </c>
      <c r="V172" s="108">
        <f>+U172*(1+Assumptions!$P$67)</f>
        <v>1</v>
      </c>
      <c r="W172" s="108">
        <f>+V172*(1+Assumptions!$P$67)</f>
        <v>1</v>
      </c>
      <c r="X172" s="108">
        <f>+W172*(1+Assumptions!$P$67)</f>
        <v>1</v>
      </c>
      <c r="Y172" s="108">
        <f>+X172*(1+Assumptions!$P$67)</f>
        <v>1</v>
      </c>
      <c r="Z172" s="108">
        <f>+Y172*(1+Assumptions!$P$67)</f>
        <v>1</v>
      </c>
    </row>
    <row r="173" spans="2:26">
      <c r="B173" s="33" t="s">
        <v>288</v>
      </c>
      <c r="C173" s="33"/>
      <c r="D173" s="42"/>
      <c r="E173" s="42"/>
      <c r="F173" s="34">
        <f>+F171*F172</f>
        <v>0</v>
      </c>
      <c r="G173" s="34">
        <f t="shared" ref="G173:Z173" si="65">+G171*G172</f>
        <v>0</v>
      </c>
      <c r="H173" s="34">
        <f t="shared" si="65"/>
        <v>0</v>
      </c>
      <c r="I173" s="34">
        <f t="shared" si="65"/>
        <v>0</v>
      </c>
      <c r="J173" s="34">
        <f t="shared" si="65"/>
        <v>150</v>
      </c>
      <c r="K173" s="34">
        <f t="shared" si="65"/>
        <v>155</v>
      </c>
      <c r="L173" s="34">
        <f t="shared" si="65"/>
        <v>160</v>
      </c>
      <c r="M173" s="34">
        <f t="shared" si="65"/>
        <v>160</v>
      </c>
      <c r="N173" s="34">
        <f t="shared" si="65"/>
        <v>160</v>
      </c>
      <c r="O173" s="34">
        <f t="shared" si="65"/>
        <v>160</v>
      </c>
      <c r="P173" s="34">
        <f t="shared" si="65"/>
        <v>160</v>
      </c>
      <c r="Q173" s="34">
        <f t="shared" si="65"/>
        <v>160</v>
      </c>
      <c r="R173" s="34">
        <f t="shared" si="65"/>
        <v>160</v>
      </c>
      <c r="S173" s="34">
        <f t="shared" si="65"/>
        <v>160</v>
      </c>
      <c r="T173" s="34">
        <f t="shared" si="65"/>
        <v>160</v>
      </c>
      <c r="U173" s="34">
        <f t="shared" si="65"/>
        <v>160</v>
      </c>
      <c r="V173" s="34">
        <f t="shared" si="65"/>
        <v>160</v>
      </c>
      <c r="W173" s="34">
        <f t="shared" si="65"/>
        <v>160</v>
      </c>
      <c r="X173" s="34">
        <f t="shared" si="65"/>
        <v>160</v>
      </c>
      <c r="Y173" s="34">
        <f t="shared" si="65"/>
        <v>160</v>
      </c>
      <c r="Z173" s="34">
        <f t="shared" si="65"/>
        <v>160</v>
      </c>
    </row>
    <row r="174" spans="2:26">
      <c r="B174" s="33"/>
    </row>
    <row r="175" spans="2:26">
      <c r="B175" s="33" t="s">
        <v>147</v>
      </c>
      <c r="F175" s="108">
        <f>+IF(F2=1,Assumptions!$H$117,IF(F2=2,Assumptions!$H$119,IF(F2&gt;2,Assumptions!$H$96,0)))</f>
        <v>0</v>
      </c>
      <c r="G175" s="108">
        <f>+IF(G2=1,Assumptions!$H$117,IF(G2=2,Assumptions!$H$119,IF(G2&gt;2,Assumptions!$H$96,0)))</f>
        <v>0</v>
      </c>
      <c r="H175" s="108">
        <f>+IF(H2=1,Assumptions!$H$117,IF(H2=2,Assumptions!$H$119,IF(H2&gt;2,Assumptions!$H$96,0)))</f>
        <v>0</v>
      </c>
      <c r="I175" s="108">
        <f>+IF(I2=1,Assumptions!$H$117,IF(I2=2,Assumptions!$H$119,IF(I2&gt;2,Assumptions!$H$96,0)))</f>
        <v>0</v>
      </c>
      <c r="J175" s="108">
        <f>+IF(J2=1,Assumptions!$H$117,IF(J2=2,Assumptions!$H$119,IF(J2&gt;2,Assumptions!$H$96,0)))</f>
        <v>0.65</v>
      </c>
      <c r="K175" s="108">
        <f>+IF(K2=1,Assumptions!$H$117,IF(K2=2,Assumptions!$H$119,IF(K2&gt;2,Assumptions!$H$96,0)))</f>
        <v>0.7</v>
      </c>
      <c r="L175" s="108">
        <f>+IF(L2=1,Assumptions!$H$117,IF(L2=2,Assumptions!$H$119,IF(L2&gt;2,Assumptions!$H$96,0)))</f>
        <v>0.7</v>
      </c>
      <c r="M175" s="108">
        <f>+IF(M2=1,Assumptions!$H$117,IF(M2=2,Assumptions!$H$119,IF(M2&gt;2,Assumptions!$H$96,0)))</f>
        <v>0.7</v>
      </c>
      <c r="N175" s="108">
        <f>+IF(N2=1,Assumptions!$H$117,IF(N2=2,Assumptions!$H$119,IF(N2&gt;2,Assumptions!$H$96,0)))</f>
        <v>0.7</v>
      </c>
      <c r="O175" s="108">
        <f>+IF(O2=1,Assumptions!$H$117,IF(O2=2,Assumptions!$H$119,IF(O2&gt;2,Assumptions!$H$96,0)))</f>
        <v>0.7</v>
      </c>
      <c r="P175" s="108">
        <f>+IF(P2=1,Assumptions!$H$117,IF(P2=2,Assumptions!$H$119,IF(P2&gt;2,Assumptions!$H$96,0)))</f>
        <v>0.7</v>
      </c>
      <c r="Q175" s="108">
        <f>+IF(Q2=1,Assumptions!$H$117,IF(Q2=2,Assumptions!$H$119,IF(Q2&gt;2,Assumptions!$H$96,0)))</f>
        <v>0.7</v>
      </c>
      <c r="R175" s="108">
        <f>+IF(R2=1,Assumptions!$H$117,IF(R2=2,Assumptions!$H$119,IF(R2&gt;2,Assumptions!$H$96,0)))</f>
        <v>0.7</v>
      </c>
      <c r="S175" s="108">
        <f>+IF(S2=1,Assumptions!$H$117,IF(S2=2,Assumptions!$H$119,IF(S2&gt;2,Assumptions!$H$96,0)))</f>
        <v>0.7</v>
      </c>
      <c r="T175" s="108">
        <f>+IF(T2=1,Assumptions!$H$117,IF(T2=2,Assumptions!$H$119,IF(T2&gt;2,Assumptions!$H$96,0)))</f>
        <v>0.7</v>
      </c>
      <c r="U175" s="108">
        <f>+IF(U2=1,Assumptions!$H$117,IF(U2=2,Assumptions!$H$119,IF(U2&gt;2,Assumptions!$H$96,0)))</f>
        <v>0.7</v>
      </c>
      <c r="V175" s="108">
        <f>+IF(V2=1,Assumptions!$H$117,IF(V2=2,Assumptions!$H$119,IF(V2&gt;2,Assumptions!$H$96,0)))</f>
        <v>0.7</v>
      </c>
      <c r="W175" s="108">
        <f>+IF(W2=1,Assumptions!$H$117,IF(W2=2,Assumptions!$H$119,IF(W2&gt;2,Assumptions!$H$96,0)))</f>
        <v>0.7</v>
      </c>
      <c r="X175" s="108">
        <f>+IF(X2=1,Assumptions!$H$117,IF(X2=2,Assumptions!$H$119,IF(X2&gt;2,Assumptions!$H$96,0)))</f>
        <v>0.7</v>
      </c>
      <c r="Y175" s="108">
        <f>+IF(Y2=1,Assumptions!$H$117,IF(Y2=2,Assumptions!$H$119,IF(Y2&gt;2,Assumptions!$H$96,0)))</f>
        <v>0.7</v>
      </c>
      <c r="Z175" s="108">
        <f>+IF(Z2=1,Assumptions!$H$117,IF(Z2=2,Assumptions!$H$119,IF(Z2&gt;2,Assumptions!$H$96,0)))</f>
        <v>0.7</v>
      </c>
    </row>
    <row r="176" spans="2:26">
      <c r="B176" s="33" t="s">
        <v>146</v>
      </c>
      <c r="F176" s="34">
        <f>+F173*F175</f>
        <v>0</v>
      </c>
      <c r="G176" s="34">
        <f t="shared" ref="G176:Z176" si="66">+G173*G175</f>
        <v>0</v>
      </c>
      <c r="H176" s="34">
        <f t="shared" si="66"/>
        <v>0</v>
      </c>
      <c r="I176" s="34">
        <f t="shared" si="66"/>
        <v>0</v>
      </c>
      <c r="J176" s="34">
        <f t="shared" si="66"/>
        <v>97.5</v>
      </c>
      <c r="K176" s="34">
        <f t="shared" si="66"/>
        <v>108.5</v>
      </c>
      <c r="L176" s="34">
        <f t="shared" si="66"/>
        <v>112</v>
      </c>
      <c r="M176" s="34">
        <f t="shared" si="66"/>
        <v>112</v>
      </c>
      <c r="N176" s="34">
        <f t="shared" si="66"/>
        <v>112</v>
      </c>
      <c r="O176" s="34">
        <f t="shared" si="66"/>
        <v>112</v>
      </c>
      <c r="P176" s="34">
        <f t="shared" si="66"/>
        <v>112</v>
      </c>
      <c r="Q176" s="34">
        <f t="shared" si="66"/>
        <v>112</v>
      </c>
      <c r="R176" s="34">
        <f t="shared" si="66"/>
        <v>112</v>
      </c>
      <c r="S176" s="34">
        <f t="shared" si="66"/>
        <v>112</v>
      </c>
      <c r="T176" s="34">
        <f t="shared" si="66"/>
        <v>112</v>
      </c>
      <c r="U176" s="34">
        <f t="shared" si="66"/>
        <v>112</v>
      </c>
      <c r="V176" s="34">
        <f t="shared" si="66"/>
        <v>112</v>
      </c>
      <c r="W176" s="34">
        <f t="shared" si="66"/>
        <v>112</v>
      </c>
      <c r="X176" s="34">
        <f t="shared" si="66"/>
        <v>112</v>
      </c>
      <c r="Y176" s="34">
        <f t="shared" si="66"/>
        <v>112</v>
      </c>
      <c r="Z176" s="34">
        <f t="shared" si="66"/>
        <v>112</v>
      </c>
    </row>
    <row r="177" spans="2:26">
      <c r="B177" s="137" t="s">
        <v>286</v>
      </c>
      <c r="C177" s="137"/>
      <c r="D177" s="137"/>
      <c r="E177" s="137"/>
      <c r="F177" s="129">
        <f>+F176*365.25*F168</f>
        <v>0</v>
      </c>
      <c r="G177" s="129">
        <f t="shared" ref="G177:Z177" si="67">+G176*365.25*G168</f>
        <v>0</v>
      </c>
      <c r="H177" s="129">
        <f t="shared" si="67"/>
        <v>0</v>
      </c>
      <c r="I177" s="129">
        <f t="shared" si="67"/>
        <v>0</v>
      </c>
      <c r="J177" s="129">
        <f t="shared" si="67"/>
        <v>1.7805937500000001E-2</v>
      </c>
      <c r="K177" s="129">
        <f t="shared" si="67"/>
        <v>3.9629625000000002E-2</v>
      </c>
      <c r="L177" s="129">
        <f t="shared" si="67"/>
        <v>4.0908E-2</v>
      </c>
      <c r="M177" s="129">
        <f t="shared" si="67"/>
        <v>4.0908E-2</v>
      </c>
      <c r="N177" s="129">
        <f t="shared" si="67"/>
        <v>4.0908E-2</v>
      </c>
      <c r="O177" s="129">
        <f t="shared" si="67"/>
        <v>4.0908E-2</v>
      </c>
      <c r="P177" s="129">
        <f t="shared" si="67"/>
        <v>4.0908E-2</v>
      </c>
      <c r="Q177" s="129">
        <f t="shared" si="67"/>
        <v>4.0908E-2</v>
      </c>
      <c r="R177" s="129">
        <f t="shared" si="67"/>
        <v>4.0908E-2</v>
      </c>
      <c r="S177" s="129">
        <f t="shared" si="67"/>
        <v>4.0908E-2</v>
      </c>
      <c r="T177" s="129">
        <f t="shared" si="67"/>
        <v>4.0908E-2</v>
      </c>
      <c r="U177" s="129">
        <f t="shared" si="67"/>
        <v>4.0908E-2</v>
      </c>
      <c r="V177" s="129">
        <f t="shared" si="67"/>
        <v>4.0908E-2</v>
      </c>
      <c r="W177" s="129">
        <f t="shared" si="67"/>
        <v>4.0908E-2</v>
      </c>
      <c r="X177" s="129">
        <f t="shared" si="67"/>
        <v>4.0908E-2</v>
      </c>
      <c r="Y177" s="129">
        <f t="shared" si="67"/>
        <v>4.0908E-2</v>
      </c>
      <c r="Z177" s="129">
        <f t="shared" si="67"/>
        <v>4.0908E-2</v>
      </c>
    </row>
    <row r="179" spans="2:26">
      <c r="B179" s="33" t="s">
        <v>292</v>
      </c>
      <c r="F179" s="34">
        <f>+Assumptions!$H$108*'Phase III Pro Forma'!F172*'Phase III Pro Forma'!F169</f>
        <v>0</v>
      </c>
      <c r="G179" s="34">
        <f>+Assumptions!$H$108*'Phase III Pro Forma'!G172*'Phase III Pro Forma'!G169</f>
        <v>0</v>
      </c>
      <c r="H179" s="34">
        <f>+Assumptions!$H$108*'Phase III Pro Forma'!H172*'Phase III Pro Forma'!H169</f>
        <v>0</v>
      </c>
      <c r="I179" s="34">
        <f>+Assumptions!$H$108*'Phase III Pro Forma'!I172*'Phase III Pro Forma'!I169</f>
        <v>0</v>
      </c>
      <c r="J179" s="34">
        <f>+Assumptions!$H$108*'Phase III Pro Forma'!J172*'Phase III Pro Forma'!J169</f>
        <v>5.112625E-3</v>
      </c>
      <c r="K179" s="34">
        <f>+Assumptions!$H$108*'Phase III Pro Forma'!K172*'Phase III Pro Forma'!K169</f>
        <v>1.022525E-2</v>
      </c>
      <c r="L179" s="34">
        <f>+Assumptions!$H$108*'Phase III Pro Forma'!L172*'Phase III Pro Forma'!L169</f>
        <v>1.022525E-2</v>
      </c>
      <c r="M179" s="34">
        <f>+Assumptions!$H$108*'Phase III Pro Forma'!M172*'Phase III Pro Forma'!M169</f>
        <v>1.022525E-2</v>
      </c>
      <c r="N179" s="34">
        <f>+Assumptions!$H$108*'Phase III Pro Forma'!N172*'Phase III Pro Forma'!N169</f>
        <v>1.022525E-2</v>
      </c>
      <c r="O179" s="34">
        <f>+Assumptions!$H$108*'Phase III Pro Forma'!O172*'Phase III Pro Forma'!O169</f>
        <v>1.022525E-2</v>
      </c>
      <c r="P179" s="34">
        <f>+Assumptions!$H$108*'Phase III Pro Forma'!P172*'Phase III Pro Forma'!P169</f>
        <v>1.022525E-2</v>
      </c>
      <c r="Q179" s="34">
        <f>+Assumptions!$H$108*'Phase III Pro Forma'!Q172*'Phase III Pro Forma'!Q169</f>
        <v>1.022525E-2</v>
      </c>
      <c r="R179" s="34">
        <f>+Assumptions!$H$108*'Phase III Pro Forma'!R172*'Phase III Pro Forma'!R169</f>
        <v>1.022525E-2</v>
      </c>
      <c r="S179" s="34">
        <f>+Assumptions!$H$108*'Phase III Pro Forma'!S172*'Phase III Pro Forma'!S169</f>
        <v>1.022525E-2</v>
      </c>
      <c r="T179" s="34">
        <f>+Assumptions!$H$108*'Phase III Pro Forma'!T172*'Phase III Pro Forma'!T169</f>
        <v>1.022525E-2</v>
      </c>
      <c r="U179" s="34">
        <f>+Assumptions!$H$108*'Phase III Pro Forma'!U172*'Phase III Pro Forma'!U169</f>
        <v>1.022525E-2</v>
      </c>
      <c r="V179" s="34">
        <f>+Assumptions!$H$108*'Phase III Pro Forma'!V172*'Phase III Pro Forma'!V169</f>
        <v>1.022525E-2</v>
      </c>
      <c r="W179" s="34">
        <f>+Assumptions!$H$108*'Phase III Pro Forma'!W172*'Phase III Pro Forma'!W169</f>
        <v>1.022525E-2</v>
      </c>
      <c r="X179" s="34">
        <f>+Assumptions!$H$108*'Phase III Pro Forma'!X172*'Phase III Pro Forma'!X169</f>
        <v>1.022525E-2</v>
      </c>
      <c r="Y179" s="34">
        <f>+Assumptions!$H$108*'Phase III Pro Forma'!Y172*'Phase III Pro Forma'!Y169</f>
        <v>1.022525E-2</v>
      </c>
      <c r="Z179" s="34">
        <f>+Assumptions!$H$108*'Phase III Pro Forma'!Z172*'Phase III Pro Forma'!Z169</f>
        <v>1.022525E-2</v>
      </c>
    </row>
    <row r="180" spans="2:26">
      <c r="B180" s="137" t="s">
        <v>295</v>
      </c>
      <c r="C180" s="137"/>
      <c r="D180" s="137"/>
      <c r="E180" s="137"/>
      <c r="F180" s="129">
        <f>+F177+F179</f>
        <v>0</v>
      </c>
      <c r="G180" s="129">
        <f t="shared" ref="G180:Z180" si="68">+G177+G179</f>
        <v>0</v>
      </c>
      <c r="H180" s="129">
        <f t="shared" si="68"/>
        <v>0</v>
      </c>
      <c r="I180" s="129">
        <f t="shared" si="68"/>
        <v>0</v>
      </c>
      <c r="J180" s="129">
        <f t="shared" si="68"/>
        <v>2.29185625E-2</v>
      </c>
      <c r="K180" s="129">
        <f t="shared" si="68"/>
        <v>4.9854875E-2</v>
      </c>
      <c r="L180" s="129">
        <f t="shared" si="68"/>
        <v>5.1133249999999998E-2</v>
      </c>
      <c r="M180" s="129">
        <f t="shared" si="68"/>
        <v>5.1133249999999998E-2</v>
      </c>
      <c r="N180" s="129">
        <f t="shared" si="68"/>
        <v>5.1133249999999998E-2</v>
      </c>
      <c r="O180" s="129">
        <f t="shared" si="68"/>
        <v>5.1133249999999998E-2</v>
      </c>
      <c r="P180" s="129">
        <f t="shared" si="68"/>
        <v>5.1133249999999998E-2</v>
      </c>
      <c r="Q180" s="129">
        <f t="shared" si="68"/>
        <v>5.1133249999999998E-2</v>
      </c>
      <c r="R180" s="129">
        <f t="shared" si="68"/>
        <v>5.1133249999999998E-2</v>
      </c>
      <c r="S180" s="129">
        <f t="shared" si="68"/>
        <v>5.1133249999999998E-2</v>
      </c>
      <c r="T180" s="129">
        <f t="shared" si="68"/>
        <v>5.1133249999999998E-2</v>
      </c>
      <c r="U180" s="129">
        <f t="shared" si="68"/>
        <v>5.1133249999999998E-2</v>
      </c>
      <c r="V180" s="129">
        <f t="shared" si="68"/>
        <v>5.1133249999999998E-2</v>
      </c>
      <c r="W180" s="129">
        <f t="shared" si="68"/>
        <v>5.1133249999999998E-2</v>
      </c>
      <c r="X180" s="129">
        <f t="shared" si="68"/>
        <v>5.1133249999999998E-2</v>
      </c>
      <c r="Y180" s="129">
        <f t="shared" si="68"/>
        <v>5.1133249999999998E-2</v>
      </c>
      <c r="Z180" s="129">
        <f t="shared" si="68"/>
        <v>5.1133249999999998E-2</v>
      </c>
    </row>
    <row r="181" spans="2:26">
      <c r="B181" s="33"/>
      <c r="F181" s="34"/>
      <c r="G181" s="34"/>
      <c r="H181" s="34"/>
      <c r="I181" s="34"/>
      <c r="J181" s="34"/>
      <c r="K181" s="34"/>
      <c r="L181" s="34"/>
      <c r="M181" s="34"/>
      <c r="N181" s="34"/>
      <c r="O181" s="34"/>
      <c r="P181" s="34"/>
      <c r="Q181" s="34"/>
      <c r="R181" s="34"/>
      <c r="S181" s="34"/>
      <c r="T181" s="34"/>
      <c r="U181" s="34"/>
      <c r="V181" s="34"/>
      <c r="W181" s="34"/>
      <c r="X181" s="34"/>
      <c r="Y181" s="34"/>
      <c r="Z181" s="34"/>
    </row>
    <row r="182" spans="2:26">
      <c r="B182" s="33" t="s">
        <v>293</v>
      </c>
      <c r="F182" s="42">
        <f>+Assumptions!$H$115*'Phase III Pro Forma'!F172*'Phase III Pro Forma'!F169</f>
        <v>0</v>
      </c>
      <c r="G182" s="42">
        <f>+Assumptions!$H$115*'Phase III Pro Forma'!G172*'Phase III Pro Forma'!G169</f>
        <v>0</v>
      </c>
      <c r="H182" s="42">
        <f>+Assumptions!$H$115*'Phase III Pro Forma'!H172*'Phase III Pro Forma'!H169</f>
        <v>0</v>
      </c>
      <c r="I182" s="42">
        <f>+Assumptions!$H$115*'Phase III Pro Forma'!I172*'Phase III Pro Forma'!I169</f>
        <v>0</v>
      </c>
      <c r="J182" s="42">
        <f>+Assumptions!$H$115*'Phase III Pro Forma'!J172*'Phase III Pro Forma'!J169</f>
        <v>9.0000000000000002E-6</v>
      </c>
      <c r="K182" s="42">
        <f>+Assumptions!$H$115*'Phase III Pro Forma'!K172*'Phase III Pro Forma'!K169</f>
        <v>1.8E-5</v>
      </c>
      <c r="L182" s="42">
        <f>+Assumptions!$H$115*'Phase III Pro Forma'!L172*'Phase III Pro Forma'!L169</f>
        <v>1.8E-5</v>
      </c>
      <c r="M182" s="42">
        <f>+Assumptions!$H$115*'Phase III Pro Forma'!M172*'Phase III Pro Forma'!M169</f>
        <v>1.8E-5</v>
      </c>
      <c r="N182" s="42">
        <f>+Assumptions!$H$115*'Phase III Pro Forma'!N172*'Phase III Pro Forma'!N169</f>
        <v>1.8E-5</v>
      </c>
      <c r="O182" s="42">
        <f>+Assumptions!$H$115*'Phase III Pro Forma'!O172*'Phase III Pro Forma'!O169</f>
        <v>1.8E-5</v>
      </c>
      <c r="P182" s="42">
        <f>+Assumptions!$H$115*'Phase III Pro Forma'!P172*'Phase III Pro Forma'!P169</f>
        <v>1.8E-5</v>
      </c>
      <c r="Q182" s="42">
        <f>+Assumptions!$H$115*'Phase III Pro Forma'!Q172*'Phase III Pro Forma'!Q169</f>
        <v>1.8E-5</v>
      </c>
      <c r="R182" s="42">
        <f>+Assumptions!$H$115*'Phase III Pro Forma'!R172*'Phase III Pro Forma'!R169</f>
        <v>1.8E-5</v>
      </c>
      <c r="S182" s="42">
        <f>+Assumptions!$H$115*'Phase III Pro Forma'!S172*'Phase III Pro Forma'!S169</f>
        <v>1.8E-5</v>
      </c>
      <c r="T182" s="42">
        <f>+Assumptions!$H$115*'Phase III Pro Forma'!T172*'Phase III Pro Forma'!T169</f>
        <v>1.8E-5</v>
      </c>
      <c r="U182" s="42">
        <f>+Assumptions!$H$115*'Phase III Pro Forma'!U172*'Phase III Pro Forma'!U169</f>
        <v>1.8E-5</v>
      </c>
      <c r="V182" s="42">
        <f>+Assumptions!$H$115*'Phase III Pro Forma'!V172*'Phase III Pro Forma'!V169</f>
        <v>1.8E-5</v>
      </c>
      <c r="W182" s="42">
        <f>+Assumptions!$H$115*'Phase III Pro Forma'!W172*'Phase III Pro Forma'!W169</f>
        <v>1.8E-5</v>
      </c>
      <c r="X182" s="42">
        <f>+Assumptions!$H$115*'Phase III Pro Forma'!X172*'Phase III Pro Forma'!X169</f>
        <v>1.8E-5</v>
      </c>
      <c r="Y182" s="42">
        <f>+Assumptions!$H$115*'Phase III Pro Forma'!Y172*'Phase III Pro Forma'!Y169</f>
        <v>1.8E-5</v>
      </c>
      <c r="Z182" s="42">
        <f>+Assumptions!$H$115*'Phase III Pro Forma'!Z172*'Phase III Pro Forma'!Z169</f>
        <v>1.8E-5</v>
      </c>
    </row>
    <row r="183" spans="2:26" s="157" customFormat="1">
      <c r="B183" s="137" t="s">
        <v>701</v>
      </c>
      <c r="C183" s="137"/>
      <c r="D183" s="137"/>
      <c r="E183" s="137"/>
      <c r="F183" s="129">
        <f>+F180+F182</f>
        <v>0</v>
      </c>
      <c r="G183" s="129">
        <f t="shared" ref="G183:Z183" si="69">+G180+G182</f>
        <v>0</v>
      </c>
      <c r="H183" s="129">
        <f t="shared" si="69"/>
        <v>0</v>
      </c>
      <c r="I183" s="129">
        <f t="shared" si="69"/>
        <v>0</v>
      </c>
      <c r="J183" s="129">
        <f t="shared" si="69"/>
        <v>2.2927562499999998E-2</v>
      </c>
      <c r="K183" s="129">
        <f t="shared" si="69"/>
        <v>4.9872874999999997E-2</v>
      </c>
      <c r="L183" s="129">
        <f t="shared" si="69"/>
        <v>5.1151249999999995E-2</v>
      </c>
      <c r="M183" s="129">
        <f t="shared" si="69"/>
        <v>5.1151249999999995E-2</v>
      </c>
      <c r="N183" s="129">
        <f t="shared" si="69"/>
        <v>5.1151249999999995E-2</v>
      </c>
      <c r="O183" s="129">
        <f t="shared" si="69"/>
        <v>5.1151249999999995E-2</v>
      </c>
      <c r="P183" s="129">
        <f t="shared" si="69"/>
        <v>5.1151249999999995E-2</v>
      </c>
      <c r="Q183" s="129">
        <f t="shared" si="69"/>
        <v>5.1151249999999995E-2</v>
      </c>
      <c r="R183" s="129">
        <f t="shared" si="69"/>
        <v>5.1151249999999995E-2</v>
      </c>
      <c r="S183" s="129">
        <f t="shared" si="69"/>
        <v>5.1151249999999995E-2</v>
      </c>
      <c r="T183" s="129">
        <f t="shared" si="69"/>
        <v>5.1151249999999995E-2</v>
      </c>
      <c r="U183" s="129">
        <f t="shared" si="69"/>
        <v>5.1151249999999995E-2</v>
      </c>
      <c r="V183" s="129">
        <f t="shared" si="69"/>
        <v>5.1151249999999995E-2</v>
      </c>
      <c r="W183" s="129">
        <f t="shared" si="69"/>
        <v>5.1151249999999995E-2</v>
      </c>
      <c r="X183" s="129">
        <f t="shared" si="69"/>
        <v>5.1151249999999995E-2</v>
      </c>
      <c r="Y183" s="129">
        <f t="shared" si="69"/>
        <v>5.1151249999999995E-2</v>
      </c>
      <c r="Z183" s="129">
        <f t="shared" si="69"/>
        <v>5.1151249999999995E-2</v>
      </c>
    </row>
    <row r="185" spans="2:26">
      <c r="B185" s="155" t="s">
        <v>138</v>
      </c>
    </row>
    <row r="186" spans="2:26">
      <c r="B186" s="64" t="s">
        <v>264</v>
      </c>
      <c r="D186" s="115">
        <f>+Assumptions!M101</f>
        <v>0.25</v>
      </c>
      <c r="E186" s="115"/>
      <c r="F186" s="34">
        <f>F$177*$D186</f>
        <v>0</v>
      </c>
      <c r="G186" s="34">
        <f t="shared" ref="G186:Z186" si="70">G$177*$D186</f>
        <v>0</v>
      </c>
      <c r="H186" s="34">
        <f t="shared" si="70"/>
        <v>0</v>
      </c>
      <c r="I186" s="34">
        <f t="shared" si="70"/>
        <v>0</v>
      </c>
      <c r="J186" s="34">
        <f t="shared" si="70"/>
        <v>4.4514843750000001E-3</v>
      </c>
      <c r="K186" s="34">
        <f t="shared" si="70"/>
        <v>9.9074062500000004E-3</v>
      </c>
      <c r="L186" s="34">
        <f t="shared" si="70"/>
        <v>1.0227E-2</v>
      </c>
      <c r="M186" s="34">
        <f t="shared" si="70"/>
        <v>1.0227E-2</v>
      </c>
      <c r="N186" s="34">
        <f t="shared" si="70"/>
        <v>1.0227E-2</v>
      </c>
      <c r="O186" s="34">
        <f t="shared" si="70"/>
        <v>1.0227E-2</v>
      </c>
      <c r="P186" s="34">
        <f t="shared" si="70"/>
        <v>1.0227E-2</v>
      </c>
      <c r="Q186" s="34">
        <f t="shared" si="70"/>
        <v>1.0227E-2</v>
      </c>
      <c r="R186" s="34">
        <f t="shared" si="70"/>
        <v>1.0227E-2</v>
      </c>
      <c r="S186" s="34">
        <f t="shared" si="70"/>
        <v>1.0227E-2</v>
      </c>
      <c r="T186" s="34">
        <f t="shared" si="70"/>
        <v>1.0227E-2</v>
      </c>
      <c r="U186" s="34">
        <f t="shared" si="70"/>
        <v>1.0227E-2</v>
      </c>
      <c r="V186" s="34">
        <f t="shared" si="70"/>
        <v>1.0227E-2</v>
      </c>
      <c r="W186" s="34">
        <f t="shared" si="70"/>
        <v>1.0227E-2</v>
      </c>
      <c r="X186" s="34">
        <f t="shared" si="70"/>
        <v>1.0227E-2</v>
      </c>
      <c r="Y186" s="34">
        <f t="shared" si="70"/>
        <v>1.0227E-2</v>
      </c>
      <c r="Z186" s="34">
        <f t="shared" si="70"/>
        <v>1.0227E-2</v>
      </c>
    </row>
    <row r="187" spans="2:26">
      <c r="B187" s="64" t="s">
        <v>291</v>
      </c>
      <c r="D187" s="115">
        <f>+Assumptions!M102</f>
        <v>0.7</v>
      </c>
      <c r="E187" s="115"/>
      <c r="F187" s="42">
        <f>F$179*$D187</f>
        <v>0</v>
      </c>
      <c r="G187" s="42">
        <f t="shared" ref="G187:Z187" si="71">G$179*$D187</f>
        <v>0</v>
      </c>
      <c r="H187" s="42">
        <f t="shared" si="71"/>
        <v>0</v>
      </c>
      <c r="I187" s="42">
        <f t="shared" si="71"/>
        <v>0</v>
      </c>
      <c r="J187" s="42">
        <f t="shared" si="71"/>
        <v>3.5788374999999998E-3</v>
      </c>
      <c r="K187" s="42">
        <f t="shared" si="71"/>
        <v>7.1576749999999996E-3</v>
      </c>
      <c r="L187" s="42">
        <f t="shared" si="71"/>
        <v>7.1576749999999996E-3</v>
      </c>
      <c r="M187" s="42">
        <f t="shared" si="71"/>
        <v>7.1576749999999996E-3</v>
      </c>
      <c r="N187" s="42">
        <f t="shared" si="71"/>
        <v>7.1576749999999996E-3</v>
      </c>
      <c r="O187" s="42">
        <f t="shared" si="71"/>
        <v>7.1576749999999996E-3</v>
      </c>
      <c r="P187" s="42">
        <f t="shared" si="71"/>
        <v>7.1576749999999996E-3</v>
      </c>
      <c r="Q187" s="42">
        <f t="shared" si="71"/>
        <v>7.1576749999999996E-3</v>
      </c>
      <c r="R187" s="42">
        <f t="shared" si="71"/>
        <v>7.1576749999999996E-3</v>
      </c>
      <c r="S187" s="42">
        <f t="shared" si="71"/>
        <v>7.1576749999999996E-3</v>
      </c>
      <c r="T187" s="42">
        <f t="shared" si="71"/>
        <v>7.1576749999999996E-3</v>
      </c>
      <c r="U187" s="42">
        <f t="shared" si="71"/>
        <v>7.1576749999999996E-3</v>
      </c>
      <c r="V187" s="42">
        <f t="shared" si="71"/>
        <v>7.1576749999999996E-3</v>
      </c>
      <c r="W187" s="42">
        <f t="shared" si="71"/>
        <v>7.1576749999999996E-3</v>
      </c>
      <c r="X187" s="42">
        <f t="shared" si="71"/>
        <v>7.1576749999999996E-3</v>
      </c>
      <c r="Y187" s="42">
        <f t="shared" si="71"/>
        <v>7.1576749999999996E-3</v>
      </c>
      <c r="Z187" s="42">
        <f t="shared" si="71"/>
        <v>7.1576749999999996E-3</v>
      </c>
    </row>
    <row r="188" spans="2:26">
      <c r="B188" s="155" t="s">
        <v>265</v>
      </c>
    </row>
    <row r="189" spans="2:26">
      <c r="B189" s="64" t="s">
        <v>266</v>
      </c>
      <c r="D189" s="115">
        <f>+Assumptions!M104</f>
        <v>0.08</v>
      </c>
      <c r="E189" s="115"/>
      <c r="F189" s="42">
        <f>F$180*$D189</f>
        <v>0</v>
      </c>
      <c r="G189" s="42">
        <f t="shared" ref="G189:V197" si="72">G$180*$D189</f>
        <v>0</v>
      </c>
      <c r="H189" s="42">
        <f t="shared" si="72"/>
        <v>0</v>
      </c>
      <c r="I189" s="42">
        <f t="shared" si="72"/>
        <v>0</v>
      </c>
      <c r="J189" s="42">
        <f t="shared" si="72"/>
        <v>1.8334849999999999E-3</v>
      </c>
      <c r="K189" s="42">
        <f t="shared" si="72"/>
        <v>3.9883899999999996E-3</v>
      </c>
      <c r="L189" s="42">
        <f t="shared" si="72"/>
        <v>4.0906600000000003E-3</v>
      </c>
      <c r="M189" s="42">
        <f t="shared" si="72"/>
        <v>4.0906600000000003E-3</v>
      </c>
      <c r="N189" s="42">
        <f t="shared" si="72"/>
        <v>4.0906600000000003E-3</v>
      </c>
      <c r="O189" s="42">
        <f t="shared" si="72"/>
        <v>4.0906600000000003E-3</v>
      </c>
      <c r="P189" s="42">
        <f t="shared" si="72"/>
        <v>4.0906600000000003E-3</v>
      </c>
      <c r="Q189" s="42">
        <f t="shared" si="72"/>
        <v>4.0906600000000003E-3</v>
      </c>
      <c r="R189" s="42">
        <f t="shared" si="72"/>
        <v>4.0906600000000003E-3</v>
      </c>
      <c r="S189" s="42">
        <f t="shared" si="72"/>
        <v>4.0906600000000003E-3</v>
      </c>
      <c r="T189" s="42">
        <f t="shared" si="72"/>
        <v>4.0906600000000003E-3</v>
      </c>
      <c r="U189" s="42">
        <f t="shared" si="72"/>
        <v>4.0906600000000003E-3</v>
      </c>
      <c r="V189" s="42">
        <f t="shared" si="72"/>
        <v>4.0906600000000003E-3</v>
      </c>
      <c r="W189" s="42">
        <f t="shared" ref="W189:Z197" si="73">W$180*$D189</f>
        <v>4.0906600000000003E-3</v>
      </c>
      <c r="X189" s="42">
        <f t="shared" si="73"/>
        <v>4.0906600000000003E-3</v>
      </c>
      <c r="Y189" s="42">
        <f t="shared" si="73"/>
        <v>4.0906600000000003E-3</v>
      </c>
      <c r="Z189" s="42">
        <f t="shared" si="73"/>
        <v>4.0906600000000003E-3</v>
      </c>
    </row>
    <row r="190" spans="2:26">
      <c r="B190" s="64" t="s">
        <v>267</v>
      </c>
      <c r="D190" s="115">
        <f>+Assumptions!M105</f>
        <v>0.01</v>
      </c>
      <c r="E190" s="115"/>
      <c r="F190" s="42">
        <f t="shared" ref="F190:F197" si="74">F$180*$D190</f>
        <v>0</v>
      </c>
      <c r="G190" s="42">
        <f t="shared" si="72"/>
        <v>0</v>
      </c>
      <c r="H190" s="42">
        <f t="shared" si="72"/>
        <v>0</v>
      </c>
      <c r="I190" s="42">
        <f t="shared" si="72"/>
        <v>0</v>
      </c>
      <c r="J190" s="42">
        <f t="shared" si="72"/>
        <v>2.2918562499999999E-4</v>
      </c>
      <c r="K190" s="42">
        <f t="shared" si="72"/>
        <v>4.9854874999999996E-4</v>
      </c>
      <c r="L190" s="42">
        <f t="shared" si="72"/>
        <v>5.1133250000000004E-4</v>
      </c>
      <c r="M190" s="42">
        <f t="shared" si="72"/>
        <v>5.1133250000000004E-4</v>
      </c>
      <c r="N190" s="42">
        <f t="shared" si="72"/>
        <v>5.1133250000000004E-4</v>
      </c>
      <c r="O190" s="42">
        <f t="shared" si="72"/>
        <v>5.1133250000000004E-4</v>
      </c>
      <c r="P190" s="42">
        <f t="shared" si="72"/>
        <v>5.1133250000000004E-4</v>
      </c>
      <c r="Q190" s="42">
        <f t="shared" si="72"/>
        <v>5.1133250000000004E-4</v>
      </c>
      <c r="R190" s="42">
        <f t="shared" si="72"/>
        <v>5.1133250000000004E-4</v>
      </c>
      <c r="S190" s="42">
        <f t="shared" si="72"/>
        <v>5.1133250000000004E-4</v>
      </c>
      <c r="T190" s="42">
        <f t="shared" si="72"/>
        <v>5.1133250000000004E-4</v>
      </c>
      <c r="U190" s="42">
        <f t="shared" si="72"/>
        <v>5.1133250000000004E-4</v>
      </c>
      <c r="V190" s="42">
        <f t="shared" si="72"/>
        <v>5.1133250000000004E-4</v>
      </c>
      <c r="W190" s="42">
        <f t="shared" si="73"/>
        <v>5.1133250000000004E-4</v>
      </c>
      <c r="X190" s="42">
        <f t="shared" si="73"/>
        <v>5.1133250000000004E-4</v>
      </c>
      <c r="Y190" s="42">
        <f t="shared" si="73"/>
        <v>5.1133250000000004E-4</v>
      </c>
      <c r="Z190" s="42">
        <f t="shared" si="73"/>
        <v>5.1133250000000004E-4</v>
      </c>
    </row>
    <row r="191" spans="2:26">
      <c r="B191" s="64" t="s">
        <v>72</v>
      </c>
      <c r="D191" s="115">
        <f>+Assumptions!M106</f>
        <v>6.5000000000000002E-2</v>
      </c>
      <c r="E191" s="115"/>
      <c r="F191" s="42">
        <f t="shared" si="74"/>
        <v>0</v>
      </c>
      <c r="G191" s="42">
        <f t="shared" si="72"/>
        <v>0</v>
      </c>
      <c r="H191" s="42">
        <f t="shared" si="72"/>
        <v>0</v>
      </c>
      <c r="I191" s="42">
        <f t="shared" si="72"/>
        <v>0</v>
      </c>
      <c r="J191" s="42">
        <f t="shared" si="72"/>
        <v>1.4897065625000001E-3</v>
      </c>
      <c r="K191" s="42">
        <f t="shared" si="72"/>
        <v>3.2405668750000003E-3</v>
      </c>
      <c r="L191" s="42">
        <f t="shared" si="72"/>
        <v>3.3236612500000002E-3</v>
      </c>
      <c r="M191" s="42">
        <f t="shared" si="72"/>
        <v>3.3236612500000002E-3</v>
      </c>
      <c r="N191" s="42">
        <f t="shared" si="72"/>
        <v>3.3236612500000002E-3</v>
      </c>
      <c r="O191" s="42">
        <f t="shared" si="72"/>
        <v>3.3236612500000002E-3</v>
      </c>
      <c r="P191" s="42">
        <f t="shared" si="72"/>
        <v>3.3236612500000002E-3</v>
      </c>
      <c r="Q191" s="42">
        <f t="shared" si="72"/>
        <v>3.3236612500000002E-3</v>
      </c>
      <c r="R191" s="42">
        <f t="shared" si="72"/>
        <v>3.3236612500000002E-3</v>
      </c>
      <c r="S191" s="42">
        <f t="shared" si="72"/>
        <v>3.3236612500000002E-3</v>
      </c>
      <c r="T191" s="42">
        <f t="shared" si="72"/>
        <v>3.3236612500000002E-3</v>
      </c>
      <c r="U191" s="42">
        <f t="shared" si="72"/>
        <v>3.3236612500000002E-3</v>
      </c>
      <c r="V191" s="42">
        <f t="shared" si="72"/>
        <v>3.3236612500000002E-3</v>
      </c>
      <c r="W191" s="42">
        <f t="shared" si="73"/>
        <v>3.3236612500000002E-3</v>
      </c>
      <c r="X191" s="42">
        <f t="shared" si="73"/>
        <v>3.3236612500000002E-3</v>
      </c>
      <c r="Y191" s="42">
        <f t="shared" si="73"/>
        <v>3.3236612500000002E-3</v>
      </c>
      <c r="Z191" s="42">
        <f t="shared" si="73"/>
        <v>3.3236612500000002E-3</v>
      </c>
    </row>
    <row r="192" spans="2:26">
      <c r="B192" s="64" t="s">
        <v>268</v>
      </c>
      <c r="D192" s="115">
        <f>+Assumptions!M107</f>
        <v>0.02</v>
      </c>
      <c r="E192" s="115"/>
      <c r="F192" s="42">
        <f t="shared" si="74"/>
        <v>0</v>
      </c>
      <c r="G192" s="42">
        <f t="shared" si="72"/>
        <v>0</v>
      </c>
      <c r="H192" s="42">
        <f t="shared" si="72"/>
        <v>0</v>
      </c>
      <c r="I192" s="42">
        <f t="shared" si="72"/>
        <v>0</v>
      </c>
      <c r="J192" s="42">
        <f t="shared" si="72"/>
        <v>4.5837124999999998E-4</v>
      </c>
      <c r="K192" s="42">
        <f t="shared" si="72"/>
        <v>9.9709749999999991E-4</v>
      </c>
      <c r="L192" s="42">
        <f t="shared" si="72"/>
        <v>1.0226650000000001E-3</v>
      </c>
      <c r="M192" s="42">
        <f t="shared" si="72"/>
        <v>1.0226650000000001E-3</v>
      </c>
      <c r="N192" s="42">
        <f t="shared" si="72"/>
        <v>1.0226650000000001E-3</v>
      </c>
      <c r="O192" s="42">
        <f t="shared" si="72"/>
        <v>1.0226650000000001E-3</v>
      </c>
      <c r="P192" s="42">
        <f t="shared" si="72"/>
        <v>1.0226650000000001E-3</v>
      </c>
      <c r="Q192" s="42">
        <f t="shared" si="72"/>
        <v>1.0226650000000001E-3</v>
      </c>
      <c r="R192" s="42">
        <f t="shared" si="72"/>
        <v>1.0226650000000001E-3</v>
      </c>
      <c r="S192" s="42">
        <f t="shared" si="72"/>
        <v>1.0226650000000001E-3</v>
      </c>
      <c r="T192" s="42">
        <f t="shared" si="72"/>
        <v>1.0226650000000001E-3</v>
      </c>
      <c r="U192" s="42">
        <f t="shared" si="72"/>
        <v>1.0226650000000001E-3</v>
      </c>
      <c r="V192" s="42">
        <f t="shared" si="72"/>
        <v>1.0226650000000001E-3</v>
      </c>
      <c r="W192" s="42">
        <f t="shared" si="73"/>
        <v>1.0226650000000001E-3</v>
      </c>
      <c r="X192" s="42">
        <f t="shared" si="73"/>
        <v>1.0226650000000001E-3</v>
      </c>
      <c r="Y192" s="42">
        <f t="shared" si="73"/>
        <v>1.0226650000000001E-3</v>
      </c>
      <c r="Z192" s="42">
        <f t="shared" si="73"/>
        <v>1.0226650000000001E-3</v>
      </c>
    </row>
    <row r="193" spans="2:26">
      <c r="B193" s="64" t="s">
        <v>269</v>
      </c>
      <c r="D193" s="115">
        <f>+Assumptions!M108</f>
        <v>0.03</v>
      </c>
      <c r="E193" s="115"/>
      <c r="F193" s="42">
        <f t="shared" si="74"/>
        <v>0</v>
      </c>
      <c r="G193" s="42">
        <f t="shared" si="72"/>
        <v>0</v>
      </c>
      <c r="H193" s="42">
        <f t="shared" si="72"/>
        <v>0</v>
      </c>
      <c r="I193" s="42">
        <f t="shared" si="72"/>
        <v>0</v>
      </c>
      <c r="J193" s="42">
        <f t="shared" si="72"/>
        <v>6.8755687499999995E-4</v>
      </c>
      <c r="K193" s="42">
        <f t="shared" si="72"/>
        <v>1.4956462499999999E-3</v>
      </c>
      <c r="L193" s="42">
        <f t="shared" si="72"/>
        <v>1.5339974999999998E-3</v>
      </c>
      <c r="M193" s="42">
        <f t="shared" si="72"/>
        <v>1.5339974999999998E-3</v>
      </c>
      <c r="N193" s="42">
        <f t="shared" si="72"/>
        <v>1.5339974999999998E-3</v>
      </c>
      <c r="O193" s="42">
        <f t="shared" si="72"/>
        <v>1.5339974999999998E-3</v>
      </c>
      <c r="P193" s="42">
        <f t="shared" si="72"/>
        <v>1.5339974999999998E-3</v>
      </c>
      <c r="Q193" s="42">
        <f t="shared" si="72"/>
        <v>1.5339974999999998E-3</v>
      </c>
      <c r="R193" s="42">
        <f t="shared" si="72"/>
        <v>1.5339974999999998E-3</v>
      </c>
      <c r="S193" s="42">
        <f t="shared" si="72"/>
        <v>1.5339974999999998E-3</v>
      </c>
      <c r="T193" s="42">
        <f t="shared" si="72"/>
        <v>1.5339974999999998E-3</v>
      </c>
      <c r="U193" s="42">
        <f t="shared" si="72"/>
        <v>1.5339974999999998E-3</v>
      </c>
      <c r="V193" s="42">
        <f t="shared" si="72"/>
        <v>1.5339974999999998E-3</v>
      </c>
      <c r="W193" s="42">
        <f t="shared" si="73"/>
        <v>1.5339974999999998E-3</v>
      </c>
      <c r="X193" s="42">
        <f t="shared" si="73"/>
        <v>1.5339974999999998E-3</v>
      </c>
      <c r="Y193" s="42">
        <f t="shared" si="73"/>
        <v>1.5339974999999998E-3</v>
      </c>
      <c r="Z193" s="42">
        <f t="shared" si="73"/>
        <v>1.5339974999999998E-3</v>
      </c>
    </row>
    <row r="194" spans="2:26">
      <c r="B194" s="64" t="s">
        <v>270</v>
      </c>
      <c r="D194" s="115">
        <f>+Assumptions!M109</f>
        <v>0.04</v>
      </c>
      <c r="E194" s="115"/>
      <c r="F194" s="42">
        <f t="shared" si="74"/>
        <v>0</v>
      </c>
      <c r="G194" s="42">
        <f t="shared" si="72"/>
        <v>0</v>
      </c>
      <c r="H194" s="42">
        <f t="shared" si="72"/>
        <v>0</v>
      </c>
      <c r="I194" s="42">
        <f t="shared" si="72"/>
        <v>0</v>
      </c>
      <c r="J194" s="42">
        <f t="shared" si="72"/>
        <v>9.1674249999999997E-4</v>
      </c>
      <c r="K194" s="42">
        <f t="shared" si="72"/>
        <v>1.9941949999999998E-3</v>
      </c>
      <c r="L194" s="42">
        <f t="shared" si="72"/>
        <v>2.0453300000000002E-3</v>
      </c>
      <c r="M194" s="42">
        <f t="shared" si="72"/>
        <v>2.0453300000000002E-3</v>
      </c>
      <c r="N194" s="42">
        <f t="shared" si="72"/>
        <v>2.0453300000000002E-3</v>
      </c>
      <c r="O194" s="42">
        <f t="shared" si="72"/>
        <v>2.0453300000000002E-3</v>
      </c>
      <c r="P194" s="42">
        <f t="shared" si="72"/>
        <v>2.0453300000000002E-3</v>
      </c>
      <c r="Q194" s="42">
        <f t="shared" si="72"/>
        <v>2.0453300000000002E-3</v>
      </c>
      <c r="R194" s="42">
        <f t="shared" si="72"/>
        <v>2.0453300000000002E-3</v>
      </c>
      <c r="S194" s="42">
        <f t="shared" si="72"/>
        <v>2.0453300000000002E-3</v>
      </c>
      <c r="T194" s="42">
        <f t="shared" si="72"/>
        <v>2.0453300000000002E-3</v>
      </c>
      <c r="U194" s="42">
        <f t="shared" si="72"/>
        <v>2.0453300000000002E-3</v>
      </c>
      <c r="V194" s="42">
        <f t="shared" si="72"/>
        <v>2.0453300000000002E-3</v>
      </c>
      <c r="W194" s="42">
        <f t="shared" si="73"/>
        <v>2.0453300000000002E-3</v>
      </c>
      <c r="X194" s="42">
        <f t="shared" si="73"/>
        <v>2.0453300000000002E-3</v>
      </c>
      <c r="Y194" s="42">
        <f t="shared" si="73"/>
        <v>2.0453300000000002E-3</v>
      </c>
      <c r="Z194" s="42">
        <f t="shared" si="73"/>
        <v>2.0453300000000002E-3</v>
      </c>
    </row>
    <row r="195" spans="2:26">
      <c r="B195" s="64" t="s">
        <v>58</v>
      </c>
      <c r="D195" s="115">
        <f>+Assumptions!M110</f>
        <v>0.01</v>
      </c>
      <c r="E195" s="115"/>
      <c r="F195" s="42">
        <f t="shared" si="74"/>
        <v>0</v>
      </c>
      <c r="G195" s="42">
        <f t="shared" si="72"/>
        <v>0</v>
      </c>
      <c r="H195" s="42">
        <f t="shared" si="72"/>
        <v>0</v>
      </c>
      <c r="I195" s="42">
        <f t="shared" si="72"/>
        <v>0</v>
      </c>
      <c r="J195" s="42">
        <f t="shared" si="72"/>
        <v>2.2918562499999999E-4</v>
      </c>
      <c r="K195" s="42">
        <f t="shared" si="72"/>
        <v>4.9854874999999996E-4</v>
      </c>
      <c r="L195" s="42">
        <f t="shared" si="72"/>
        <v>5.1133250000000004E-4</v>
      </c>
      <c r="M195" s="42">
        <f t="shared" si="72"/>
        <v>5.1133250000000004E-4</v>
      </c>
      <c r="N195" s="42">
        <f t="shared" si="72"/>
        <v>5.1133250000000004E-4</v>
      </c>
      <c r="O195" s="42">
        <f t="shared" si="72"/>
        <v>5.1133250000000004E-4</v>
      </c>
      <c r="P195" s="42">
        <f t="shared" si="72"/>
        <v>5.1133250000000004E-4</v>
      </c>
      <c r="Q195" s="42">
        <f t="shared" si="72"/>
        <v>5.1133250000000004E-4</v>
      </c>
      <c r="R195" s="42">
        <f t="shared" si="72"/>
        <v>5.1133250000000004E-4</v>
      </c>
      <c r="S195" s="42">
        <f t="shared" si="72"/>
        <v>5.1133250000000004E-4</v>
      </c>
      <c r="T195" s="42">
        <f t="shared" si="72"/>
        <v>5.1133250000000004E-4</v>
      </c>
      <c r="U195" s="42">
        <f t="shared" si="72"/>
        <v>5.1133250000000004E-4</v>
      </c>
      <c r="V195" s="42">
        <f t="shared" si="72"/>
        <v>5.1133250000000004E-4</v>
      </c>
      <c r="W195" s="42">
        <f t="shared" si="73"/>
        <v>5.1133250000000004E-4</v>
      </c>
      <c r="X195" s="42">
        <f t="shared" si="73"/>
        <v>5.1133250000000004E-4</v>
      </c>
      <c r="Y195" s="42">
        <f t="shared" si="73"/>
        <v>5.1133250000000004E-4</v>
      </c>
      <c r="Z195" s="42">
        <f t="shared" si="73"/>
        <v>5.1133250000000004E-4</v>
      </c>
    </row>
    <row r="196" spans="2:26">
      <c r="B196" s="169" t="s">
        <v>308</v>
      </c>
      <c r="D196" s="116">
        <f ca="1">+SUM(F196:Z196)/SUM(F180:Z180)</f>
        <v>9.5500256199863534E-2</v>
      </c>
      <c r="E196" s="116"/>
      <c r="F196" s="151">
        <f ca="1">+IFERROR(IFERROR(INDEX('Taxes and TIF'!$AR$11:$AR$45,MATCH('Phase III Pro Forma'!F$7,'Taxes and TIF'!$AG$11:$AG$45,0)),0)*'Loan Sizing'!$M$36*F169,0)</f>
        <v>0</v>
      </c>
      <c r="G196" s="151">
        <f ca="1">+IFERROR(IFERROR(INDEX('Taxes and TIF'!$AR$11:$AR$45,MATCH('Phase III Pro Forma'!G$7,'Taxes and TIF'!$AG$11:$AG$45,0)),0)*'Loan Sizing'!$M$36*G169,0)</f>
        <v>0</v>
      </c>
      <c r="H196" s="151">
        <f ca="1">+IFERROR(IFERROR(INDEX('Taxes and TIF'!$AR$11:$AR$45,MATCH('Phase III Pro Forma'!H$7,'Taxes and TIF'!$AG$11:$AG$45,0)),0)*'Loan Sizing'!$M$36*H169,0)</f>
        <v>0</v>
      </c>
      <c r="I196" s="151">
        <f ca="1">+IFERROR(IFERROR(INDEX('Taxes and TIF'!$AR$11:$AR$45,MATCH('Phase III Pro Forma'!I$7,'Taxes and TIF'!$AG$11:$AG$45,0)),0)*'Loan Sizing'!$M$36*I169,0)</f>
        <v>0</v>
      </c>
      <c r="J196" s="151">
        <f ca="1">+IFERROR(IFERROR(INDEX('Taxes and TIF'!$AR$11:$AR$45,MATCH('Phase III Pro Forma'!J$7,'Taxes and TIF'!$AG$11:$AG$45,0)),0)*'Loan Sizing'!$M$36*J169,0)</f>
        <v>2.3151603032707598E-3</v>
      </c>
      <c r="K196" s="151">
        <f ca="1">+IFERROR(IFERROR(INDEX('Taxes and TIF'!$AR$11:$AR$45,MATCH('Phase III Pro Forma'!K$7,'Taxes and TIF'!$AG$11:$AG$45,0)),0)*'Loan Sizing'!$M$36*K169,0)</f>
        <v>4.6303206065415195E-3</v>
      </c>
      <c r="L196" s="151">
        <f ca="1">+IFERROR(IFERROR(INDEX('Taxes and TIF'!$AR$11:$AR$45,MATCH('Phase III Pro Forma'!L$7,'Taxes and TIF'!$AG$11:$AG$45,0)),0)*'Loan Sizing'!$M$36*L169,0)</f>
        <v>4.6303206065415195E-3</v>
      </c>
      <c r="M196" s="151">
        <f ca="1">+IFERROR(IFERROR(INDEX('Taxes and TIF'!$AR$11:$AR$45,MATCH('Phase III Pro Forma'!M$7,'Taxes and TIF'!$AG$11:$AG$45,0)),0)*'Loan Sizing'!$M$36*M169,0)</f>
        <v>4.7229270186723502E-3</v>
      </c>
      <c r="N196" s="151">
        <f ca="1">+IFERROR(IFERROR(INDEX('Taxes and TIF'!$AR$11:$AR$45,MATCH('Phase III Pro Forma'!N$7,'Taxes and TIF'!$AG$11:$AG$45,0)),0)*'Loan Sizing'!$M$36*N169,0)</f>
        <v>4.7229270186723502E-3</v>
      </c>
      <c r="O196" s="151">
        <f ca="1">+IFERROR(IFERROR(INDEX('Taxes and TIF'!$AR$11:$AR$45,MATCH('Phase III Pro Forma'!O$7,'Taxes and TIF'!$AG$11:$AG$45,0)),0)*'Loan Sizing'!$M$36*O169,0)</f>
        <v>4.7229270186723502E-3</v>
      </c>
      <c r="P196" s="151">
        <f ca="1">+IFERROR(IFERROR(INDEX('Taxes and TIF'!$AR$11:$AR$45,MATCH('Phase III Pro Forma'!P$7,'Taxes and TIF'!$AG$11:$AG$45,0)),0)*'Loan Sizing'!$M$36*P169,0)</f>
        <v>4.8173855590457953E-3</v>
      </c>
      <c r="Q196" s="151">
        <f ca="1">+IFERROR(IFERROR(INDEX('Taxes and TIF'!$AR$11:$AR$45,MATCH('Phase III Pro Forma'!Q$7,'Taxes and TIF'!$AG$11:$AG$45,0)),0)*'Loan Sizing'!$M$36*Q169,0)</f>
        <v>4.8173855590457953E-3</v>
      </c>
      <c r="R196" s="151">
        <f ca="1">+IFERROR(IFERROR(INDEX('Taxes and TIF'!$AR$11:$AR$45,MATCH('Phase III Pro Forma'!R$7,'Taxes and TIF'!$AG$11:$AG$45,0)),0)*'Loan Sizing'!$M$36*R169,0)</f>
        <v>4.8173855590457953E-3</v>
      </c>
      <c r="S196" s="151">
        <f ca="1">+IFERROR(IFERROR(INDEX('Taxes and TIF'!$AR$11:$AR$45,MATCH('Phase III Pro Forma'!S$7,'Taxes and TIF'!$AG$11:$AG$45,0)),0)*'Loan Sizing'!$M$36*S169,0)</f>
        <v>4.9137332702267125E-3</v>
      </c>
      <c r="T196" s="151">
        <f ca="1">+IFERROR(IFERROR(INDEX('Taxes and TIF'!$AR$11:$AR$45,MATCH('Phase III Pro Forma'!T$7,'Taxes and TIF'!$AG$11:$AG$45,0)),0)*'Loan Sizing'!$M$36*T169,0)</f>
        <v>4.9137332702267125E-3</v>
      </c>
      <c r="U196" s="151">
        <f ca="1">+IFERROR(IFERROR(INDEX('Taxes and TIF'!$AR$11:$AR$45,MATCH('Phase III Pro Forma'!U$7,'Taxes and TIF'!$AG$11:$AG$45,0)),0)*'Loan Sizing'!$M$36*U169,0)</f>
        <v>4.9137332702267125E-3</v>
      </c>
      <c r="V196" s="151">
        <f ca="1">+IFERROR(IFERROR(INDEX('Taxes and TIF'!$AR$11:$AR$45,MATCH('Phase III Pro Forma'!V$7,'Taxes and TIF'!$AG$11:$AG$45,0)),0)*'Loan Sizing'!$M$36*V169,0)</f>
        <v>5.0120079356312467E-3</v>
      </c>
      <c r="W196" s="151">
        <f ca="1">+IFERROR(IFERROR(INDEX('Taxes and TIF'!$AR$11:$AR$45,MATCH('Phase III Pro Forma'!W$7,'Taxes and TIF'!$AG$11:$AG$45,0)),0)*'Loan Sizing'!$M$36*W169,0)</f>
        <v>5.0120079356312467E-3</v>
      </c>
      <c r="X196" s="151">
        <f ca="1">+IFERROR(IFERROR(INDEX('Taxes and TIF'!$AR$11:$AR$45,MATCH('Phase III Pro Forma'!X$7,'Taxes and TIF'!$AG$11:$AG$45,0)),0)*'Loan Sizing'!$M$36*X169,0)</f>
        <v>5.0120079356312467E-3</v>
      </c>
      <c r="Y196" s="151">
        <f ca="1">+IFERROR(IFERROR(INDEX('Taxes and TIF'!$AR$11:$AR$45,MATCH('Phase III Pro Forma'!Y$7,'Taxes and TIF'!$AG$11:$AG$45,0)),0)*'Loan Sizing'!$M$36*Y169,0)</f>
        <v>5.1122480943438719E-3</v>
      </c>
      <c r="Z196" s="151">
        <f ca="1">+IFERROR(IFERROR(INDEX('Taxes and TIF'!$AR$11:$AR$45,MATCH('Phase III Pro Forma'!Z$7,'Taxes and TIF'!$AG$11:$AG$45,0)),0)*'Loan Sizing'!$M$36*Z169,0)</f>
        <v>5.1122480943438719E-3</v>
      </c>
    </row>
    <row r="197" spans="2:26">
      <c r="B197" s="64" t="s">
        <v>271</v>
      </c>
      <c r="D197" s="115">
        <f>+Assumptions!M111</f>
        <v>3.5000000000000003E-2</v>
      </c>
      <c r="E197" s="115"/>
      <c r="F197" s="42">
        <f t="shared" si="74"/>
        <v>0</v>
      </c>
      <c r="G197" s="42">
        <f t="shared" si="72"/>
        <v>0</v>
      </c>
      <c r="H197" s="42">
        <f t="shared" si="72"/>
        <v>0</v>
      </c>
      <c r="I197" s="42">
        <f t="shared" si="72"/>
        <v>0</v>
      </c>
      <c r="J197" s="42">
        <f t="shared" si="72"/>
        <v>8.0214968750000012E-4</v>
      </c>
      <c r="K197" s="42">
        <f t="shared" si="72"/>
        <v>1.7449206250000002E-3</v>
      </c>
      <c r="L197" s="42">
        <f t="shared" si="72"/>
        <v>1.7896637500000002E-3</v>
      </c>
      <c r="M197" s="42">
        <f t="shared" si="72"/>
        <v>1.7896637500000002E-3</v>
      </c>
      <c r="N197" s="42">
        <f t="shared" si="72"/>
        <v>1.7896637500000002E-3</v>
      </c>
      <c r="O197" s="42">
        <f t="shared" si="72"/>
        <v>1.7896637500000002E-3</v>
      </c>
      <c r="P197" s="42">
        <f t="shared" si="72"/>
        <v>1.7896637500000002E-3</v>
      </c>
      <c r="Q197" s="42">
        <f t="shared" si="72"/>
        <v>1.7896637500000002E-3</v>
      </c>
      <c r="R197" s="42">
        <f t="shared" si="72"/>
        <v>1.7896637500000002E-3</v>
      </c>
      <c r="S197" s="42">
        <f t="shared" si="72"/>
        <v>1.7896637500000002E-3</v>
      </c>
      <c r="T197" s="42">
        <f t="shared" si="72"/>
        <v>1.7896637500000002E-3</v>
      </c>
      <c r="U197" s="42">
        <f t="shared" si="72"/>
        <v>1.7896637500000002E-3</v>
      </c>
      <c r="V197" s="42">
        <f t="shared" si="72"/>
        <v>1.7896637500000002E-3</v>
      </c>
      <c r="W197" s="42">
        <f t="shared" si="73"/>
        <v>1.7896637500000002E-3</v>
      </c>
      <c r="X197" s="42">
        <f t="shared" si="73"/>
        <v>1.7896637500000002E-3</v>
      </c>
      <c r="Y197" s="42">
        <f t="shared" si="73"/>
        <v>1.7896637500000002E-3</v>
      </c>
      <c r="Z197" s="42">
        <f t="shared" si="73"/>
        <v>1.7896637500000002E-3</v>
      </c>
    </row>
    <row r="198" spans="2:26">
      <c r="B198" s="156" t="s">
        <v>171</v>
      </c>
    </row>
    <row r="199" spans="2:26">
      <c r="B199" s="64" t="s">
        <v>9</v>
      </c>
      <c r="D199" s="115">
        <f>+Assumptions!M115</f>
        <v>0.4</v>
      </c>
      <c r="E199" s="115"/>
      <c r="F199" s="42">
        <f t="shared" ref="F199:Z199" si="75">F$182*$D199</f>
        <v>0</v>
      </c>
      <c r="G199" s="42">
        <f t="shared" si="75"/>
        <v>0</v>
      </c>
      <c r="H199" s="42">
        <f t="shared" si="75"/>
        <v>0</v>
      </c>
      <c r="I199" s="42">
        <f t="shared" si="75"/>
        <v>0</v>
      </c>
      <c r="J199" s="42">
        <f t="shared" si="75"/>
        <v>3.6000000000000003E-6</v>
      </c>
      <c r="K199" s="42">
        <f t="shared" si="75"/>
        <v>7.2000000000000005E-6</v>
      </c>
      <c r="L199" s="42">
        <f t="shared" si="75"/>
        <v>7.2000000000000005E-6</v>
      </c>
      <c r="M199" s="42">
        <f t="shared" si="75"/>
        <v>7.2000000000000005E-6</v>
      </c>
      <c r="N199" s="42">
        <f t="shared" si="75"/>
        <v>7.2000000000000005E-6</v>
      </c>
      <c r="O199" s="42">
        <f t="shared" si="75"/>
        <v>7.2000000000000005E-6</v>
      </c>
      <c r="P199" s="42">
        <f t="shared" si="75"/>
        <v>7.2000000000000005E-6</v>
      </c>
      <c r="Q199" s="42">
        <f t="shared" si="75"/>
        <v>7.2000000000000005E-6</v>
      </c>
      <c r="R199" s="42">
        <f t="shared" si="75"/>
        <v>7.2000000000000005E-6</v>
      </c>
      <c r="S199" s="42">
        <f t="shared" si="75"/>
        <v>7.2000000000000005E-6</v>
      </c>
      <c r="T199" s="42">
        <f t="shared" si="75"/>
        <v>7.2000000000000005E-6</v>
      </c>
      <c r="U199" s="42">
        <f t="shared" si="75"/>
        <v>7.2000000000000005E-6</v>
      </c>
      <c r="V199" s="42">
        <f t="shared" si="75"/>
        <v>7.2000000000000005E-6</v>
      </c>
      <c r="W199" s="42">
        <f t="shared" si="75"/>
        <v>7.2000000000000005E-6</v>
      </c>
      <c r="X199" s="42">
        <f t="shared" si="75"/>
        <v>7.2000000000000005E-6</v>
      </c>
      <c r="Y199" s="42">
        <f t="shared" si="75"/>
        <v>7.2000000000000005E-6</v>
      </c>
      <c r="Z199" s="42">
        <f t="shared" si="75"/>
        <v>7.2000000000000005E-6</v>
      </c>
    </row>
    <row r="200" spans="2:26">
      <c r="B200" s="137" t="s">
        <v>297</v>
      </c>
      <c r="C200" s="137"/>
      <c r="D200" s="137"/>
      <c r="E200" s="137"/>
      <c r="F200" s="129">
        <f t="shared" ref="F200:Z200" ca="1" si="76">+SUM(F186:F199)</f>
        <v>0</v>
      </c>
      <c r="G200" s="129">
        <f t="shared" ca="1" si="76"/>
        <v>0</v>
      </c>
      <c r="H200" s="129">
        <f t="shared" ca="1" si="76"/>
        <v>0</v>
      </c>
      <c r="I200" s="129">
        <f t="shared" ca="1" si="76"/>
        <v>0</v>
      </c>
      <c r="J200" s="129">
        <f t="shared" ca="1" si="76"/>
        <v>1.6995465303270757E-2</v>
      </c>
      <c r="K200" s="129">
        <f t="shared" ca="1" si="76"/>
        <v>3.6160515606541516E-2</v>
      </c>
      <c r="L200" s="129">
        <f t="shared" ca="1" si="76"/>
        <v>3.6850838106541522E-2</v>
      </c>
      <c r="M200" s="129">
        <f t="shared" ca="1" si="76"/>
        <v>3.6943444518672347E-2</v>
      </c>
      <c r="N200" s="129">
        <f t="shared" ca="1" si="76"/>
        <v>3.6943444518672347E-2</v>
      </c>
      <c r="O200" s="129">
        <f t="shared" ca="1" si="76"/>
        <v>3.6943444518672347E-2</v>
      </c>
      <c r="P200" s="129">
        <f t="shared" ca="1" si="76"/>
        <v>3.7037903059045793E-2</v>
      </c>
      <c r="Q200" s="129">
        <f t="shared" ca="1" si="76"/>
        <v>3.7037903059045793E-2</v>
      </c>
      <c r="R200" s="129">
        <f t="shared" ca="1" si="76"/>
        <v>3.7037903059045793E-2</v>
      </c>
      <c r="S200" s="129">
        <f t="shared" ca="1" si="76"/>
        <v>3.7134250770226709E-2</v>
      </c>
      <c r="T200" s="129">
        <f t="shared" ca="1" si="76"/>
        <v>3.7134250770226709E-2</v>
      </c>
      <c r="U200" s="129">
        <f t="shared" ca="1" si="76"/>
        <v>3.7134250770226709E-2</v>
      </c>
      <c r="V200" s="129">
        <f t="shared" ca="1" si="76"/>
        <v>3.7232525435631249E-2</v>
      </c>
      <c r="W200" s="129">
        <f t="shared" ca="1" si="76"/>
        <v>3.7232525435631249E-2</v>
      </c>
      <c r="X200" s="129">
        <f t="shared" ca="1" si="76"/>
        <v>3.7232525435631249E-2</v>
      </c>
      <c r="Y200" s="129">
        <f t="shared" ca="1" si="76"/>
        <v>3.733276559434387E-2</v>
      </c>
      <c r="Z200" s="129">
        <f t="shared" ca="1" si="76"/>
        <v>3.733276559434387E-2</v>
      </c>
    </row>
    <row r="202" spans="2:26">
      <c r="B202" s="137" t="s">
        <v>296</v>
      </c>
      <c r="C202" s="137"/>
      <c r="D202" s="137"/>
      <c r="E202" s="137"/>
      <c r="F202" s="129">
        <f t="shared" ref="F202:Z202" ca="1" si="77">+F183-F200</f>
        <v>0</v>
      </c>
      <c r="G202" s="129">
        <f t="shared" ca="1" si="77"/>
        <v>0</v>
      </c>
      <c r="H202" s="129">
        <f t="shared" ca="1" si="77"/>
        <v>0</v>
      </c>
      <c r="I202" s="129">
        <f t="shared" ca="1" si="77"/>
        <v>0</v>
      </c>
      <c r="J202" s="129">
        <f t="shared" ca="1" si="77"/>
        <v>5.9320971967292413E-3</v>
      </c>
      <c r="K202" s="129">
        <f t="shared" ca="1" si="77"/>
        <v>1.3712359393458481E-2</v>
      </c>
      <c r="L202" s="129">
        <f t="shared" ca="1" si="77"/>
        <v>1.4300411893458473E-2</v>
      </c>
      <c r="M202" s="129">
        <f t="shared" ca="1" si="77"/>
        <v>1.4207805481327648E-2</v>
      </c>
      <c r="N202" s="129">
        <f t="shared" ca="1" si="77"/>
        <v>1.4207805481327648E-2</v>
      </c>
      <c r="O202" s="129">
        <f t="shared" ca="1" si="77"/>
        <v>1.4207805481327648E-2</v>
      </c>
      <c r="P202" s="129">
        <f t="shared" ca="1" si="77"/>
        <v>1.4113346940954202E-2</v>
      </c>
      <c r="Q202" s="129">
        <f t="shared" ca="1" si="77"/>
        <v>1.4113346940954202E-2</v>
      </c>
      <c r="R202" s="129">
        <f t="shared" ca="1" si="77"/>
        <v>1.4113346940954202E-2</v>
      </c>
      <c r="S202" s="129">
        <f t="shared" ca="1" si="77"/>
        <v>1.4016999229773286E-2</v>
      </c>
      <c r="T202" s="129">
        <f t="shared" ca="1" si="77"/>
        <v>1.4016999229773286E-2</v>
      </c>
      <c r="U202" s="129">
        <f t="shared" ca="1" si="77"/>
        <v>1.4016999229773286E-2</v>
      </c>
      <c r="V202" s="129">
        <f t="shared" ca="1" si="77"/>
        <v>1.3918724564368747E-2</v>
      </c>
      <c r="W202" s="129">
        <f t="shared" ca="1" si="77"/>
        <v>1.3918724564368747E-2</v>
      </c>
      <c r="X202" s="129">
        <f t="shared" ca="1" si="77"/>
        <v>1.3918724564368747E-2</v>
      </c>
      <c r="Y202" s="129">
        <f t="shared" ca="1" si="77"/>
        <v>1.3818484405656126E-2</v>
      </c>
      <c r="Z202" s="129">
        <f t="shared" ca="1" si="77"/>
        <v>1.3818484405656126E-2</v>
      </c>
    </row>
    <row r="204" spans="2:26">
      <c r="B204" s="156" t="s">
        <v>82</v>
      </c>
    </row>
    <row r="205" spans="2:26">
      <c r="B205" s="64" t="s">
        <v>272</v>
      </c>
      <c r="D205" s="115">
        <f>+Assumptions!M113</f>
        <v>0.03</v>
      </c>
      <c r="E205" s="115"/>
      <c r="F205" s="42">
        <f t="shared" ref="F205:Z205" si="78">F$180*$D205</f>
        <v>0</v>
      </c>
      <c r="G205" s="42">
        <f t="shared" si="78"/>
        <v>0</v>
      </c>
      <c r="H205" s="42">
        <f t="shared" si="78"/>
        <v>0</v>
      </c>
      <c r="I205" s="42">
        <f t="shared" si="78"/>
        <v>0</v>
      </c>
      <c r="J205" s="42">
        <f t="shared" si="78"/>
        <v>6.8755687499999995E-4</v>
      </c>
      <c r="K205" s="42">
        <f t="shared" si="78"/>
        <v>1.4956462499999999E-3</v>
      </c>
      <c r="L205" s="42">
        <f t="shared" si="78"/>
        <v>1.5339974999999998E-3</v>
      </c>
      <c r="M205" s="42">
        <f t="shared" si="78"/>
        <v>1.5339974999999998E-3</v>
      </c>
      <c r="N205" s="42">
        <f t="shared" si="78"/>
        <v>1.5339974999999998E-3</v>
      </c>
      <c r="O205" s="42">
        <f t="shared" si="78"/>
        <v>1.5339974999999998E-3</v>
      </c>
      <c r="P205" s="42">
        <f t="shared" si="78"/>
        <v>1.5339974999999998E-3</v>
      </c>
      <c r="Q205" s="42">
        <f t="shared" si="78"/>
        <v>1.5339974999999998E-3</v>
      </c>
      <c r="R205" s="42">
        <f t="shared" si="78"/>
        <v>1.5339974999999998E-3</v>
      </c>
      <c r="S205" s="42">
        <f t="shared" si="78"/>
        <v>1.5339974999999998E-3</v>
      </c>
      <c r="T205" s="42">
        <f t="shared" si="78"/>
        <v>1.5339974999999998E-3</v>
      </c>
      <c r="U205" s="42">
        <f t="shared" si="78"/>
        <v>1.5339974999999998E-3</v>
      </c>
      <c r="V205" s="42">
        <f t="shared" si="78"/>
        <v>1.5339974999999998E-3</v>
      </c>
      <c r="W205" s="42">
        <f t="shared" si="78"/>
        <v>1.5339974999999998E-3</v>
      </c>
      <c r="X205" s="42">
        <f t="shared" si="78"/>
        <v>1.5339974999999998E-3</v>
      </c>
      <c r="Y205" s="42">
        <f t="shared" si="78"/>
        <v>1.5339974999999998E-3</v>
      </c>
      <c r="Z205" s="42">
        <f t="shared" si="78"/>
        <v>1.5339974999999998E-3</v>
      </c>
    </row>
    <row r="206" spans="2:26" ht="15.5">
      <c r="B206" s="138" t="s">
        <v>298</v>
      </c>
      <c r="C206" s="138"/>
      <c r="D206" s="138"/>
      <c r="E206" s="138"/>
      <c r="F206" s="139">
        <f ca="1">+F202-F205</f>
        <v>0</v>
      </c>
      <c r="G206" s="139">
        <f t="shared" ref="G206:Z206" ca="1" si="79">+G202-G205</f>
        <v>0</v>
      </c>
      <c r="H206" s="139">
        <f t="shared" ca="1" si="79"/>
        <v>0</v>
      </c>
      <c r="I206" s="139">
        <f t="shared" ca="1" si="79"/>
        <v>0</v>
      </c>
      <c r="J206" s="139">
        <f t="shared" ca="1" si="79"/>
        <v>5.2445403217292411E-3</v>
      </c>
      <c r="K206" s="139">
        <f t="shared" ca="1" si="79"/>
        <v>1.2216713143458482E-2</v>
      </c>
      <c r="L206" s="139">
        <f t="shared" ca="1" si="79"/>
        <v>1.2766414393458473E-2</v>
      </c>
      <c r="M206" s="139">
        <f t="shared" ca="1" si="79"/>
        <v>1.2673807981327648E-2</v>
      </c>
      <c r="N206" s="139">
        <f t="shared" ca="1" si="79"/>
        <v>1.2673807981327648E-2</v>
      </c>
      <c r="O206" s="139">
        <f t="shared" ca="1" si="79"/>
        <v>1.2673807981327648E-2</v>
      </c>
      <c r="P206" s="139">
        <f t="shared" ca="1" si="79"/>
        <v>1.2579349440954202E-2</v>
      </c>
      <c r="Q206" s="139">
        <f t="shared" ca="1" si="79"/>
        <v>1.2579349440954202E-2</v>
      </c>
      <c r="R206" s="139">
        <f t="shared" ca="1" si="79"/>
        <v>1.2579349440954202E-2</v>
      </c>
      <c r="S206" s="139">
        <f t="shared" ca="1" si="79"/>
        <v>1.2483001729773286E-2</v>
      </c>
      <c r="T206" s="139">
        <f t="shared" ca="1" si="79"/>
        <v>1.2483001729773286E-2</v>
      </c>
      <c r="U206" s="139">
        <f t="shared" ca="1" si="79"/>
        <v>1.2483001729773286E-2</v>
      </c>
      <c r="V206" s="139">
        <f t="shared" ca="1" si="79"/>
        <v>1.2384727064368746E-2</v>
      </c>
      <c r="W206" s="139">
        <f t="shared" ca="1" si="79"/>
        <v>1.2384727064368746E-2</v>
      </c>
      <c r="X206" s="139">
        <f t="shared" ca="1" si="79"/>
        <v>1.2384727064368746E-2</v>
      </c>
      <c r="Y206" s="139">
        <f t="shared" ca="1" si="79"/>
        <v>1.2284486905656125E-2</v>
      </c>
      <c r="Z206" s="139">
        <f t="shared" ca="1" si="79"/>
        <v>1.2284486905656125E-2</v>
      </c>
    </row>
    <row r="207" spans="2:26" ht="15.5">
      <c r="B207" s="143" t="s">
        <v>239</v>
      </c>
      <c r="C207" s="141"/>
      <c r="D207" s="141"/>
      <c r="E207" s="141"/>
      <c r="F207" s="144" t="str">
        <f t="shared" ref="F207:Z207" ca="1" si="80">+IFERROR(F206/F183,"")</f>
        <v/>
      </c>
      <c r="G207" s="144" t="str">
        <f t="shared" ca="1" si="80"/>
        <v/>
      </c>
      <c r="H207" s="144" t="str">
        <f t="shared" ca="1" si="80"/>
        <v/>
      </c>
      <c r="I207" s="144" t="str">
        <f t="shared" ca="1" si="80"/>
        <v/>
      </c>
      <c r="J207" s="144">
        <f t="shared" ca="1" si="80"/>
        <v>0.22874391125219881</v>
      </c>
      <c r="K207" s="144">
        <f t="shared" ca="1" si="80"/>
        <v>0.24495706621000859</v>
      </c>
      <c r="L207" s="144">
        <f t="shared" ca="1" si="80"/>
        <v>0.2495816699192781</v>
      </c>
      <c r="M207" s="144">
        <f t="shared" ca="1" si="80"/>
        <v>0.24777122712206739</v>
      </c>
      <c r="N207" s="144">
        <f t="shared" ca="1" si="80"/>
        <v>0.24777122712206739</v>
      </c>
      <c r="O207" s="144">
        <f t="shared" ca="1" si="80"/>
        <v>0.24777122712206739</v>
      </c>
      <c r="P207" s="144">
        <f t="shared" ca="1" si="80"/>
        <v>0.24592457546891236</v>
      </c>
      <c r="Q207" s="144">
        <f t="shared" ca="1" si="80"/>
        <v>0.24592457546891236</v>
      </c>
      <c r="R207" s="144">
        <f t="shared" ca="1" si="80"/>
        <v>0.24592457546891236</v>
      </c>
      <c r="S207" s="144">
        <f t="shared" ca="1" si="80"/>
        <v>0.2440409907826942</v>
      </c>
      <c r="T207" s="144">
        <f t="shared" ca="1" si="80"/>
        <v>0.2440409907826942</v>
      </c>
      <c r="U207" s="144">
        <f t="shared" ca="1" si="80"/>
        <v>0.2440409907826942</v>
      </c>
      <c r="V207" s="144">
        <f t="shared" ca="1" si="80"/>
        <v>0.24211973440275159</v>
      </c>
      <c r="W207" s="144">
        <f t="shared" ca="1" si="80"/>
        <v>0.24211973440275159</v>
      </c>
      <c r="X207" s="144">
        <f t="shared" ca="1" si="80"/>
        <v>0.24211973440275159</v>
      </c>
      <c r="Y207" s="144">
        <f t="shared" ca="1" si="80"/>
        <v>0.24016005289521031</v>
      </c>
      <c r="Z207" s="144">
        <f t="shared" ca="1" si="80"/>
        <v>0.24016005289521031</v>
      </c>
    </row>
    <row r="208" spans="2:26" ht="15.5">
      <c r="B208" s="143" t="s">
        <v>179</v>
      </c>
      <c r="C208" s="141"/>
      <c r="D208" s="141"/>
      <c r="E208" s="141"/>
      <c r="F208" s="142">
        <f ca="1">+F202/Assumptions!$P$131</f>
        <v>0</v>
      </c>
      <c r="G208" s="142">
        <f ca="1">+G202/Assumptions!$P$131</f>
        <v>0</v>
      </c>
      <c r="H208" s="142">
        <f ca="1">+H202/Assumptions!$P$131</f>
        <v>0</v>
      </c>
      <c r="I208" s="142">
        <f ca="1">+I202/Assumptions!$P$131</f>
        <v>0</v>
      </c>
      <c r="J208" s="142">
        <f ca="1">+J202/Assumptions!$P$131</f>
        <v>7.4151214959115516E-2</v>
      </c>
      <c r="K208" s="142">
        <f ca="1">+K202/Assumptions!$P$131</f>
        <v>0.17140449241823102</v>
      </c>
      <c r="L208" s="142">
        <f ca="1">+L202/Assumptions!$P$131</f>
        <v>0.17875514866823092</v>
      </c>
      <c r="M208" s="142">
        <f ca="1">+M202/Assumptions!$P$131</f>
        <v>0.17759756851659561</v>
      </c>
      <c r="N208" s="142">
        <f ca="1">+N202/Assumptions!$P$131</f>
        <v>0.17759756851659561</v>
      </c>
      <c r="O208" s="142">
        <f ca="1">+O202/Assumptions!$P$131</f>
        <v>0.17759756851659561</v>
      </c>
      <c r="P208" s="142">
        <f ca="1">+P202/Assumptions!$P$131</f>
        <v>0.17641683676192751</v>
      </c>
      <c r="Q208" s="142">
        <f ca="1">+Q202/Assumptions!$P$131</f>
        <v>0.17641683676192751</v>
      </c>
      <c r="R208" s="142">
        <f ca="1">+R202/Assumptions!$P$131</f>
        <v>0.17641683676192751</v>
      </c>
      <c r="S208" s="142">
        <f ca="1">+S202/Assumptions!$P$131</f>
        <v>0.17521249037216607</v>
      </c>
      <c r="T208" s="142">
        <f ca="1">+T202/Assumptions!$P$131</f>
        <v>0.17521249037216607</v>
      </c>
      <c r="U208" s="142">
        <f ca="1">+U202/Assumptions!$P$131</f>
        <v>0.17521249037216607</v>
      </c>
      <c r="V208" s="142">
        <f ca="1">+V202/Assumptions!$P$131</f>
        <v>0.17398405705460931</v>
      </c>
      <c r="W208" s="142">
        <f ca="1">+W202/Assumptions!$P$131</f>
        <v>0.17398405705460931</v>
      </c>
      <c r="X208" s="142">
        <f ca="1">+X202/Assumptions!$P$131</f>
        <v>0.17398405705460931</v>
      </c>
      <c r="Y208" s="142">
        <f ca="1">+Y202/Assumptions!$P$131</f>
        <v>0.17273105507070158</v>
      </c>
      <c r="Z208" s="142">
        <f ca="1">+Z202/Assumptions!$P$131</f>
        <v>0.17273105507070158</v>
      </c>
    </row>
    <row r="210" spans="2:26" ht="15.5">
      <c r="B210" s="148" t="s">
        <v>31</v>
      </c>
      <c r="F210" s="150">
        <f>+Assumptions!$H$22</f>
        <v>46022</v>
      </c>
      <c r="G210" s="150">
        <f>+EOMONTH(F210,12)</f>
        <v>46387</v>
      </c>
      <c r="H210" s="150">
        <f t="shared" ref="H210:Z210" si="81">+EOMONTH(G210,12)</f>
        <v>46752</v>
      </c>
      <c r="I210" s="150">
        <f t="shared" si="81"/>
        <v>47118</v>
      </c>
      <c r="J210" s="150">
        <f t="shared" si="81"/>
        <v>47483</v>
      </c>
      <c r="K210" s="150">
        <f t="shared" si="81"/>
        <v>47848</v>
      </c>
      <c r="L210" s="150">
        <f t="shared" si="81"/>
        <v>48213</v>
      </c>
      <c r="M210" s="150">
        <f t="shared" si="81"/>
        <v>48579</v>
      </c>
      <c r="N210" s="150">
        <f t="shared" si="81"/>
        <v>48944</v>
      </c>
      <c r="O210" s="150">
        <f t="shared" si="81"/>
        <v>49309</v>
      </c>
      <c r="P210" s="150">
        <f t="shared" si="81"/>
        <v>49674</v>
      </c>
      <c r="Q210" s="150">
        <f t="shared" si="81"/>
        <v>50040</v>
      </c>
      <c r="R210" s="150">
        <f t="shared" si="81"/>
        <v>50405</v>
      </c>
      <c r="S210" s="150">
        <f t="shared" si="81"/>
        <v>50770</v>
      </c>
      <c r="T210" s="150">
        <f t="shared" si="81"/>
        <v>51135</v>
      </c>
      <c r="U210" s="150">
        <f t="shared" si="81"/>
        <v>51501</v>
      </c>
      <c r="V210" s="150">
        <f t="shared" si="81"/>
        <v>51866</v>
      </c>
      <c r="W210" s="150">
        <f t="shared" si="81"/>
        <v>52231</v>
      </c>
      <c r="X210" s="150">
        <f t="shared" si="81"/>
        <v>52596</v>
      </c>
      <c r="Y210" s="150">
        <f t="shared" si="81"/>
        <v>52962</v>
      </c>
      <c r="Z210" s="150">
        <f t="shared" si="81"/>
        <v>53327</v>
      </c>
    </row>
    <row r="211" spans="2:26">
      <c r="B211" s="33" t="s">
        <v>313</v>
      </c>
      <c r="F211" s="34">
        <v>0</v>
      </c>
      <c r="G211" s="34">
        <f t="shared" ref="G211:Z211" si="82">+F214</f>
        <v>0</v>
      </c>
      <c r="H211" s="34">
        <f t="shared" si="82"/>
        <v>0</v>
      </c>
      <c r="I211" s="34">
        <f t="shared" si="82"/>
        <v>0</v>
      </c>
      <c r="J211" s="34">
        <f t="shared" si="82"/>
        <v>0</v>
      </c>
      <c r="K211" s="34">
        <f t="shared" si="82"/>
        <v>0</v>
      </c>
      <c r="L211" s="34">
        <f t="shared" si="82"/>
        <v>0</v>
      </c>
      <c r="M211" s="34">
        <f t="shared" si="82"/>
        <v>0</v>
      </c>
      <c r="N211" s="34">
        <f t="shared" si="82"/>
        <v>0</v>
      </c>
      <c r="O211" s="34">
        <f t="shared" si="82"/>
        <v>0</v>
      </c>
      <c r="P211" s="34">
        <f t="shared" si="82"/>
        <v>0</v>
      </c>
      <c r="Q211" s="34">
        <f t="shared" si="82"/>
        <v>0</v>
      </c>
      <c r="R211" s="34">
        <f t="shared" si="82"/>
        <v>0</v>
      </c>
      <c r="S211" s="34">
        <f t="shared" si="82"/>
        <v>0</v>
      </c>
      <c r="T211" s="34">
        <f t="shared" si="82"/>
        <v>0</v>
      </c>
      <c r="U211" s="34">
        <f t="shared" si="82"/>
        <v>0</v>
      </c>
      <c r="V211" s="34">
        <f t="shared" si="82"/>
        <v>0</v>
      </c>
      <c r="W211" s="34">
        <f t="shared" si="82"/>
        <v>0</v>
      </c>
      <c r="X211" s="34">
        <f t="shared" si="82"/>
        <v>0</v>
      </c>
      <c r="Y211" s="34">
        <f t="shared" si="82"/>
        <v>0</v>
      </c>
      <c r="Z211" s="34">
        <f t="shared" si="82"/>
        <v>0</v>
      </c>
    </row>
    <row r="212" spans="2:26">
      <c r="B212" s="33" t="s">
        <v>324</v>
      </c>
      <c r="F212" s="151">
        <f>+IF(YEAR(F$140)=YEAR(Assumptions!$H$26),'S&amp;U'!$T$18,0)</f>
        <v>0</v>
      </c>
      <c r="G212" s="151">
        <f>+IF(YEAR(G$140)=YEAR(Assumptions!$H$26),'S&amp;U'!$T$18,0)</f>
        <v>0</v>
      </c>
      <c r="H212" s="151">
        <f>+IF(YEAR(H$140)=YEAR(Assumptions!$H$26),'S&amp;U'!$T$18,0)</f>
        <v>0</v>
      </c>
      <c r="I212" s="151">
        <f>+IF(YEAR(I$140)=YEAR(Assumptions!$H$26),'S&amp;U'!$T$18,0)</f>
        <v>0</v>
      </c>
      <c r="J212" s="151">
        <f>+IF(YEAR(J$140)=YEAR(Assumptions!$H$26),'S&amp;U'!$T$18,0)</f>
        <v>0</v>
      </c>
      <c r="K212" s="151">
        <f>+IF(YEAR(K$140)=YEAR(Assumptions!$H$26),'S&amp;U'!$T$18,0)</f>
        <v>0</v>
      </c>
      <c r="L212" s="151">
        <f>+IF(YEAR(L$140)=YEAR(Assumptions!$H$26),'S&amp;U'!$T$18,0)</f>
        <v>0</v>
      </c>
      <c r="M212" s="151">
        <f>+IF(YEAR(M$140)=YEAR(Assumptions!$H$26),'S&amp;U'!$T$18,0)</f>
        <v>0</v>
      </c>
      <c r="N212" s="151">
        <f>+IF(YEAR(N$140)=YEAR(Assumptions!$H$26),'S&amp;U'!$T$18,0)</f>
        <v>0</v>
      </c>
      <c r="O212" s="151">
        <f>+IF(YEAR(O$140)=YEAR(Assumptions!$H$26),'S&amp;U'!$T$18,0)</f>
        <v>0</v>
      </c>
      <c r="P212" s="151">
        <f>+IF(YEAR(P$140)=YEAR(Assumptions!$H$26),'S&amp;U'!$T$18,0)</f>
        <v>0</v>
      </c>
      <c r="Q212" s="151">
        <f>+IF(YEAR(Q$140)=YEAR(Assumptions!$H$26),'S&amp;U'!$T$18,0)</f>
        <v>0</v>
      </c>
      <c r="R212" s="151">
        <f>+IF(YEAR(R$140)=YEAR(Assumptions!$H$26),'S&amp;U'!$T$18,0)</f>
        <v>0</v>
      </c>
      <c r="S212" s="151">
        <f>+IF(YEAR(S$140)=YEAR(Assumptions!$H$26),'S&amp;U'!$T$18,0)</f>
        <v>0</v>
      </c>
      <c r="T212" s="151">
        <f>+IF(YEAR(T$140)=YEAR(Assumptions!$H$26),'S&amp;U'!$T$18,0)</f>
        <v>0</v>
      </c>
      <c r="U212" s="151">
        <f>+IF(YEAR(U$140)=YEAR(Assumptions!$H$26),'S&amp;U'!$T$18,0)</f>
        <v>0</v>
      </c>
      <c r="V212" s="151">
        <f>+IF(YEAR(V$140)=YEAR(Assumptions!$H$26),'S&amp;U'!$T$18,0)</f>
        <v>0</v>
      </c>
      <c r="W212" s="151">
        <f>+IF(YEAR(W$140)=YEAR(Assumptions!$H$26),'S&amp;U'!$T$18,0)</f>
        <v>0</v>
      </c>
      <c r="X212" s="151">
        <f>+IF(YEAR(X$140)=YEAR(Assumptions!$H$26),'S&amp;U'!$T$18,0)</f>
        <v>0</v>
      </c>
      <c r="Y212" s="151">
        <f>+IF(YEAR(Y$140)=YEAR(Assumptions!$H$26),'S&amp;U'!$T$18,0)</f>
        <v>0</v>
      </c>
      <c r="Z212" s="151">
        <f>+IF(YEAR(Z$140)=YEAR(Assumptions!$H$26),'S&amp;U'!$T$18,0)</f>
        <v>0</v>
      </c>
    </row>
    <row r="213" spans="2:26">
      <c r="B213" s="33" t="s">
        <v>156</v>
      </c>
      <c r="F213" s="151">
        <v>0</v>
      </c>
      <c r="G213" s="151">
        <v>0</v>
      </c>
      <c r="H213" s="151">
        <v>0</v>
      </c>
      <c r="I213" s="151">
        <v>0</v>
      </c>
      <c r="J213" s="151">
        <v>0</v>
      </c>
      <c r="K213" s="151">
        <v>0</v>
      </c>
      <c r="L213" s="151">
        <v>0</v>
      </c>
      <c r="M213" s="151">
        <v>0</v>
      </c>
      <c r="N213" s="151">
        <v>0</v>
      </c>
      <c r="O213" s="151">
        <v>0</v>
      </c>
      <c r="P213" s="151">
        <v>0</v>
      </c>
      <c r="Q213" s="151">
        <v>0</v>
      </c>
      <c r="R213" s="151">
        <v>0</v>
      </c>
      <c r="S213" s="151">
        <v>0</v>
      </c>
      <c r="T213" s="151">
        <v>0</v>
      </c>
      <c r="U213" s="151">
        <v>0</v>
      </c>
      <c r="V213" s="151">
        <v>0</v>
      </c>
      <c r="W213" s="151">
        <v>0</v>
      </c>
      <c r="X213" s="151">
        <v>0</v>
      </c>
      <c r="Y213" s="151">
        <v>0</v>
      </c>
      <c r="Z213" s="151">
        <v>0</v>
      </c>
    </row>
    <row r="214" spans="2:26">
      <c r="B214" s="33" t="s">
        <v>315</v>
      </c>
      <c r="F214" s="151">
        <f t="shared" ref="F214:N214" si="83">+SUM(F211:F213)</f>
        <v>0</v>
      </c>
      <c r="G214" s="151">
        <f t="shared" si="83"/>
        <v>0</v>
      </c>
      <c r="H214" s="151">
        <f t="shared" si="83"/>
        <v>0</v>
      </c>
      <c r="I214" s="151">
        <f t="shared" si="83"/>
        <v>0</v>
      </c>
      <c r="J214" s="151">
        <f t="shared" si="83"/>
        <v>0</v>
      </c>
      <c r="K214" s="151">
        <f t="shared" si="83"/>
        <v>0</v>
      </c>
      <c r="L214" s="151">
        <f t="shared" si="83"/>
        <v>0</v>
      </c>
      <c r="M214" s="151">
        <f t="shared" si="83"/>
        <v>0</v>
      </c>
      <c r="N214" s="151">
        <f t="shared" si="83"/>
        <v>0</v>
      </c>
      <c r="O214" s="151">
        <f t="shared" ref="O214" si="84">+SUM(O211:O213)</f>
        <v>0</v>
      </c>
      <c r="P214" s="151">
        <f t="shared" ref="P214:Z214" si="85">+SUM(P211:P213)</f>
        <v>0</v>
      </c>
      <c r="Q214" s="151">
        <f t="shared" si="85"/>
        <v>0</v>
      </c>
      <c r="R214" s="151">
        <f t="shared" si="85"/>
        <v>0</v>
      </c>
      <c r="S214" s="151">
        <f t="shared" si="85"/>
        <v>0</v>
      </c>
      <c r="T214" s="151">
        <f t="shared" si="85"/>
        <v>0</v>
      </c>
      <c r="U214" s="151">
        <f t="shared" si="85"/>
        <v>0</v>
      </c>
      <c r="V214" s="151">
        <f t="shared" si="85"/>
        <v>0</v>
      </c>
      <c r="W214" s="151">
        <f t="shared" si="85"/>
        <v>0</v>
      </c>
      <c r="X214" s="151">
        <f t="shared" si="85"/>
        <v>0</v>
      </c>
      <c r="Y214" s="151">
        <f t="shared" si="85"/>
        <v>0</v>
      </c>
      <c r="Z214" s="151">
        <f t="shared" si="85"/>
        <v>0</v>
      </c>
    </row>
    <row r="216" spans="2:26">
      <c r="B216" s="41" t="s">
        <v>314</v>
      </c>
      <c r="F216" s="34">
        <f>+F214*Assumptions!$P$157</f>
        <v>0</v>
      </c>
      <c r="G216" s="34">
        <f>+G214*Assumptions!$P$157</f>
        <v>0</v>
      </c>
      <c r="H216" s="34">
        <f>+H214*Assumptions!$P$157</f>
        <v>0</v>
      </c>
      <c r="I216" s="34">
        <f>+I214*Assumptions!$P$157</f>
        <v>0</v>
      </c>
      <c r="J216" s="34">
        <f>+J214*Assumptions!$P$157</f>
        <v>0</v>
      </c>
      <c r="K216" s="34">
        <f>+K214*Assumptions!$P$157</f>
        <v>0</v>
      </c>
      <c r="L216" s="34">
        <f>+L214*Assumptions!$P$157</f>
        <v>0</v>
      </c>
      <c r="M216" s="34">
        <f>+M214*Assumptions!$P$157</f>
        <v>0</v>
      </c>
      <c r="N216" s="34">
        <f>+N214*Assumptions!$P$157</f>
        <v>0</v>
      </c>
      <c r="O216" s="34">
        <f>+O214*Assumptions!$P$157</f>
        <v>0</v>
      </c>
      <c r="P216" s="34">
        <f>+P214*Assumptions!$P$157</f>
        <v>0</v>
      </c>
      <c r="Q216" s="34">
        <f>+Q214*Assumptions!$P$157</f>
        <v>0</v>
      </c>
      <c r="R216" s="34">
        <f>+R214*Assumptions!$P$157</f>
        <v>0</v>
      </c>
      <c r="S216" s="34">
        <f>+S214*Assumptions!$P$157</f>
        <v>0</v>
      </c>
      <c r="T216" s="34">
        <f>+T214*Assumptions!$P$157</f>
        <v>0</v>
      </c>
      <c r="U216" s="34">
        <f>+U214*Assumptions!$P$157</f>
        <v>0</v>
      </c>
      <c r="V216" s="34">
        <f>+V214*Assumptions!$P$157</f>
        <v>0</v>
      </c>
      <c r="W216" s="34">
        <f>+W214*Assumptions!$P$157</f>
        <v>0</v>
      </c>
      <c r="X216" s="34">
        <f>+X214*Assumptions!$P$157</f>
        <v>0</v>
      </c>
      <c r="Y216" s="34">
        <f>+Y214*Assumptions!$P$157</f>
        <v>0</v>
      </c>
      <c r="Z216" s="34">
        <f>+Z214*Assumptions!$P$157</f>
        <v>0</v>
      </c>
    </row>
    <row r="217" spans="2:26">
      <c r="B217" s="137" t="s">
        <v>323</v>
      </c>
      <c r="C217" s="137"/>
      <c r="D217" s="137"/>
      <c r="E217" s="137"/>
      <c r="F217" s="129">
        <f t="shared" ref="F217:K217" si="86">+F216-F213</f>
        <v>0</v>
      </c>
      <c r="G217" s="129">
        <f t="shared" si="86"/>
        <v>0</v>
      </c>
      <c r="H217" s="129">
        <f t="shared" si="86"/>
        <v>0</v>
      </c>
      <c r="I217" s="129">
        <f t="shared" si="86"/>
        <v>0</v>
      </c>
      <c r="J217" s="129">
        <f t="shared" si="86"/>
        <v>0</v>
      </c>
      <c r="K217" s="129">
        <f t="shared" si="86"/>
        <v>0</v>
      </c>
      <c r="L217" s="129">
        <f>+L216-L213</f>
        <v>0</v>
      </c>
      <c r="M217" s="129">
        <f t="shared" ref="M217:Z217" si="87">+M216-M213</f>
        <v>0</v>
      </c>
      <c r="N217" s="129">
        <f t="shared" si="87"/>
        <v>0</v>
      </c>
      <c r="O217" s="129">
        <f t="shared" si="87"/>
        <v>0</v>
      </c>
      <c r="P217" s="129">
        <f t="shared" si="87"/>
        <v>0</v>
      </c>
      <c r="Q217" s="129">
        <f t="shared" si="87"/>
        <v>0</v>
      </c>
      <c r="R217" s="129">
        <f t="shared" si="87"/>
        <v>0</v>
      </c>
      <c r="S217" s="129">
        <f t="shared" si="87"/>
        <v>0</v>
      </c>
      <c r="T217" s="129">
        <f t="shared" si="87"/>
        <v>0</v>
      </c>
      <c r="U217" s="129">
        <f t="shared" si="87"/>
        <v>0</v>
      </c>
      <c r="V217" s="129">
        <f t="shared" si="87"/>
        <v>0</v>
      </c>
      <c r="W217" s="129">
        <f t="shared" si="87"/>
        <v>0</v>
      </c>
      <c r="X217" s="129">
        <f t="shared" si="87"/>
        <v>0</v>
      </c>
      <c r="Y217" s="129">
        <f t="shared" si="87"/>
        <v>0</v>
      </c>
      <c r="Z217" s="129">
        <f t="shared" si="87"/>
        <v>0</v>
      </c>
    </row>
    <row r="218" spans="2:26" ht="15.5">
      <c r="B218" s="146" t="s">
        <v>172</v>
      </c>
      <c r="F218" s="180" t="str">
        <f t="shared" ref="F218:J218" ca="1" si="88">+IFERROR(F206/F217,"")</f>
        <v/>
      </c>
      <c r="G218" s="180" t="str">
        <f t="shared" ca="1" si="88"/>
        <v/>
      </c>
      <c r="H218" s="180" t="str">
        <f t="shared" ca="1" si="88"/>
        <v/>
      </c>
      <c r="I218" s="180" t="str">
        <f t="shared" ca="1" si="88"/>
        <v/>
      </c>
      <c r="J218" s="180" t="str">
        <f t="shared" ca="1" si="88"/>
        <v/>
      </c>
      <c r="K218" s="180" t="str">
        <f ca="1">+IFERROR(K206/K217,"")</f>
        <v/>
      </c>
      <c r="L218" s="180" t="str">
        <f t="shared" ref="L218:Z218" ca="1" si="89">+IFERROR(L206/L217,"")</f>
        <v/>
      </c>
      <c r="M218" s="180" t="str">
        <f t="shared" ca="1" si="89"/>
        <v/>
      </c>
      <c r="N218" s="180" t="str">
        <f t="shared" ca="1" si="89"/>
        <v/>
      </c>
      <c r="O218" s="180" t="str">
        <f t="shared" ca="1" si="89"/>
        <v/>
      </c>
      <c r="P218" s="180" t="str">
        <f t="shared" ca="1" si="89"/>
        <v/>
      </c>
      <c r="Q218" s="180" t="str">
        <f t="shared" ca="1" si="89"/>
        <v/>
      </c>
      <c r="R218" s="180" t="str">
        <f t="shared" ca="1" si="89"/>
        <v/>
      </c>
      <c r="S218" s="180" t="str">
        <f t="shared" ca="1" si="89"/>
        <v/>
      </c>
      <c r="T218" s="180" t="str">
        <f t="shared" ca="1" si="89"/>
        <v/>
      </c>
      <c r="U218" s="180" t="str">
        <f t="shared" ca="1" si="89"/>
        <v/>
      </c>
      <c r="V218" s="180" t="str">
        <f t="shared" ca="1" si="89"/>
        <v/>
      </c>
      <c r="W218" s="180" t="str">
        <f t="shared" ca="1" si="89"/>
        <v/>
      </c>
      <c r="X218" s="180" t="str">
        <f t="shared" ca="1" si="89"/>
        <v/>
      </c>
      <c r="Y218" s="180" t="str">
        <f t="shared" ca="1" si="89"/>
        <v/>
      </c>
      <c r="Z218" s="180" t="str">
        <f t="shared" ca="1" si="89"/>
        <v/>
      </c>
    </row>
    <row r="220" spans="2:26">
      <c r="B220" s="41" t="s">
        <v>150</v>
      </c>
      <c r="F220" s="34">
        <f>+F212*Assumptions!$P$158</f>
        <v>0</v>
      </c>
      <c r="G220" s="34">
        <f>+G212*Assumptions!$P$158</f>
        <v>0</v>
      </c>
      <c r="H220" s="34">
        <f>+H212*Assumptions!$P$158</f>
        <v>0</v>
      </c>
      <c r="I220" s="34">
        <f>+I212*Assumptions!$P$158</f>
        <v>0</v>
      </c>
      <c r="J220" s="34">
        <f>+J212*Assumptions!$P$158</f>
        <v>0</v>
      </c>
      <c r="K220" s="34">
        <f>+K212*Assumptions!$P$158</f>
        <v>0</v>
      </c>
      <c r="L220" s="34">
        <f>+L212*Assumptions!$P$158</f>
        <v>0</v>
      </c>
      <c r="M220" s="34">
        <f>+M212*Assumptions!$P$158</f>
        <v>0</v>
      </c>
      <c r="N220" s="34">
        <f>+N212*Assumptions!$P$158</f>
        <v>0</v>
      </c>
      <c r="O220" s="34">
        <f>+O212*Assumptions!$P$158</f>
        <v>0</v>
      </c>
      <c r="P220" s="34">
        <f>+P212*Assumptions!$P$158</f>
        <v>0</v>
      </c>
      <c r="Q220" s="34">
        <f>+Q212*Assumptions!$P$158</f>
        <v>0</v>
      </c>
      <c r="R220" s="34">
        <f>+R212*Assumptions!$P$158</f>
        <v>0</v>
      </c>
      <c r="S220" s="34">
        <f>+S212*Assumptions!$P$158</f>
        <v>0</v>
      </c>
      <c r="T220" s="34">
        <f>+T212*Assumptions!$P$158</f>
        <v>0</v>
      </c>
      <c r="U220" s="34">
        <f>+U212*Assumptions!$P$158</f>
        <v>0</v>
      </c>
      <c r="V220" s="34">
        <f>+V212*Assumptions!$P$158</f>
        <v>0</v>
      </c>
      <c r="W220" s="34">
        <f>+W212*Assumptions!$P$158</f>
        <v>0</v>
      </c>
      <c r="X220" s="34">
        <f>+X212*Assumptions!$P$158</f>
        <v>0</v>
      </c>
      <c r="Y220" s="34">
        <f>+Y212*Assumptions!$P$158</f>
        <v>0</v>
      </c>
      <c r="Z220" s="34">
        <f>+Z212*Assumptions!$P$158</f>
        <v>0</v>
      </c>
    </row>
    <row r="222" spans="2:26">
      <c r="B222" s="137" t="s">
        <v>316</v>
      </c>
      <c r="C222" s="137"/>
      <c r="D222" s="137"/>
      <c r="E222" s="137"/>
      <c r="F222" s="129">
        <f ca="1">+F206-F217-F220</f>
        <v>0</v>
      </c>
      <c r="G222" s="129">
        <f t="shared" ref="G222:Z222" ca="1" si="90">+G206-G217-G220</f>
        <v>0</v>
      </c>
      <c r="H222" s="129">
        <f t="shared" ca="1" si="90"/>
        <v>0</v>
      </c>
      <c r="I222" s="129">
        <f t="shared" ca="1" si="90"/>
        <v>0</v>
      </c>
      <c r="J222" s="129">
        <f t="shared" ca="1" si="90"/>
        <v>5.2445403217292411E-3</v>
      </c>
      <c r="K222" s="129">
        <f t="shared" ca="1" si="90"/>
        <v>1.2216713143458482E-2</v>
      </c>
      <c r="L222" s="129">
        <f t="shared" ca="1" si="90"/>
        <v>1.2766414393458473E-2</v>
      </c>
      <c r="M222" s="129">
        <f t="shared" ca="1" si="90"/>
        <v>1.2673807981327648E-2</v>
      </c>
      <c r="N222" s="129">
        <f t="shared" ca="1" si="90"/>
        <v>1.2673807981327648E-2</v>
      </c>
      <c r="O222" s="129">
        <f t="shared" ca="1" si="90"/>
        <v>1.2673807981327648E-2</v>
      </c>
      <c r="P222" s="129">
        <f t="shared" ca="1" si="90"/>
        <v>1.2579349440954202E-2</v>
      </c>
      <c r="Q222" s="129">
        <f t="shared" ca="1" si="90"/>
        <v>1.2579349440954202E-2</v>
      </c>
      <c r="R222" s="129">
        <f t="shared" ca="1" si="90"/>
        <v>1.2579349440954202E-2</v>
      </c>
      <c r="S222" s="129">
        <f t="shared" ca="1" si="90"/>
        <v>1.2483001729773286E-2</v>
      </c>
      <c r="T222" s="129">
        <f t="shared" ca="1" si="90"/>
        <v>1.2483001729773286E-2</v>
      </c>
      <c r="U222" s="129">
        <f t="shared" ca="1" si="90"/>
        <v>1.2483001729773286E-2</v>
      </c>
      <c r="V222" s="129">
        <f t="shared" ca="1" si="90"/>
        <v>1.2384727064368746E-2</v>
      </c>
      <c r="W222" s="129">
        <f t="shared" ca="1" si="90"/>
        <v>1.2384727064368746E-2</v>
      </c>
      <c r="X222" s="129">
        <f t="shared" ca="1" si="90"/>
        <v>1.2384727064368746E-2</v>
      </c>
      <c r="Y222" s="129">
        <f t="shared" ca="1" si="90"/>
        <v>1.2284486905656125E-2</v>
      </c>
      <c r="Z222" s="129">
        <f t="shared" ca="1" si="90"/>
        <v>1.2284486905656125E-2</v>
      </c>
    </row>
    <row r="224" spans="2:26" ht="15.5">
      <c r="B224" s="148" t="s">
        <v>317</v>
      </c>
    </row>
    <row r="225" spans="2:26">
      <c r="B225" s="33" t="s">
        <v>318</v>
      </c>
      <c r="F225" s="34">
        <f>+IF(YEAR(F$140)=YEAR(Assumptions!$H$30),F208,0)</f>
        <v>0</v>
      </c>
      <c r="G225" s="34">
        <f>+IF(YEAR(G$140)=YEAR(Assumptions!$H$30),G208,0)</f>
        <v>0</v>
      </c>
      <c r="H225" s="34">
        <f>+IF(YEAR(H$140)=YEAR(Assumptions!$H$30),H208,0)</f>
        <v>0</v>
      </c>
      <c r="I225" s="34">
        <f>+IF(YEAR(I$140)=YEAR(Assumptions!$H$30),I208,0)</f>
        <v>0</v>
      </c>
      <c r="J225" s="34">
        <f>+IF(YEAR(J$140)=YEAR(Assumptions!$H$30),J208,0)</f>
        <v>0</v>
      </c>
      <c r="K225" s="34">
        <f>+IF(YEAR(K$140)=YEAR(Assumptions!$H$30),K208,0)</f>
        <v>0</v>
      </c>
      <c r="L225" s="34">
        <f ca="1">+IF(YEAR(L$140)=YEAR(Assumptions!$H$30),L208,0)</f>
        <v>0.17875514866823092</v>
      </c>
      <c r="M225" s="34">
        <f>+IF(YEAR(M$140)=YEAR(Assumptions!$H$30),M208,0)</f>
        <v>0</v>
      </c>
      <c r="N225" s="34">
        <f>+IF(YEAR(N$140)=YEAR(Assumptions!$H$30),N208,0)</f>
        <v>0</v>
      </c>
      <c r="O225" s="34">
        <f>+IF(YEAR(O$140)=YEAR(Assumptions!$H$30),O208,0)</f>
        <v>0</v>
      </c>
      <c r="P225" s="34">
        <f>+IF(YEAR(P$140)=YEAR(Assumptions!$H$30),P208,0)</f>
        <v>0</v>
      </c>
      <c r="Q225" s="34">
        <f>+IF(YEAR(Q$140)=YEAR(Assumptions!$H$30),Q208,0)</f>
        <v>0</v>
      </c>
      <c r="R225" s="34">
        <f>+IF(YEAR(R$140)=YEAR(Assumptions!$H$30),R208,0)</f>
        <v>0</v>
      </c>
      <c r="S225" s="34">
        <f>+IF(YEAR(S$140)=YEAR(Assumptions!$H$30),S208,0)</f>
        <v>0</v>
      </c>
      <c r="T225" s="34">
        <f>+IF(YEAR(T$140)=YEAR(Assumptions!$H$30),T208,0)</f>
        <v>0</v>
      </c>
      <c r="U225" s="34">
        <f>+IF(YEAR(U$140)=YEAR(Assumptions!$H$30),U208,0)</f>
        <v>0</v>
      </c>
      <c r="V225" s="34">
        <f>+IF(YEAR(V$140)=YEAR(Assumptions!$H$30),V208,0)</f>
        <v>0</v>
      </c>
      <c r="W225" s="34">
        <f>+IF(YEAR(W$140)=YEAR(Assumptions!$H$30),W208,0)</f>
        <v>0</v>
      </c>
      <c r="X225" s="34">
        <f>+IF(YEAR(X$140)=YEAR(Assumptions!$H$30),X208,0)</f>
        <v>0</v>
      </c>
      <c r="Y225" s="34">
        <f>+IF(YEAR(Y$140)=YEAR(Assumptions!$H$30),Y208,0)</f>
        <v>0</v>
      </c>
      <c r="Z225" s="34">
        <f>+IF(YEAR(Z$140)=YEAR(Assumptions!$H$30),Z208,0)</f>
        <v>0</v>
      </c>
    </row>
    <row r="226" spans="2:26">
      <c r="B226" s="33" t="s">
        <v>319</v>
      </c>
      <c r="F226" s="151">
        <f>-F225*Assumptions!$P$136</f>
        <v>0</v>
      </c>
      <c r="G226" s="151">
        <f>-G225*Assumptions!$P$136</f>
        <v>0</v>
      </c>
      <c r="H226" s="151">
        <f>-H225*Assumptions!$P$136</f>
        <v>0</v>
      </c>
      <c r="I226" s="151">
        <f>-I225*Assumptions!$P$136</f>
        <v>0</v>
      </c>
      <c r="J226" s="151">
        <f>-J225*Assumptions!$P$136</f>
        <v>0</v>
      </c>
      <c r="K226" s="151">
        <f>-K225*Assumptions!$P$136</f>
        <v>0</v>
      </c>
      <c r="L226" s="151">
        <f ca="1">-L225*Assumptions!$P$136</f>
        <v>-3.5751029733646182E-3</v>
      </c>
      <c r="M226" s="151">
        <f>-M225*Assumptions!$P$136</f>
        <v>0</v>
      </c>
      <c r="N226" s="151">
        <f>-N225*Assumptions!$P$136</f>
        <v>0</v>
      </c>
      <c r="O226" s="151">
        <f>-O225*Assumptions!$P$136</f>
        <v>0</v>
      </c>
      <c r="P226" s="151">
        <f>-P225*Assumptions!$P$136</f>
        <v>0</v>
      </c>
      <c r="Q226" s="151">
        <f>-Q225*Assumptions!$P$136</f>
        <v>0</v>
      </c>
      <c r="R226" s="151">
        <f>-R225*Assumptions!$P$136</f>
        <v>0</v>
      </c>
      <c r="S226" s="151">
        <f>-S225*Assumptions!$P$136</f>
        <v>0</v>
      </c>
      <c r="T226" s="151">
        <f>-T225*Assumptions!$P$136</f>
        <v>0</v>
      </c>
      <c r="U226" s="151">
        <f>-U225*Assumptions!$P$136</f>
        <v>0</v>
      </c>
      <c r="V226" s="151">
        <f>-V225*Assumptions!$P$136</f>
        <v>0</v>
      </c>
      <c r="W226" s="151">
        <f>-W225*Assumptions!$P$136</f>
        <v>0</v>
      </c>
      <c r="X226" s="151">
        <f>-X225*Assumptions!$P$136</f>
        <v>0</v>
      </c>
      <c r="Y226" s="151">
        <f>-Y225*Assumptions!$P$136</f>
        <v>0</v>
      </c>
      <c r="Z226" s="151">
        <f>-Z225*Assumptions!$P$136</f>
        <v>0</v>
      </c>
    </row>
    <row r="227" spans="2:26">
      <c r="B227" s="33" t="s">
        <v>320</v>
      </c>
      <c r="F227" s="151">
        <f>+IF(YEAR(F$140)=YEAR(Assumptions!$H$30),-F214,0)</f>
        <v>0</v>
      </c>
      <c r="G227" s="151">
        <f>+IF(YEAR(G$140)=YEAR(Assumptions!$H$30),-G214,0)</f>
        <v>0</v>
      </c>
      <c r="H227" s="151">
        <f>+IF(YEAR(H$140)=YEAR(Assumptions!$H$30),-H214,0)</f>
        <v>0</v>
      </c>
      <c r="I227" s="151">
        <f>+IF(YEAR(I$140)=YEAR(Assumptions!$H$30),-I214,0)</f>
        <v>0</v>
      </c>
      <c r="J227" s="151">
        <f>+IF(YEAR(J$140)=YEAR(Assumptions!$H$30),-J214,0)</f>
        <v>0</v>
      </c>
      <c r="K227" s="151">
        <f>+IF(YEAR(K$140)=YEAR(Assumptions!$H$30),-K214,0)</f>
        <v>0</v>
      </c>
      <c r="L227" s="151">
        <f>+IF(YEAR(L$140)=YEAR(Assumptions!$H$30),-L214,0)</f>
        <v>0</v>
      </c>
      <c r="M227" s="151">
        <f>+IF(YEAR(M$140)=YEAR(Assumptions!$H$30),-M214,0)</f>
        <v>0</v>
      </c>
      <c r="N227" s="151">
        <f>+IF(YEAR(N$140)=YEAR(Assumptions!$H$30),-N214,0)</f>
        <v>0</v>
      </c>
      <c r="O227" s="151">
        <f>+IF(YEAR(O$140)=YEAR(Assumptions!$H$30),-O214,0)</f>
        <v>0</v>
      </c>
      <c r="P227" s="151">
        <f>+IF(YEAR(P$140)=YEAR(Assumptions!$H$30),-P214,0)</f>
        <v>0</v>
      </c>
      <c r="Q227" s="151">
        <f>+IF(YEAR(Q$140)=YEAR(Assumptions!$H$30),-Q214,0)</f>
        <v>0</v>
      </c>
      <c r="R227" s="151">
        <f>+IF(YEAR(R$140)=YEAR(Assumptions!$H$30),-R214,0)</f>
        <v>0</v>
      </c>
      <c r="S227" s="151">
        <f>+IF(YEAR(S$140)=YEAR(Assumptions!$H$30),-S214,0)</f>
        <v>0</v>
      </c>
      <c r="T227" s="151">
        <f>+IF(YEAR(T$140)=YEAR(Assumptions!$H$30),-T214,0)</f>
        <v>0</v>
      </c>
      <c r="U227" s="151">
        <f>+IF(YEAR(U$140)=YEAR(Assumptions!$H$30),-U214,0)</f>
        <v>0</v>
      </c>
      <c r="V227" s="151">
        <f>+IF(YEAR(V$140)=YEAR(Assumptions!$H$30),-V214,0)</f>
        <v>0</v>
      </c>
      <c r="W227" s="151">
        <f>+IF(YEAR(W$140)=YEAR(Assumptions!$H$30),-W214,0)</f>
        <v>0</v>
      </c>
      <c r="X227" s="151">
        <f>+IF(YEAR(X$140)=YEAR(Assumptions!$H$30),-X214,0)</f>
        <v>0</v>
      </c>
      <c r="Y227" s="151">
        <f>+IF(YEAR(Y$140)=YEAR(Assumptions!$H$30),-Y214,0)</f>
        <v>0</v>
      </c>
      <c r="Z227" s="151">
        <f>+IF(YEAR(Z$140)=YEAR(Assumptions!$H$30),-Z214,0)</f>
        <v>0</v>
      </c>
    </row>
    <row r="228" spans="2:26">
      <c r="B228" s="137" t="s">
        <v>321</v>
      </c>
      <c r="C228" s="137"/>
      <c r="D228" s="137"/>
      <c r="E228" s="137"/>
      <c r="F228" s="129">
        <f t="shared" ref="F228:Z228" si="91">+SUM(F225:F227)</f>
        <v>0</v>
      </c>
      <c r="G228" s="129">
        <f t="shared" si="91"/>
        <v>0</v>
      </c>
      <c r="H228" s="129">
        <f t="shared" si="91"/>
        <v>0</v>
      </c>
      <c r="I228" s="129">
        <f t="shared" si="91"/>
        <v>0</v>
      </c>
      <c r="J228" s="129">
        <f t="shared" si="91"/>
        <v>0</v>
      </c>
      <c r="K228" s="129">
        <f t="shared" si="91"/>
        <v>0</v>
      </c>
      <c r="L228" s="129">
        <f t="shared" ca="1" si="91"/>
        <v>0.17518004569486631</v>
      </c>
      <c r="M228" s="129">
        <f t="shared" si="91"/>
        <v>0</v>
      </c>
      <c r="N228" s="129">
        <f t="shared" si="91"/>
        <v>0</v>
      </c>
      <c r="O228" s="129">
        <f t="shared" si="91"/>
        <v>0</v>
      </c>
      <c r="P228" s="129">
        <f t="shared" si="91"/>
        <v>0</v>
      </c>
      <c r="Q228" s="129">
        <f t="shared" si="91"/>
        <v>0</v>
      </c>
      <c r="R228" s="129">
        <f t="shared" si="91"/>
        <v>0</v>
      </c>
      <c r="S228" s="129">
        <f t="shared" si="91"/>
        <v>0</v>
      </c>
      <c r="T228" s="129">
        <f t="shared" si="91"/>
        <v>0</v>
      </c>
      <c r="U228" s="129">
        <f t="shared" si="91"/>
        <v>0</v>
      </c>
      <c r="V228" s="129">
        <f t="shared" si="91"/>
        <v>0</v>
      </c>
      <c r="W228" s="129">
        <f t="shared" si="91"/>
        <v>0</v>
      </c>
      <c r="X228" s="129">
        <f t="shared" si="91"/>
        <v>0</v>
      </c>
      <c r="Y228" s="129">
        <f t="shared" si="91"/>
        <v>0</v>
      </c>
      <c r="Z228" s="129">
        <f t="shared" si="91"/>
        <v>0</v>
      </c>
    </row>
    <row r="230" spans="2:26" ht="15.5">
      <c r="B230" s="138" t="s">
        <v>322</v>
      </c>
      <c r="C230" s="138"/>
      <c r="D230" s="138"/>
      <c r="E230" s="138"/>
      <c r="F230" s="139">
        <f ca="1">+IF(YEAR(F$140)&lt;=YEAR(Assumptions!$H$30),'Phase III Pro Forma'!F228+'Phase III Pro Forma'!F222,0)</f>
        <v>0</v>
      </c>
      <c r="G230" s="139">
        <f ca="1">+IF(YEAR(G$140)&lt;=YEAR(Assumptions!$H$30),'Phase III Pro Forma'!G228+'Phase III Pro Forma'!G222,0)</f>
        <v>0</v>
      </c>
      <c r="H230" s="139">
        <f ca="1">+IF(YEAR(H$140)&lt;=YEAR(Assumptions!$H$30),'Phase III Pro Forma'!H228+'Phase III Pro Forma'!H222,0)</f>
        <v>0</v>
      </c>
      <c r="I230" s="139">
        <f ca="1">+IF(YEAR(I$140)&lt;=YEAR(Assumptions!$H$30),'Phase III Pro Forma'!I228+'Phase III Pro Forma'!I222,0)</f>
        <v>0</v>
      </c>
      <c r="J230" s="139">
        <f ca="1">+IF(YEAR(J$140)&lt;=YEAR(Assumptions!$H$30),'Phase III Pro Forma'!J228+'Phase III Pro Forma'!J222,0)</f>
        <v>5.2445403217292411E-3</v>
      </c>
      <c r="K230" s="139">
        <f ca="1">+IF(YEAR(K$140)&lt;=YEAR(Assumptions!$H$30),'Phase III Pro Forma'!K228+'Phase III Pro Forma'!K222,0)</f>
        <v>1.2216713143458482E-2</v>
      </c>
      <c r="L230" s="139">
        <f ca="1">+IF(YEAR(L$140)&lt;=YEAR(Assumptions!$H$30),'Phase III Pro Forma'!L228+'Phase III Pro Forma'!L222,0)</f>
        <v>0.18794646008832477</v>
      </c>
      <c r="M230" s="139">
        <f>+IF(YEAR(M$140)&lt;=YEAR(Assumptions!$H$30),'Phase III Pro Forma'!M228+'Phase III Pro Forma'!M222,0)</f>
        <v>0</v>
      </c>
      <c r="N230" s="139">
        <f>+IF(YEAR(N$140)&lt;=YEAR(Assumptions!$H$30),'Phase III Pro Forma'!N228+'Phase III Pro Forma'!N222,0)</f>
        <v>0</v>
      </c>
      <c r="O230" s="139">
        <f>+IF(YEAR(O$140)&lt;=YEAR(Assumptions!$H$30),'Phase III Pro Forma'!O228+'Phase III Pro Forma'!O222,0)</f>
        <v>0</v>
      </c>
      <c r="P230" s="139">
        <f>+IF(YEAR(P$140)&lt;=YEAR(Assumptions!$H$30),'Phase III Pro Forma'!P228+'Phase III Pro Forma'!P222,0)</f>
        <v>0</v>
      </c>
      <c r="Q230" s="139">
        <f>+IF(YEAR(Q$140)&lt;=YEAR(Assumptions!$H$30),'Phase III Pro Forma'!Q228+'Phase III Pro Forma'!Q222,0)</f>
        <v>0</v>
      </c>
      <c r="R230" s="139">
        <f>+IF(YEAR(R$140)&lt;=YEAR(Assumptions!$H$30),'Phase III Pro Forma'!R228+'Phase III Pro Forma'!R222,0)</f>
        <v>0</v>
      </c>
      <c r="S230" s="139">
        <f>+IF(YEAR(S$140)&lt;=YEAR(Assumptions!$H$30),'Phase III Pro Forma'!S228+'Phase III Pro Forma'!S222,0)</f>
        <v>0</v>
      </c>
      <c r="T230" s="139">
        <f>+IF(YEAR(T$140)&lt;=YEAR(Assumptions!$H$30),'Phase III Pro Forma'!T228+'Phase III Pro Forma'!T222,0)</f>
        <v>0</v>
      </c>
      <c r="U230" s="139">
        <f>+IF(YEAR(U$140)&lt;=YEAR(Assumptions!$H$30),'Phase III Pro Forma'!U228+'Phase III Pro Forma'!U222,0)</f>
        <v>0</v>
      </c>
      <c r="V230" s="139">
        <f>+IF(YEAR(V$140)&lt;=YEAR(Assumptions!$H$30),'Phase III Pro Forma'!V228+'Phase III Pro Forma'!V222,0)</f>
        <v>0</v>
      </c>
      <c r="W230" s="139">
        <f>+IF(YEAR(W$140)&lt;=YEAR(Assumptions!$H$30),'Phase III Pro Forma'!W228+'Phase III Pro Forma'!W222,0)</f>
        <v>0</v>
      </c>
      <c r="X230" s="139">
        <f>+IF(YEAR(X$140)&lt;=YEAR(Assumptions!$H$30),'Phase III Pro Forma'!X228+'Phase III Pro Forma'!X222,0)</f>
        <v>0</v>
      </c>
      <c r="Y230" s="139">
        <f>+IF(YEAR(Y$140)&lt;=YEAR(Assumptions!$H$30),'Phase III Pro Forma'!Y228+'Phase III Pro Forma'!Y222,0)</f>
        <v>0</v>
      </c>
      <c r="Z230" s="139">
        <f>+IF(YEAR(Z$140)&lt;=YEAR(Assumptions!$H$30),'Phase III Pro Forma'!Z228+'Phase III Pro Forma'!Z222,0)</f>
        <v>0</v>
      </c>
    </row>
    <row r="232" spans="2:26" ht="15.5">
      <c r="B232" s="37" t="s">
        <v>826</v>
      </c>
      <c r="C232" s="38"/>
      <c r="D232" s="38"/>
      <c r="E232" s="38"/>
      <c r="F232" s="136"/>
      <c r="G232" s="136"/>
      <c r="H232" s="136"/>
      <c r="I232" s="136"/>
      <c r="J232" s="136"/>
      <c r="K232" s="136"/>
      <c r="L232" s="136"/>
      <c r="M232" s="136"/>
      <c r="N232" s="136"/>
      <c r="O232" s="136"/>
      <c r="P232" s="136"/>
      <c r="Q232" s="136"/>
      <c r="R232" s="136"/>
      <c r="S232" s="136"/>
      <c r="T232" s="136"/>
      <c r="U232" s="136"/>
      <c r="V232" s="136"/>
      <c r="W232" s="136"/>
      <c r="X232" s="136"/>
      <c r="Y232" s="136"/>
      <c r="Z232" s="136"/>
    </row>
    <row r="234" spans="2:26" ht="15.5">
      <c r="B234" s="148" t="s">
        <v>710</v>
      </c>
      <c r="C234" s="149"/>
      <c r="D234" s="149"/>
      <c r="E234" s="149"/>
      <c r="F234" s="150">
        <f>+Assumptions!$H$22</f>
        <v>46022</v>
      </c>
      <c r="G234" s="150">
        <f>+EOMONTH(F234,12)</f>
        <v>46387</v>
      </c>
      <c r="H234" s="150">
        <f t="shared" ref="H234:Z234" si="92">+EOMONTH(G234,12)</f>
        <v>46752</v>
      </c>
      <c r="I234" s="150">
        <f t="shared" si="92"/>
        <v>47118</v>
      </c>
      <c r="J234" s="150">
        <f t="shared" si="92"/>
        <v>47483</v>
      </c>
      <c r="K234" s="150">
        <f t="shared" si="92"/>
        <v>47848</v>
      </c>
      <c r="L234" s="150">
        <f t="shared" si="92"/>
        <v>48213</v>
      </c>
      <c r="M234" s="150">
        <f t="shared" si="92"/>
        <v>48579</v>
      </c>
      <c r="N234" s="150">
        <f t="shared" si="92"/>
        <v>48944</v>
      </c>
      <c r="O234" s="150">
        <f t="shared" si="92"/>
        <v>49309</v>
      </c>
      <c r="P234" s="150">
        <f t="shared" si="92"/>
        <v>49674</v>
      </c>
      <c r="Q234" s="150">
        <f t="shared" si="92"/>
        <v>50040</v>
      </c>
      <c r="R234" s="150">
        <f t="shared" si="92"/>
        <v>50405</v>
      </c>
      <c r="S234" s="150">
        <f t="shared" si="92"/>
        <v>50770</v>
      </c>
      <c r="T234" s="150">
        <f t="shared" si="92"/>
        <v>51135</v>
      </c>
      <c r="U234" s="150">
        <f t="shared" si="92"/>
        <v>51501</v>
      </c>
      <c r="V234" s="150">
        <f t="shared" si="92"/>
        <v>51866</v>
      </c>
      <c r="W234" s="150">
        <f t="shared" si="92"/>
        <v>52231</v>
      </c>
      <c r="X234" s="150">
        <f t="shared" si="92"/>
        <v>52596</v>
      </c>
      <c r="Y234" s="150">
        <f t="shared" si="92"/>
        <v>52962</v>
      </c>
      <c r="Z234" s="150">
        <f t="shared" si="92"/>
        <v>53327</v>
      </c>
    </row>
    <row r="235" spans="2:26">
      <c r="B235" s="33" t="s">
        <v>690</v>
      </c>
      <c r="C235" s="33"/>
      <c r="D235" s="40"/>
      <c r="E235" s="40"/>
      <c r="F235" s="42">
        <f>+IF(AND(F234&gt;=Assumptions!$H$26,F234&lt;Assumptions!$H$28),Assumptions!$H$218/ROUNDUP((Assumptions!$H$27/12),0),0)</f>
        <v>0</v>
      </c>
      <c r="G235" s="42">
        <f>+IF(AND(G234&gt;=Assumptions!$H$26,G234&lt;Assumptions!$H$28),Assumptions!$H$218/ROUNDUP((Assumptions!$H$27/12),0),0)</f>
        <v>0</v>
      </c>
      <c r="H235" s="42">
        <f>+IF(AND(H234&gt;=Assumptions!$H$26,H234&lt;Assumptions!$H$28),Assumptions!$H$218/ROUNDUP((Assumptions!$H$27/12),0),0)</f>
        <v>0</v>
      </c>
      <c r="I235" s="42">
        <f>+IF(AND(I234&gt;=Assumptions!$H$26,I234&lt;Assumptions!$H$28),Assumptions!$H$218/ROUNDUP((Assumptions!$H$27/12),0),0)</f>
        <v>0</v>
      </c>
      <c r="J235" s="42">
        <f>+IF(AND(J234&gt;=Assumptions!$H$26,J234&lt;Assumptions!$H$28),Assumptions!$H$218/ROUNDUP((Assumptions!$H$27/12),0),0)</f>
        <v>5.0000000000000002E-5</v>
      </c>
      <c r="K235" s="42">
        <f>+IF(AND(K234&gt;=Assumptions!$H$26,K234&lt;Assumptions!$H$28),Assumptions!$H$218/ROUNDUP((Assumptions!$H$27/12),0),0)</f>
        <v>5.0000000000000002E-5</v>
      </c>
      <c r="L235" s="42">
        <f>+IF(AND(L234&gt;=Assumptions!$H$26,L234&lt;Assumptions!$H$28),Assumptions!$H$218/ROUNDUP((Assumptions!$H$27/12),0),0)</f>
        <v>0</v>
      </c>
      <c r="M235" s="42">
        <f>+IF(AND(M234&gt;=Assumptions!$H$26,M234&lt;Assumptions!$H$28),Assumptions!$H$218/ROUNDUP((Assumptions!$H$27/12),0),0)</f>
        <v>0</v>
      </c>
      <c r="N235" s="42">
        <f>+IF(AND(N234&gt;=Assumptions!$H$26,N234&lt;Assumptions!$H$28),Assumptions!$H$218/ROUNDUP((Assumptions!$H$27/12),0),0)</f>
        <v>0</v>
      </c>
      <c r="O235" s="42">
        <f>+IF(AND(O234&gt;=Assumptions!$H$26,O234&lt;Assumptions!$H$28),Assumptions!$H$218/ROUNDUP((Assumptions!$H$27/12),0),0)</f>
        <v>0</v>
      </c>
      <c r="P235" s="42">
        <f>+IF(AND(P234&gt;=Assumptions!$H$26,P234&lt;Assumptions!$H$28),Assumptions!$H$218/ROUNDUP((Assumptions!$H$27/12),0),0)</f>
        <v>0</v>
      </c>
      <c r="Q235" s="42">
        <f>+IF(AND(Q234&gt;=Assumptions!$H$26,Q234&lt;Assumptions!$H$28),Assumptions!$H$218/ROUNDUP((Assumptions!$H$27/12),0),0)</f>
        <v>0</v>
      </c>
      <c r="R235" s="42">
        <f>+IF(AND(R234&gt;=Assumptions!$H$26,R234&lt;Assumptions!$H$28),Assumptions!$H$218/ROUNDUP((Assumptions!$H$27/12),0),0)</f>
        <v>0</v>
      </c>
      <c r="S235" s="42">
        <f>+IF(AND(S234&gt;=Assumptions!$H$26,S234&lt;Assumptions!$H$28),Assumptions!$H$218/ROUNDUP((Assumptions!$H$27/12),0),0)</f>
        <v>0</v>
      </c>
      <c r="T235" s="42">
        <f>+IF(AND(T234&gt;=Assumptions!$H$26,T234&lt;Assumptions!$H$28),Assumptions!$H$218/ROUNDUP((Assumptions!$H$27/12),0),0)</f>
        <v>0</v>
      </c>
      <c r="U235" s="42">
        <f>+IF(AND(U234&gt;=Assumptions!$H$26,U234&lt;Assumptions!$H$28),Assumptions!$H$218/ROUNDUP((Assumptions!$H$27/12),0),0)</f>
        <v>0</v>
      </c>
      <c r="V235" s="42">
        <f>+IF(AND(V234&gt;=Assumptions!$H$26,V234&lt;Assumptions!$H$28),Assumptions!$H$218/ROUNDUP((Assumptions!$H$27/12),0),0)</f>
        <v>0</v>
      </c>
      <c r="W235" s="42">
        <f>+IF(AND(W234&gt;=Assumptions!$H$26,W234&lt;Assumptions!$H$28),Assumptions!$H$218/ROUNDUP((Assumptions!$H$27/12),0),0)</f>
        <v>0</v>
      </c>
      <c r="X235" s="42">
        <f>+IF(AND(X234&gt;=Assumptions!$H$26,X234&lt;Assumptions!$H$28),Assumptions!$H$218/ROUNDUP((Assumptions!$H$27/12),0),0)</f>
        <v>0</v>
      </c>
      <c r="Y235" s="42">
        <f>+IF(AND(Y234&gt;=Assumptions!$H$26,Y234&lt;Assumptions!$H$28),Assumptions!$H$218/ROUNDUP((Assumptions!$H$27/12),0),0)</f>
        <v>0</v>
      </c>
      <c r="Z235" s="42">
        <f>+IF(AND(Z234&gt;=Assumptions!$H$26,Z234&lt;Assumptions!$H$28),Assumptions!$H$218/ROUNDUP((Assumptions!$H$27/12),0),0)</f>
        <v>0</v>
      </c>
    </row>
    <row r="236" spans="2:26">
      <c r="B236" s="33" t="s">
        <v>231</v>
      </c>
      <c r="C236" s="33"/>
      <c r="D236" s="42">
        <v>0</v>
      </c>
      <c r="E236" s="42"/>
      <c r="F236" s="42">
        <f>+D236+F235</f>
        <v>0</v>
      </c>
      <c r="G236" s="42">
        <f t="shared" ref="G236:Z236" si="93">+F236+G235</f>
        <v>0</v>
      </c>
      <c r="H236" s="42">
        <f t="shared" si="93"/>
        <v>0</v>
      </c>
      <c r="I236" s="42">
        <f t="shared" si="93"/>
        <v>0</v>
      </c>
      <c r="J236" s="42">
        <f t="shared" si="93"/>
        <v>5.0000000000000002E-5</v>
      </c>
      <c r="K236" s="42">
        <f t="shared" si="93"/>
        <v>1E-4</v>
      </c>
      <c r="L236" s="42">
        <f t="shared" si="93"/>
        <v>1E-4</v>
      </c>
      <c r="M236" s="42">
        <f t="shared" si="93"/>
        <v>1E-4</v>
      </c>
      <c r="N236" s="42">
        <f t="shared" si="93"/>
        <v>1E-4</v>
      </c>
      <c r="O236" s="42">
        <f t="shared" si="93"/>
        <v>1E-4</v>
      </c>
      <c r="P236" s="42">
        <f t="shared" si="93"/>
        <v>1E-4</v>
      </c>
      <c r="Q236" s="42">
        <f t="shared" si="93"/>
        <v>1E-4</v>
      </c>
      <c r="R236" s="42">
        <f t="shared" si="93"/>
        <v>1E-4</v>
      </c>
      <c r="S236" s="42">
        <f t="shared" si="93"/>
        <v>1E-4</v>
      </c>
      <c r="T236" s="42">
        <f t="shared" si="93"/>
        <v>1E-4</v>
      </c>
      <c r="U236" s="42">
        <f t="shared" si="93"/>
        <v>1E-4</v>
      </c>
      <c r="V236" s="42">
        <f t="shared" si="93"/>
        <v>1E-4</v>
      </c>
      <c r="W236" s="42">
        <f t="shared" si="93"/>
        <v>1E-4</v>
      </c>
      <c r="X236" s="42">
        <f t="shared" si="93"/>
        <v>1E-4</v>
      </c>
      <c r="Y236" s="42">
        <f t="shared" si="93"/>
        <v>1E-4</v>
      </c>
      <c r="Z236" s="42">
        <f t="shared" si="93"/>
        <v>1E-4</v>
      </c>
    </row>
    <row r="237" spans="2:26">
      <c r="B237" s="33" t="s">
        <v>285</v>
      </c>
      <c r="C237" s="33"/>
      <c r="D237" s="42"/>
      <c r="E237" s="42"/>
      <c r="F237" s="108">
        <f t="shared" ref="F237:Z237" si="94">+F236/SUM($F235:$Z235)</f>
        <v>0</v>
      </c>
      <c r="G237" s="108">
        <f t="shared" si="94"/>
        <v>0</v>
      </c>
      <c r="H237" s="108">
        <f t="shared" si="94"/>
        <v>0</v>
      </c>
      <c r="I237" s="108">
        <f t="shared" si="94"/>
        <v>0</v>
      </c>
      <c r="J237" s="108">
        <f t="shared" si="94"/>
        <v>0.5</v>
      </c>
      <c r="K237" s="108">
        <f t="shared" si="94"/>
        <v>1</v>
      </c>
      <c r="L237" s="108">
        <f t="shared" si="94"/>
        <v>1</v>
      </c>
      <c r="M237" s="108">
        <f t="shared" si="94"/>
        <v>1</v>
      </c>
      <c r="N237" s="108">
        <f t="shared" si="94"/>
        <v>1</v>
      </c>
      <c r="O237" s="108">
        <f t="shared" si="94"/>
        <v>1</v>
      </c>
      <c r="P237" s="108">
        <f t="shared" si="94"/>
        <v>1</v>
      </c>
      <c r="Q237" s="108">
        <f t="shared" si="94"/>
        <v>1</v>
      </c>
      <c r="R237" s="108">
        <f t="shared" si="94"/>
        <v>1</v>
      </c>
      <c r="S237" s="108">
        <f t="shared" si="94"/>
        <v>1</v>
      </c>
      <c r="T237" s="108">
        <f t="shared" si="94"/>
        <v>1</v>
      </c>
      <c r="U237" s="108">
        <f t="shared" si="94"/>
        <v>1</v>
      </c>
      <c r="V237" s="108">
        <f t="shared" si="94"/>
        <v>1</v>
      </c>
      <c r="W237" s="108">
        <f t="shared" si="94"/>
        <v>1</v>
      </c>
      <c r="X237" s="108">
        <f t="shared" si="94"/>
        <v>1</v>
      </c>
      <c r="Y237" s="108">
        <f t="shared" si="94"/>
        <v>1</v>
      </c>
      <c r="Z237" s="108">
        <f t="shared" si="94"/>
        <v>1</v>
      </c>
    </row>
    <row r="238" spans="2:26">
      <c r="B238" s="33"/>
      <c r="C238" s="33"/>
      <c r="D238" s="40"/>
      <c r="E238" s="40"/>
      <c r="F238" s="34"/>
      <c r="G238" s="34"/>
      <c r="H238" s="34"/>
      <c r="I238" s="34"/>
      <c r="J238" s="34"/>
      <c r="K238" s="34"/>
      <c r="L238" s="34"/>
      <c r="M238" s="34"/>
      <c r="N238" s="34"/>
      <c r="O238" s="34"/>
      <c r="P238" s="34"/>
      <c r="Q238" s="34"/>
      <c r="R238" s="34"/>
      <c r="S238" s="34"/>
      <c r="T238" s="34"/>
      <c r="U238" s="34"/>
      <c r="V238" s="34"/>
      <c r="W238" s="34"/>
      <c r="X238" s="34"/>
      <c r="Y238" s="34"/>
      <c r="Z238" s="34"/>
    </row>
    <row r="239" spans="2:26">
      <c r="B239" s="33" t="s">
        <v>236</v>
      </c>
      <c r="C239" s="33"/>
      <c r="D239" s="42"/>
      <c r="E239" s="42"/>
      <c r="F239" s="108">
        <v>1</v>
      </c>
      <c r="G239" s="108">
        <f>+IF(MOD(G$2,Assumptions!$P$73)=(Assumptions!$P$73-1),F239*(1+Assumptions!$P$72),'Phase III Pro Forma'!F239)</f>
        <v>1</v>
      </c>
      <c r="H239" s="108">
        <f>+IF(MOD(H$2,Assumptions!$P$73)=(Assumptions!$P$73-1),G239*(1+Assumptions!$P$72),'Phase III Pro Forma'!G239)</f>
        <v>1</v>
      </c>
      <c r="I239" s="108">
        <f>+IF(MOD(I$2,Assumptions!$P$73)=(Assumptions!$P$73-1),H239*(1+Assumptions!$P$72),'Phase III Pro Forma'!H239)</f>
        <v>1</v>
      </c>
      <c r="J239" s="108">
        <f>+IF(MOD(J$2,Assumptions!$P$73)=(Assumptions!$P$73-1),I239*(1+Assumptions!$P$72),'Phase III Pro Forma'!I239)</f>
        <v>1</v>
      </c>
      <c r="K239" s="108">
        <f>+IF(MOD(K$2,Assumptions!$P$73)=(Assumptions!$P$73-1),J239*(1+Assumptions!$P$72),'Phase III Pro Forma'!J239)</f>
        <v>1</v>
      </c>
      <c r="L239" s="108">
        <f>+IF(MOD(L$2,Assumptions!$P$73)=(Assumptions!$P$73-1),K239*(1+Assumptions!$P$72),'Phase III Pro Forma'!K239)</f>
        <v>1</v>
      </c>
      <c r="M239" s="108">
        <f>+IF(MOD(M$2,Assumptions!$P$73)=(Assumptions!$P$73-1),L239*(1+Assumptions!$P$72),'Phase III Pro Forma'!L239)</f>
        <v>1.1000000000000001</v>
      </c>
      <c r="N239" s="108">
        <f>+IF(MOD(N$2,Assumptions!$P$73)=(Assumptions!$P$73-1),M239*(1+Assumptions!$P$72),'Phase III Pro Forma'!M239)</f>
        <v>1.1000000000000001</v>
      </c>
      <c r="O239" s="108">
        <f>+IF(MOD(O$2,Assumptions!$P$73)=(Assumptions!$P$73-1),N239*(1+Assumptions!$P$72),'Phase III Pro Forma'!N239)</f>
        <v>1.1000000000000001</v>
      </c>
      <c r="P239" s="108">
        <f>+IF(MOD(P$2,Assumptions!$P$73)=(Assumptions!$P$73-1),O239*(1+Assumptions!$P$72),'Phase III Pro Forma'!O239)</f>
        <v>1.1000000000000001</v>
      </c>
      <c r="Q239" s="108">
        <f>+IF(MOD(Q$2,Assumptions!$P$73)=(Assumptions!$P$73-1),P239*(1+Assumptions!$P$72),'Phase III Pro Forma'!P239)</f>
        <v>1.1000000000000001</v>
      </c>
      <c r="R239" s="108">
        <f>+IF(MOD(R$2,Assumptions!$P$73)=(Assumptions!$P$73-1),Q239*(1+Assumptions!$P$72),'Phase III Pro Forma'!Q239)</f>
        <v>1.2100000000000002</v>
      </c>
      <c r="S239" s="108">
        <f>+IF(MOD(S$2,Assumptions!$P$73)=(Assumptions!$P$73-1),R239*(1+Assumptions!$P$72),'Phase III Pro Forma'!R239)</f>
        <v>1.2100000000000002</v>
      </c>
      <c r="T239" s="108">
        <f>+IF(MOD(T$2,Assumptions!$P$73)=(Assumptions!$P$73-1),S239*(1+Assumptions!$P$72),'Phase III Pro Forma'!S239)</f>
        <v>1.2100000000000002</v>
      </c>
      <c r="U239" s="108">
        <f>+IF(MOD(U$2,Assumptions!$P$73)=(Assumptions!$P$73-1),T239*(1+Assumptions!$P$72),'Phase III Pro Forma'!T239)</f>
        <v>1.2100000000000002</v>
      </c>
      <c r="V239" s="108">
        <f>+IF(MOD(V$2,Assumptions!$P$73)=(Assumptions!$P$73-1),U239*(1+Assumptions!$P$72),'Phase III Pro Forma'!U239)</f>
        <v>1.2100000000000002</v>
      </c>
      <c r="W239" s="108">
        <f>+IF(MOD(W$2,Assumptions!$P$73)=(Assumptions!$P$73-1),V239*(1+Assumptions!$P$72),'Phase III Pro Forma'!V239)</f>
        <v>1.3310000000000004</v>
      </c>
      <c r="X239" s="108">
        <f>+IF(MOD(X$2,Assumptions!$P$73)=(Assumptions!$P$73-1),W239*(1+Assumptions!$P$72),'Phase III Pro Forma'!W239)</f>
        <v>1.3310000000000004</v>
      </c>
      <c r="Y239" s="108">
        <f>+IF(MOD(Y$2,Assumptions!$P$73)=(Assumptions!$P$73-1),X239*(1+Assumptions!$P$72),'Phase III Pro Forma'!X239)</f>
        <v>1.3310000000000004</v>
      </c>
      <c r="Z239" s="108">
        <f>+IF(MOD(Z$2,Assumptions!$P$73)=(Assumptions!$P$73-1),Y239*(1+Assumptions!$P$72),'Phase III Pro Forma'!Y239)</f>
        <v>1.3310000000000004</v>
      </c>
    </row>
    <row r="240" spans="2:26">
      <c r="B240" s="33" t="s">
        <v>237</v>
      </c>
      <c r="C240" s="33"/>
      <c r="D240" s="42"/>
      <c r="E240" s="42"/>
      <c r="F240" s="108">
        <v>1</v>
      </c>
      <c r="G240" s="108">
        <f>+F240*(1+Assumptions!$P$81)</f>
        <v>1.03</v>
      </c>
      <c r="H240" s="108">
        <f>+G240*(1+Assumptions!$P$81)</f>
        <v>1.0609</v>
      </c>
      <c r="I240" s="108">
        <f>+H240*(1+Assumptions!$P$81)</f>
        <v>1.092727</v>
      </c>
      <c r="J240" s="108">
        <f>+I240*(1+Assumptions!$P$81)</f>
        <v>1.1255088100000001</v>
      </c>
      <c r="K240" s="108">
        <f>+J240*(1+Assumptions!$P$81)</f>
        <v>1.1592740743000001</v>
      </c>
      <c r="L240" s="108">
        <f>+K240*(1+Assumptions!$P$81)</f>
        <v>1.1940522965290001</v>
      </c>
      <c r="M240" s="108">
        <f>+L240*(1+Assumptions!$P$81)</f>
        <v>1.2298738654248702</v>
      </c>
      <c r="N240" s="108">
        <f>+M240*(1+Assumptions!$P$81)</f>
        <v>1.2667700813876164</v>
      </c>
      <c r="O240" s="108">
        <f>+N240*(1+Assumptions!$P$81)</f>
        <v>1.3047731838292449</v>
      </c>
      <c r="P240" s="108">
        <f>+O240*(1+Assumptions!$P$81)</f>
        <v>1.3439163793441222</v>
      </c>
      <c r="Q240" s="108">
        <f>+P240*(1+Assumptions!$P$81)</f>
        <v>1.3842338707244459</v>
      </c>
      <c r="R240" s="108">
        <f>+Q240*(1+Assumptions!$P$81)</f>
        <v>1.4257608868461793</v>
      </c>
      <c r="S240" s="108">
        <f>+R240*(1+Assumptions!$P$81)</f>
        <v>1.4685337134515648</v>
      </c>
      <c r="T240" s="108">
        <f>+S240*(1+Assumptions!$P$81)</f>
        <v>1.5125897248551119</v>
      </c>
      <c r="U240" s="108">
        <f>+T240*(1+Assumptions!$P$81)</f>
        <v>1.5579674166007653</v>
      </c>
      <c r="V240" s="108">
        <f>+U240*(1+Assumptions!$P$81)</f>
        <v>1.6047064390987884</v>
      </c>
      <c r="W240" s="108">
        <f>+V240*(1+Assumptions!$P$81)</f>
        <v>1.652847632271752</v>
      </c>
      <c r="X240" s="108">
        <f>+W240*(1+Assumptions!$P$81)</f>
        <v>1.7024330612399046</v>
      </c>
      <c r="Y240" s="108">
        <f>+X240*(1+Assumptions!$P$81)</f>
        <v>1.7535060530771018</v>
      </c>
      <c r="Z240" s="108">
        <f>+Y240*(1+Assumptions!$P$81)</f>
        <v>1.806111234669415</v>
      </c>
    </row>
    <row r="241" spans="2:26">
      <c r="B241" s="33"/>
      <c r="C241" s="33"/>
      <c r="D241" s="40"/>
      <c r="E241" s="40"/>
      <c r="F241" s="34"/>
      <c r="G241" s="34"/>
      <c r="H241" s="34"/>
      <c r="I241" s="34"/>
      <c r="J241" s="34"/>
      <c r="K241" s="34"/>
      <c r="L241" s="34"/>
      <c r="M241" s="34"/>
      <c r="N241" s="34"/>
      <c r="O241" s="34"/>
      <c r="P241" s="34"/>
      <c r="Q241" s="34"/>
      <c r="R241" s="34"/>
      <c r="S241" s="34"/>
      <c r="T241" s="34"/>
      <c r="U241" s="34"/>
      <c r="V241" s="34"/>
      <c r="W241" s="34"/>
      <c r="X241" s="34"/>
      <c r="Y241" s="34"/>
      <c r="Z241" s="34"/>
    </row>
    <row r="242" spans="2:26">
      <c r="B242" s="33" t="s">
        <v>228</v>
      </c>
      <c r="C242" s="33"/>
      <c r="D242" s="40"/>
      <c r="E242" s="40"/>
      <c r="F242" s="34">
        <f>+F237*Assumptions!$H$217*F239</f>
        <v>0</v>
      </c>
      <c r="G242" s="34">
        <f>+G237*Assumptions!$H$217*G239</f>
        <v>0</v>
      </c>
      <c r="H242" s="34">
        <f>+H237*Assumptions!$H$217*H239</f>
        <v>0</v>
      </c>
      <c r="I242" s="34">
        <f>+I237*Assumptions!$H$217*I239</f>
        <v>0</v>
      </c>
      <c r="J242" s="34">
        <f>+J237*Assumptions!$H$217*J239</f>
        <v>0</v>
      </c>
      <c r="K242" s="34">
        <f>+K237*Assumptions!$H$217*K239</f>
        <v>0</v>
      </c>
      <c r="L242" s="34">
        <f>+L237*Assumptions!$H$217*L239</f>
        <v>0</v>
      </c>
      <c r="M242" s="34">
        <f>+M237*Assumptions!$H$217*M239</f>
        <v>0</v>
      </c>
      <c r="N242" s="34">
        <f>+N237*Assumptions!$H$217*N239</f>
        <v>0</v>
      </c>
      <c r="O242" s="34">
        <f>+O237*Assumptions!$H$217*O239</f>
        <v>0</v>
      </c>
      <c r="P242" s="34">
        <f>+P237*Assumptions!$H$217*P239</f>
        <v>0</v>
      </c>
      <c r="Q242" s="34">
        <f>+Q237*Assumptions!$H$217*Q239</f>
        <v>0</v>
      </c>
      <c r="R242" s="34">
        <f>+R237*Assumptions!$H$217*R239</f>
        <v>0</v>
      </c>
      <c r="S242" s="34">
        <f>+S237*Assumptions!$H$217*S239</f>
        <v>0</v>
      </c>
      <c r="T242" s="34">
        <f>+T237*Assumptions!$H$217*T239</f>
        <v>0</v>
      </c>
      <c r="U242" s="34">
        <f>+U237*Assumptions!$H$217*U239</f>
        <v>0</v>
      </c>
      <c r="V242" s="34">
        <f>+V237*Assumptions!$H$217*V239</f>
        <v>0</v>
      </c>
      <c r="W242" s="34">
        <f>+W237*Assumptions!$H$217*W239</f>
        <v>0</v>
      </c>
      <c r="X242" s="34">
        <f>+X237*Assumptions!$H$217*X239</f>
        <v>0</v>
      </c>
      <c r="Y242" s="34">
        <f>+Y237*Assumptions!$H$217*Y239</f>
        <v>0</v>
      </c>
      <c r="Z242" s="34">
        <f>+Z237*Assumptions!$H$217*Z239</f>
        <v>0</v>
      </c>
    </row>
    <row r="243" spans="2:26">
      <c r="B243" s="33" t="s">
        <v>229</v>
      </c>
      <c r="C243" s="33"/>
      <c r="D243" s="40"/>
      <c r="E243" s="40"/>
      <c r="F243" s="42">
        <f>-F242*Assumptions!$P$59</f>
        <v>0</v>
      </c>
      <c r="G243" s="42">
        <f>-G242*Assumptions!$P$59</f>
        <v>0</v>
      </c>
      <c r="H243" s="42">
        <f>-H242*Assumptions!$P$59</f>
        <v>0</v>
      </c>
      <c r="I243" s="42">
        <f>-I242*Assumptions!$P$59</f>
        <v>0</v>
      </c>
      <c r="J243" s="42">
        <f>-J242*Assumptions!$P$59</f>
        <v>0</v>
      </c>
      <c r="K243" s="42">
        <f>-K242*Assumptions!$P$59</f>
        <v>0</v>
      </c>
      <c r="L243" s="42">
        <f>-L242*Assumptions!$P$59</f>
        <v>0</v>
      </c>
      <c r="M243" s="42">
        <f>-M242*Assumptions!$P$59</f>
        <v>0</v>
      </c>
      <c r="N243" s="42">
        <f>-N242*Assumptions!$P$59</f>
        <v>0</v>
      </c>
      <c r="O243" s="42">
        <f>-O242*Assumptions!$P$59</f>
        <v>0</v>
      </c>
      <c r="P243" s="42">
        <f>-P242*Assumptions!$P$59</f>
        <v>0</v>
      </c>
      <c r="Q243" s="42">
        <f>-Q242*Assumptions!$P$59</f>
        <v>0</v>
      </c>
      <c r="R243" s="42">
        <f>-R242*Assumptions!$P$59</f>
        <v>0</v>
      </c>
      <c r="S243" s="42">
        <f>-S242*Assumptions!$P$59</f>
        <v>0</v>
      </c>
      <c r="T243" s="42">
        <f>-T242*Assumptions!$P$59</f>
        <v>0</v>
      </c>
      <c r="U243" s="42">
        <f>-U242*Assumptions!$P$59</f>
        <v>0</v>
      </c>
      <c r="V243" s="42">
        <f>-V242*Assumptions!$P$59</f>
        <v>0</v>
      </c>
      <c r="W243" s="42">
        <f>-W242*Assumptions!$P$59</f>
        <v>0</v>
      </c>
      <c r="X243" s="42">
        <f>-X242*Assumptions!$P$59</f>
        <v>0</v>
      </c>
      <c r="Y243" s="42">
        <f>-Y242*Assumptions!$P$59</f>
        <v>0</v>
      </c>
      <c r="Z243" s="42">
        <f>-Z242*Assumptions!$P$59</f>
        <v>0</v>
      </c>
    </row>
    <row r="244" spans="2:26">
      <c r="B244" s="33" t="s">
        <v>244</v>
      </c>
      <c r="C244" s="33"/>
      <c r="D244" s="40"/>
      <c r="E244" s="40"/>
      <c r="F244" s="151">
        <f ca="1">+F249*Assumptions!$P$92</f>
        <v>0</v>
      </c>
      <c r="G244" s="151">
        <f ca="1">+G249*Assumptions!$P$92</f>
        <v>0</v>
      </c>
      <c r="H244" s="151">
        <f ca="1">+H249*Assumptions!$P$92</f>
        <v>0</v>
      </c>
      <c r="I244" s="151">
        <f ca="1">+I249*Assumptions!$P$92</f>
        <v>0</v>
      </c>
      <c r="J244" s="151">
        <f ca="1">+J249*Assumptions!$P$92</f>
        <v>1.2182869323073298E-4</v>
      </c>
      <c r="K244" s="151">
        <f ca="1">+K249*Assumptions!$P$92</f>
        <v>2.5096710805530992E-4</v>
      </c>
      <c r="L244" s="151">
        <f ca="1">+L249*Assumptions!$P$92</f>
        <v>2.5849612129696925E-4</v>
      </c>
      <c r="M244" s="151">
        <f ca="1">+M249*Assumptions!$P$92</f>
        <v>2.6625100493587832E-4</v>
      </c>
      <c r="N244" s="151">
        <f ca="1">+N249*Assumptions!$P$92</f>
        <v>2.7423853508395468E-4</v>
      </c>
      <c r="O244" s="151">
        <f ca="1">+O249*Assumptions!$P$92</f>
        <v>2.8246569113647333E-4</v>
      </c>
      <c r="P244" s="151">
        <f ca="1">+P249*Assumptions!$P$92</f>
        <v>2.9093966187056751E-4</v>
      </c>
      <c r="Q244" s="151">
        <f ca="1">+Q249*Assumptions!$P$92</f>
        <v>2.9966785172668456E-4</v>
      </c>
      <c r="R244" s="151">
        <f ca="1">+R249*Assumptions!$P$92</f>
        <v>3.0865788727848511E-4</v>
      </c>
      <c r="S244" s="151">
        <f ca="1">+S249*Assumptions!$P$92</f>
        <v>3.1791762389683971E-4</v>
      </c>
      <c r="T244" s="151">
        <f ca="1">+T249*Assumptions!$P$92</f>
        <v>3.2745515261374493E-4</v>
      </c>
      <c r="U244" s="151">
        <f ca="1">+U249*Assumptions!$P$92</f>
        <v>3.3727880719215729E-4</v>
      </c>
      <c r="V244" s="151">
        <f ca="1">+V249*Assumptions!$P$92</f>
        <v>3.4739717140792203E-4</v>
      </c>
      <c r="W244" s="151">
        <f ca="1">+W249*Assumptions!$P$92</f>
        <v>3.5781908655015967E-4</v>
      </c>
      <c r="X244" s="151">
        <f ca="1">+X249*Assumptions!$P$92</f>
        <v>3.6855365914666448E-4</v>
      </c>
      <c r="Y244" s="151">
        <f ca="1">+Y249*Assumptions!$P$92</f>
        <v>3.7961026892106441E-4</v>
      </c>
      <c r="Z244" s="151">
        <f ca="1">+Z249*Assumptions!$P$92</f>
        <v>3.9099857698869639E-4</v>
      </c>
    </row>
    <row r="245" spans="2:26">
      <c r="B245" s="137" t="s">
        <v>238</v>
      </c>
      <c r="C245" s="137"/>
      <c r="D245" s="137"/>
      <c r="E245" s="137"/>
      <c r="F245" s="129">
        <f t="shared" ref="F245:Z245" ca="1" si="95">+SUM(F242:F244)</f>
        <v>0</v>
      </c>
      <c r="G245" s="129">
        <f t="shared" ca="1" si="95"/>
        <v>0</v>
      </c>
      <c r="H245" s="129">
        <f t="shared" ca="1" si="95"/>
        <v>0</v>
      </c>
      <c r="I245" s="129">
        <f t="shared" ca="1" si="95"/>
        <v>0</v>
      </c>
      <c r="J245" s="129">
        <f t="shared" ca="1" si="95"/>
        <v>1.2182869323073298E-4</v>
      </c>
      <c r="K245" s="129">
        <f t="shared" ca="1" si="95"/>
        <v>2.5096710805530992E-4</v>
      </c>
      <c r="L245" s="129">
        <f t="shared" ca="1" si="95"/>
        <v>2.5849612129696925E-4</v>
      </c>
      <c r="M245" s="129">
        <f t="shared" ca="1" si="95"/>
        <v>2.6625100493587832E-4</v>
      </c>
      <c r="N245" s="129">
        <f t="shared" ca="1" si="95"/>
        <v>2.7423853508395468E-4</v>
      </c>
      <c r="O245" s="129">
        <f t="shared" ca="1" si="95"/>
        <v>2.8246569113647333E-4</v>
      </c>
      <c r="P245" s="129">
        <f t="shared" ca="1" si="95"/>
        <v>2.9093966187056751E-4</v>
      </c>
      <c r="Q245" s="129">
        <f t="shared" ca="1" si="95"/>
        <v>2.9966785172668456E-4</v>
      </c>
      <c r="R245" s="129">
        <f t="shared" ca="1" si="95"/>
        <v>3.0865788727848511E-4</v>
      </c>
      <c r="S245" s="129">
        <f t="shared" ca="1" si="95"/>
        <v>3.1791762389683971E-4</v>
      </c>
      <c r="T245" s="129">
        <f t="shared" ca="1" si="95"/>
        <v>3.2745515261374493E-4</v>
      </c>
      <c r="U245" s="129">
        <f t="shared" ca="1" si="95"/>
        <v>3.3727880719215729E-4</v>
      </c>
      <c r="V245" s="129">
        <f t="shared" ca="1" si="95"/>
        <v>3.4739717140792203E-4</v>
      </c>
      <c r="W245" s="129">
        <f t="shared" ca="1" si="95"/>
        <v>3.5781908655015967E-4</v>
      </c>
      <c r="X245" s="129">
        <f t="shared" ca="1" si="95"/>
        <v>3.6855365914666448E-4</v>
      </c>
      <c r="Y245" s="129">
        <f t="shared" ca="1" si="95"/>
        <v>3.7961026892106441E-4</v>
      </c>
      <c r="Z245" s="129">
        <f t="shared" ca="1" si="95"/>
        <v>3.9099857698869639E-4</v>
      </c>
    </row>
    <row r="247" spans="2:26">
      <c r="B247" s="33" t="s">
        <v>371</v>
      </c>
      <c r="F247" s="34">
        <f>+F236*Assumptions!$P$124*'Phase III Pro Forma'!F240</f>
        <v>0</v>
      </c>
      <c r="G247" s="34">
        <f>+G236*Assumptions!$P$124*'Phase III Pro Forma'!G240</f>
        <v>0</v>
      </c>
      <c r="H247" s="34">
        <f>+H236*Assumptions!$P$124*'Phase III Pro Forma'!H240</f>
        <v>0</v>
      </c>
      <c r="I247" s="34">
        <f>+I236*Assumptions!$P$124*'Phase III Pro Forma'!I240</f>
        <v>0</v>
      </c>
      <c r="J247" s="34">
        <f>+J236*Assumptions!$P$124*'Phase III Pro Forma'!J240</f>
        <v>1.2182869323073298E-4</v>
      </c>
      <c r="K247" s="34">
        <f>+K236*Assumptions!$P$124*'Phase III Pro Forma'!K240</f>
        <v>2.5096710805530992E-4</v>
      </c>
      <c r="L247" s="34">
        <f>+L236*Assumptions!$P$124*'Phase III Pro Forma'!L240</f>
        <v>2.5849612129696925E-4</v>
      </c>
      <c r="M247" s="34">
        <f>+M236*Assumptions!$P$124*'Phase III Pro Forma'!M240</f>
        <v>2.6625100493587832E-4</v>
      </c>
      <c r="N247" s="34">
        <f>+N236*Assumptions!$P$124*'Phase III Pro Forma'!N240</f>
        <v>2.7423853508395468E-4</v>
      </c>
      <c r="O247" s="34">
        <f>+O236*Assumptions!$P$124*'Phase III Pro Forma'!O240</f>
        <v>2.8246569113647333E-4</v>
      </c>
      <c r="P247" s="34">
        <f>+P236*Assumptions!$P$124*'Phase III Pro Forma'!P240</f>
        <v>2.9093966187056751E-4</v>
      </c>
      <c r="Q247" s="34">
        <f>+Q236*Assumptions!$P$124*'Phase III Pro Forma'!Q240</f>
        <v>2.9966785172668456E-4</v>
      </c>
      <c r="R247" s="34">
        <f>+R236*Assumptions!$P$124*'Phase III Pro Forma'!R240</f>
        <v>3.0865788727848511E-4</v>
      </c>
      <c r="S247" s="34">
        <f>+S236*Assumptions!$P$124*'Phase III Pro Forma'!S240</f>
        <v>3.1791762389683971E-4</v>
      </c>
      <c r="T247" s="34">
        <f>+T236*Assumptions!$P$124*'Phase III Pro Forma'!T240</f>
        <v>3.2745515261374493E-4</v>
      </c>
      <c r="U247" s="34">
        <f>+U236*Assumptions!$P$124*'Phase III Pro Forma'!U240</f>
        <v>3.3727880719215729E-4</v>
      </c>
      <c r="V247" s="34">
        <f>+V236*Assumptions!$P$124*'Phase III Pro Forma'!V240</f>
        <v>3.4739717140792203E-4</v>
      </c>
      <c r="W247" s="34">
        <f>+W236*Assumptions!$P$124*'Phase III Pro Forma'!W240</f>
        <v>3.5781908655015967E-4</v>
      </c>
      <c r="X247" s="34">
        <f>+X236*Assumptions!$P$124*'Phase III Pro Forma'!X240</f>
        <v>3.6855365914666448E-4</v>
      </c>
      <c r="Y247" s="34">
        <f>+Y236*Assumptions!$P$124*'Phase III Pro Forma'!Y240</f>
        <v>3.7961026892106441E-4</v>
      </c>
      <c r="Z247" s="34">
        <f>+Z236*Assumptions!$P$124*'Phase III Pro Forma'!Z240</f>
        <v>3.9099857698869639E-4</v>
      </c>
    </row>
    <row r="248" spans="2:26">
      <c r="B248" s="33" t="s">
        <v>308</v>
      </c>
      <c r="F248" s="151">
        <f ca="1">+IFERROR(IFERROR(INDEX('Taxes and TIF'!$AR$11:$AR$45,MATCH('Phase III Pro Forma'!F$7,'Taxes and TIF'!$AG$11:$AG$45,0)),0)*'Loan Sizing'!$M$52*F237,0)</f>
        <v>0</v>
      </c>
      <c r="G248" s="151">
        <f ca="1">+IFERROR(IFERROR(INDEX('Taxes and TIF'!$AR$11:$AR$45,MATCH('Phase III Pro Forma'!G$7,'Taxes and TIF'!$AG$11:$AG$45,0)),0)*'Loan Sizing'!$M$52*G237,0)</f>
        <v>0</v>
      </c>
      <c r="H248" s="151">
        <f ca="1">+IFERROR(IFERROR(INDEX('Taxes and TIF'!$AR$11:$AR$45,MATCH('Phase III Pro Forma'!H$7,'Taxes and TIF'!$AG$11:$AG$45,0)),0)*'Loan Sizing'!$M$52*H237,0)</f>
        <v>0</v>
      </c>
      <c r="I248" s="151">
        <f ca="1">+IFERROR(IFERROR(INDEX('Taxes and TIF'!$AR$11:$AR$45,MATCH('Phase III Pro Forma'!I$7,'Taxes and TIF'!$AG$11:$AG$45,0)),0)*'Loan Sizing'!$M$52*I237,0)</f>
        <v>0</v>
      </c>
      <c r="J248" s="151">
        <f ca="1">+IFERROR(IFERROR(INDEX('Taxes and TIF'!$AR$11:$AR$45,MATCH('Phase III Pro Forma'!J$7,'Taxes and TIF'!$AG$11:$AG$45,0)),0)*'Loan Sizing'!$M$52*J237,0)</f>
        <v>0</v>
      </c>
      <c r="K248" s="151">
        <f ca="1">+IFERROR(IFERROR(INDEX('Taxes and TIF'!$AR$11:$AR$45,MATCH('Phase III Pro Forma'!K$7,'Taxes and TIF'!$AG$11:$AG$45,0)),0)*'Loan Sizing'!$M$52*K237,0)</f>
        <v>0</v>
      </c>
      <c r="L248" s="151">
        <f ca="1">+IFERROR(IFERROR(INDEX('Taxes and TIF'!$AR$11:$AR$45,MATCH('Phase III Pro Forma'!L$7,'Taxes and TIF'!$AG$11:$AG$45,0)),0)*'Loan Sizing'!$M$52*L237,0)</f>
        <v>0</v>
      </c>
      <c r="M248" s="151">
        <f ca="1">+IFERROR(IFERROR(INDEX('Taxes and TIF'!$AR$11:$AR$45,MATCH('Phase III Pro Forma'!M$7,'Taxes and TIF'!$AG$11:$AG$45,0)),0)*'Loan Sizing'!$M$52*M237,0)</f>
        <v>0</v>
      </c>
      <c r="N248" s="151">
        <f ca="1">+IFERROR(IFERROR(INDEX('Taxes and TIF'!$AR$11:$AR$45,MATCH('Phase III Pro Forma'!N$7,'Taxes and TIF'!$AG$11:$AG$45,0)),0)*'Loan Sizing'!$M$52*N237,0)</f>
        <v>0</v>
      </c>
      <c r="O248" s="151">
        <f ca="1">+IFERROR(IFERROR(INDEX('Taxes and TIF'!$AR$11:$AR$45,MATCH('Phase III Pro Forma'!O$7,'Taxes and TIF'!$AG$11:$AG$45,0)),0)*'Loan Sizing'!$M$52*O237,0)</f>
        <v>0</v>
      </c>
      <c r="P248" s="151">
        <f ca="1">+IFERROR(IFERROR(INDEX('Taxes and TIF'!$AR$11:$AR$45,MATCH('Phase III Pro Forma'!P$7,'Taxes and TIF'!$AG$11:$AG$45,0)),0)*'Loan Sizing'!$M$52*P237,0)</f>
        <v>0</v>
      </c>
      <c r="Q248" s="151">
        <f ca="1">+IFERROR(IFERROR(INDEX('Taxes and TIF'!$AR$11:$AR$45,MATCH('Phase III Pro Forma'!Q$7,'Taxes and TIF'!$AG$11:$AG$45,0)),0)*'Loan Sizing'!$M$52*Q237,0)</f>
        <v>0</v>
      </c>
      <c r="R248" s="151">
        <f ca="1">+IFERROR(IFERROR(INDEX('Taxes and TIF'!$AR$11:$AR$45,MATCH('Phase III Pro Forma'!R$7,'Taxes and TIF'!$AG$11:$AG$45,0)),0)*'Loan Sizing'!$M$52*R237,0)</f>
        <v>0</v>
      </c>
      <c r="S248" s="151">
        <f ca="1">+IFERROR(IFERROR(INDEX('Taxes and TIF'!$AR$11:$AR$45,MATCH('Phase III Pro Forma'!S$7,'Taxes and TIF'!$AG$11:$AG$45,0)),0)*'Loan Sizing'!$M$52*S237,0)</f>
        <v>0</v>
      </c>
      <c r="T248" s="151">
        <f ca="1">+IFERROR(IFERROR(INDEX('Taxes and TIF'!$AR$11:$AR$45,MATCH('Phase III Pro Forma'!T$7,'Taxes and TIF'!$AG$11:$AG$45,0)),0)*'Loan Sizing'!$M$52*T237,0)</f>
        <v>0</v>
      </c>
      <c r="U248" s="151">
        <f ca="1">+IFERROR(IFERROR(INDEX('Taxes and TIF'!$AR$11:$AR$45,MATCH('Phase III Pro Forma'!U$7,'Taxes and TIF'!$AG$11:$AG$45,0)),0)*'Loan Sizing'!$M$52*U237,0)</f>
        <v>0</v>
      </c>
      <c r="V248" s="151">
        <f ca="1">+IFERROR(IFERROR(INDEX('Taxes and TIF'!$AR$11:$AR$45,MATCH('Phase III Pro Forma'!V$7,'Taxes and TIF'!$AG$11:$AG$45,0)),0)*'Loan Sizing'!$M$52*V237,0)</f>
        <v>0</v>
      </c>
      <c r="W248" s="151">
        <f ca="1">+IFERROR(IFERROR(INDEX('Taxes and TIF'!$AR$11:$AR$45,MATCH('Phase III Pro Forma'!W$7,'Taxes and TIF'!$AG$11:$AG$45,0)),0)*'Loan Sizing'!$M$52*W237,0)</f>
        <v>0</v>
      </c>
      <c r="X248" s="151">
        <f ca="1">+IFERROR(IFERROR(INDEX('Taxes and TIF'!$AR$11:$AR$45,MATCH('Phase III Pro Forma'!X$7,'Taxes and TIF'!$AG$11:$AG$45,0)),0)*'Loan Sizing'!$M$52*X237,0)</f>
        <v>0</v>
      </c>
      <c r="Y248" s="151">
        <f ca="1">+IFERROR(IFERROR(INDEX('Taxes and TIF'!$AR$11:$AR$45,MATCH('Phase III Pro Forma'!Y$7,'Taxes and TIF'!$AG$11:$AG$45,0)),0)*'Loan Sizing'!$M$52*Y237,0)</f>
        <v>0</v>
      </c>
      <c r="Z248" s="151">
        <f ca="1">+IFERROR(IFERROR(INDEX('Taxes and TIF'!$AR$11:$AR$45,MATCH('Phase III Pro Forma'!Z$7,'Taxes and TIF'!$AG$11:$AG$45,0)),0)*'Loan Sizing'!$M$52*Z237,0)</f>
        <v>0</v>
      </c>
    </row>
    <row r="249" spans="2:26">
      <c r="B249" s="137" t="s">
        <v>234</v>
      </c>
      <c r="C249" s="137"/>
      <c r="D249" s="137"/>
      <c r="E249" s="137"/>
      <c r="F249" s="129">
        <f ca="1">+SUM(F247:F248)</f>
        <v>0</v>
      </c>
      <c r="G249" s="129">
        <f t="shared" ref="G249" ca="1" si="96">+SUM(G247:G248)</f>
        <v>0</v>
      </c>
      <c r="H249" s="129">
        <f t="shared" ref="H249:Z249" ca="1" si="97">+SUM(H247:H248)</f>
        <v>0</v>
      </c>
      <c r="I249" s="129">
        <f t="shared" ca="1" si="97"/>
        <v>0</v>
      </c>
      <c r="J249" s="129">
        <f t="shared" ca="1" si="97"/>
        <v>1.2182869323073298E-4</v>
      </c>
      <c r="K249" s="129">
        <f t="shared" ca="1" si="97"/>
        <v>2.5096710805530992E-4</v>
      </c>
      <c r="L249" s="129">
        <f t="shared" ca="1" si="97"/>
        <v>2.5849612129696925E-4</v>
      </c>
      <c r="M249" s="129">
        <f t="shared" ca="1" si="97"/>
        <v>2.6625100493587832E-4</v>
      </c>
      <c r="N249" s="129">
        <f t="shared" ca="1" si="97"/>
        <v>2.7423853508395468E-4</v>
      </c>
      <c r="O249" s="129">
        <f t="shared" ca="1" si="97"/>
        <v>2.8246569113647333E-4</v>
      </c>
      <c r="P249" s="129">
        <f t="shared" ca="1" si="97"/>
        <v>2.9093966187056751E-4</v>
      </c>
      <c r="Q249" s="129">
        <f t="shared" ca="1" si="97"/>
        <v>2.9966785172668456E-4</v>
      </c>
      <c r="R249" s="129">
        <f t="shared" ca="1" si="97"/>
        <v>3.0865788727848511E-4</v>
      </c>
      <c r="S249" s="129">
        <f t="shared" ca="1" si="97"/>
        <v>3.1791762389683971E-4</v>
      </c>
      <c r="T249" s="129">
        <f t="shared" ca="1" si="97"/>
        <v>3.2745515261374493E-4</v>
      </c>
      <c r="U249" s="129">
        <f t="shared" ca="1" si="97"/>
        <v>3.3727880719215729E-4</v>
      </c>
      <c r="V249" s="129">
        <f t="shared" ca="1" si="97"/>
        <v>3.4739717140792203E-4</v>
      </c>
      <c r="W249" s="129">
        <f t="shared" ca="1" si="97"/>
        <v>3.5781908655015967E-4</v>
      </c>
      <c r="X249" s="129">
        <f t="shared" ca="1" si="97"/>
        <v>3.6855365914666448E-4</v>
      </c>
      <c r="Y249" s="129">
        <f t="shared" ca="1" si="97"/>
        <v>3.7961026892106441E-4</v>
      </c>
      <c r="Z249" s="129">
        <f t="shared" ca="1" si="97"/>
        <v>3.9099857698869639E-4</v>
      </c>
    </row>
    <row r="250" spans="2:26">
      <c r="B250" s="33"/>
    </row>
    <row r="251" spans="2:26" ht="15.5">
      <c r="B251" s="138" t="s">
        <v>233</v>
      </c>
      <c r="C251" s="138"/>
      <c r="D251" s="138"/>
      <c r="E251" s="138"/>
      <c r="F251" s="139">
        <f ca="1">+F245-F249</f>
        <v>0</v>
      </c>
      <c r="G251" s="139">
        <f t="shared" ref="G251:Z251" ca="1" si="98">+G245-G249</f>
        <v>0</v>
      </c>
      <c r="H251" s="139">
        <f t="shared" ca="1" si="98"/>
        <v>0</v>
      </c>
      <c r="I251" s="139">
        <f t="shared" ca="1" si="98"/>
        <v>0</v>
      </c>
      <c r="J251" s="139">
        <f t="shared" ca="1" si="98"/>
        <v>0</v>
      </c>
      <c r="K251" s="139">
        <f t="shared" ca="1" si="98"/>
        <v>0</v>
      </c>
      <c r="L251" s="139">
        <f t="shared" ca="1" si="98"/>
        <v>0</v>
      </c>
      <c r="M251" s="139">
        <f t="shared" ca="1" si="98"/>
        <v>0</v>
      </c>
      <c r="N251" s="139">
        <f t="shared" ca="1" si="98"/>
        <v>0</v>
      </c>
      <c r="O251" s="139">
        <f t="shared" ca="1" si="98"/>
        <v>0</v>
      </c>
      <c r="P251" s="139">
        <f t="shared" ca="1" si="98"/>
        <v>0</v>
      </c>
      <c r="Q251" s="139">
        <f t="shared" ca="1" si="98"/>
        <v>0</v>
      </c>
      <c r="R251" s="139">
        <f t="shared" ca="1" si="98"/>
        <v>0</v>
      </c>
      <c r="S251" s="139">
        <f t="shared" ca="1" si="98"/>
        <v>0</v>
      </c>
      <c r="T251" s="139">
        <f t="shared" ca="1" si="98"/>
        <v>0</v>
      </c>
      <c r="U251" s="139">
        <f t="shared" ca="1" si="98"/>
        <v>0</v>
      </c>
      <c r="V251" s="139">
        <f t="shared" ca="1" si="98"/>
        <v>0</v>
      </c>
      <c r="W251" s="139">
        <f t="shared" ca="1" si="98"/>
        <v>0</v>
      </c>
      <c r="X251" s="139">
        <f t="shared" ca="1" si="98"/>
        <v>0</v>
      </c>
      <c r="Y251" s="139">
        <f t="shared" ca="1" si="98"/>
        <v>0</v>
      </c>
      <c r="Z251" s="139">
        <f t="shared" ca="1" si="98"/>
        <v>0</v>
      </c>
    </row>
    <row r="252" spans="2:26" ht="15.5">
      <c r="B252" s="143" t="s">
        <v>239</v>
      </c>
      <c r="C252" s="141"/>
      <c r="D252" s="141"/>
      <c r="E252" s="141"/>
      <c r="F252" s="144" t="str">
        <f ca="1">+IFERROR(F251/F245,"")</f>
        <v/>
      </c>
      <c r="G252" s="144" t="str">
        <f t="shared" ref="G252:Z252" ca="1" si="99">+IFERROR(G251/G245,"")</f>
        <v/>
      </c>
      <c r="H252" s="144" t="str">
        <f t="shared" ca="1" si="99"/>
        <v/>
      </c>
      <c r="I252" s="145" t="str">
        <f t="shared" ca="1" si="99"/>
        <v/>
      </c>
      <c r="J252" s="145">
        <f t="shared" ca="1" si="99"/>
        <v>0</v>
      </c>
      <c r="K252" s="145">
        <f t="shared" ca="1" si="99"/>
        <v>0</v>
      </c>
      <c r="L252" s="145">
        <f t="shared" ca="1" si="99"/>
        <v>0</v>
      </c>
      <c r="M252" s="145">
        <f t="shared" ca="1" si="99"/>
        <v>0</v>
      </c>
      <c r="N252" s="145">
        <f t="shared" ca="1" si="99"/>
        <v>0</v>
      </c>
      <c r="O252" s="145">
        <f t="shared" ca="1" si="99"/>
        <v>0</v>
      </c>
      <c r="P252" s="145">
        <f t="shared" ca="1" si="99"/>
        <v>0</v>
      </c>
      <c r="Q252" s="145">
        <f t="shared" ca="1" si="99"/>
        <v>0</v>
      </c>
      <c r="R252" s="145">
        <f t="shared" ca="1" si="99"/>
        <v>0</v>
      </c>
      <c r="S252" s="145">
        <f t="shared" ca="1" si="99"/>
        <v>0</v>
      </c>
      <c r="T252" s="145">
        <f t="shared" ca="1" si="99"/>
        <v>0</v>
      </c>
      <c r="U252" s="145">
        <f t="shared" ca="1" si="99"/>
        <v>0</v>
      </c>
      <c r="V252" s="145">
        <f t="shared" ca="1" si="99"/>
        <v>0</v>
      </c>
      <c r="W252" s="145">
        <f t="shared" ca="1" si="99"/>
        <v>0</v>
      </c>
      <c r="X252" s="145">
        <f t="shared" ca="1" si="99"/>
        <v>0</v>
      </c>
      <c r="Y252" s="145">
        <f t="shared" ca="1" si="99"/>
        <v>0</v>
      </c>
      <c r="Z252" s="145">
        <f t="shared" ca="1" si="99"/>
        <v>0</v>
      </c>
    </row>
    <row r="253" spans="2:26" ht="15.5">
      <c r="B253" s="143" t="s">
        <v>179</v>
      </c>
      <c r="C253" s="141"/>
      <c r="D253" s="141"/>
      <c r="E253" s="141"/>
      <c r="F253" s="142">
        <f ca="1">+F251/Assumptions!$P$134</f>
        <v>0</v>
      </c>
      <c r="G253" s="142">
        <f ca="1">+G251/Assumptions!$P$134</f>
        <v>0</v>
      </c>
      <c r="H253" s="142">
        <f ca="1">+H251/Assumptions!$P$134</f>
        <v>0</v>
      </c>
      <c r="I253" s="142">
        <f ca="1">+I251/Assumptions!$P$134</f>
        <v>0</v>
      </c>
      <c r="J253" s="142">
        <f ca="1">+J251/Assumptions!$P$134</f>
        <v>0</v>
      </c>
      <c r="K253" s="142">
        <f ca="1">+K251/Assumptions!$P$134</f>
        <v>0</v>
      </c>
      <c r="L253" s="142">
        <f ca="1">+L251/Assumptions!$P$134</f>
        <v>0</v>
      </c>
      <c r="M253" s="142">
        <f ca="1">+M251/Assumptions!$P$134</f>
        <v>0</v>
      </c>
      <c r="N253" s="142">
        <f ca="1">+N251/Assumptions!$P$134</f>
        <v>0</v>
      </c>
      <c r="O253" s="142">
        <f ca="1">+O251/Assumptions!$P$134</f>
        <v>0</v>
      </c>
      <c r="P253" s="142">
        <f ca="1">+P251/Assumptions!$P$134</f>
        <v>0</v>
      </c>
      <c r="Q253" s="142">
        <f ca="1">+Q251/Assumptions!$P$134</f>
        <v>0</v>
      </c>
      <c r="R253" s="142">
        <f ca="1">+R251/Assumptions!$P$134</f>
        <v>0</v>
      </c>
      <c r="S253" s="142">
        <f ca="1">+S251/Assumptions!$P$134</f>
        <v>0</v>
      </c>
      <c r="T253" s="142">
        <f ca="1">+T251/Assumptions!$P$134</f>
        <v>0</v>
      </c>
      <c r="U253" s="142">
        <f ca="1">+U251/Assumptions!$P$134</f>
        <v>0</v>
      </c>
      <c r="V253" s="142">
        <f ca="1">+V251/Assumptions!$P$134</f>
        <v>0</v>
      </c>
      <c r="W253" s="142">
        <f ca="1">+W251/Assumptions!$P$134</f>
        <v>0</v>
      </c>
      <c r="X253" s="142">
        <f ca="1">+X251/Assumptions!$P$134</f>
        <v>0</v>
      </c>
      <c r="Y253" s="142">
        <f ca="1">+Y251/Assumptions!$P$134</f>
        <v>0</v>
      </c>
      <c r="Z253" s="142">
        <f ca="1">+Z251/Assumptions!$P$134</f>
        <v>0</v>
      </c>
    </row>
    <row r="255" spans="2:26" ht="15.5">
      <c r="B255" s="148" t="s">
        <v>31</v>
      </c>
      <c r="F255" s="150">
        <f>+Assumptions!$H$22</f>
        <v>46022</v>
      </c>
      <c r="G255" s="150">
        <f>+EOMONTH(F255,12)</f>
        <v>46387</v>
      </c>
      <c r="H255" s="150">
        <f t="shared" ref="H255:Z255" si="100">+EOMONTH(G255,12)</f>
        <v>46752</v>
      </c>
      <c r="I255" s="150">
        <f t="shared" si="100"/>
        <v>47118</v>
      </c>
      <c r="J255" s="150">
        <f t="shared" si="100"/>
        <v>47483</v>
      </c>
      <c r="K255" s="150">
        <f t="shared" si="100"/>
        <v>47848</v>
      </c>
      <c r="L255" s="150">
        <f t="shared" si="100"/>
        <v>48213</v>
      </c>
      <c r="M255" s="150">
        <f t="shared" si="100"/>
        <v>48579</v>
      </c>
      <c r="N255" s="150">
        <f t="shared" si="100"/>
        <v>48944</v>
      </c>
      <c r="O255" s="150">
        <f t="shared" si="100"/>
        <v>49309</v>
      </c>
      <c r="P255" s="150">
        <f t="shared" si="100"/>
        <v>49674</v>
      </c>
      <c r="Q255" s="150">
        <f t="shared" si="100"/>
        <v>50040</v>
      </c>
      <c r="R255" s="150">
        <f t="shared" si="100"/>
        <v>50405</v>
      </c>
      <c r="S255" s="150">
        <f t="shared" si="100"/>
        <v>50770</v>
      </c>
      <c r="T255" s="150">
        <f t="shared" si="100"/>
        <v>51135</v>
      </c>
      <c r="U255" s="150">
        <f t="shared" si="100"/>
        <v>51501</v>
      </c>
      <c r="V255" s="150">
        <f t="shared" si="100"/>
        <v>51866</v>
      </c>
      <c r="W255" s="150">
        <f t="shared" si="100"/>
        <v>52231</v>
      </c>
      <c r="X255" s="150">
        <f t="shared" si="100"/>
        <v>52596</v>
      </c>
      <c r="Y255" s="150">
        <f t="shared" si="100"/>
        <v>52962</v>
      </c>
      <c r="Z255" s="150">
        <f t="shared" si="100"/>
        <v>53327</v>
      </c>
    </row>
    <row r="256" spans="2:26">
      <c r="B256" s="33" t="s">
        <v>313</v>
      </c>
      <c r="F256" s="34">
        <v>0</v>
      </c>
      <c r="G256" s="34">
        <f t="shared" ref="G256:Z256" si="101">+F259</f>
        <v>0</v>
      </c>
      <c r="H256" s="34">
        <f t="shared" si="101"/>
        <v>0</v>
      </c>
      <c r="I256" s="34">
        <f t="shared" si="101"/>
        <v>0</v>
      </c>
      <c r="J256" s="34">
        <f t="shared" si="101"/>
        <v>0</v>
      </c>
      <c r="K256" s="34">
        <f t="shared" ca="1" si="101"/>
        <v>0</v>
      </c>
      <c r="L256" s="34">
        <f t="shared" ca="1" si="101"/>
        <v>0</v>
      </c>
      <c r="M256" s="34">
        <f t="shared" ca="1" si="101"/>
        <v>0</v>
      </c>
      <c r="N256" s="34">
        <f t="shared" ca="1" si="101"/>
        <v>0</v>
      </c>
      <c r="O256" s="34">
        <f t="shared" ca="1" si="101"/>
        <v>0</v>
      </c>
      <c r="P256" s="34">
        <f t="shared" ca="1" si="101"/>
        <v>0</v>
      </c>
      <c r="Q256" s="34">
        <f t="shared" ca="1" si="101"/>
        <v>0</v>
      </c>
      <c r="R256" s="34">
        <f t="shared" ca="1" si="101"/>
        <v>0</v>
      </c>
      <c r="S256" s="34">
        <f t="shared" ca="1" si="101"/>
        <v>0</v>
      </c>
      <c r="T256" s="34">
        <f t="shared" ca="1" si="101"/>
        <v>0</v>
      </c>
      <c r="U256" s="34">
        <f t="shared" ca="1" si="101"/>
        <v>0</v>
      </c>
      <c r="V256" s="34">
        <f t="shared" ca="1" si="101"/>
        <v>0</v>
      </c>
      <c r="W256" s="34">
        <f t="shared" ca="1" si="101"/>
        <v>0</v>
      </c>
      <c r="X256" s="34">
        <f t="shared" ca="1" si="101"/>
        <v>0</v>
      </c>
      <c r="Y256" s="34">
        <f t="shared" ca="1" si="101"/>
        <v>0</v>
      </c>
      <c r="Z256" s="34">
        <f t="shared" ca="1" si="101"/>
        <v>0</v>
      </c>
    </row>
    <row r="257" spans="2:26">
      <c r="B257" s="33" t="s">
        <v>324</v>
      </c>
      <c r="F257" s="151">
        <f>+IF(YEAR(F$140)=YEAR(Assumptions!$H$26),'S&amp;U'!$T$19,0)</f>
        <v>0</v>
      </c>
      <c r="G257" s="151">
        <f>+IF(YEAR(G$140)=YEAR(Assumptions!$H$26),'S&amp;U'!$T$19,0)</f>
        <v>0</v>
      </c>
      <c r="H257" s="151">
        <f>+IF(YEAR(H$140)=YEAR(Assumptions!$H$26),'S&amp;U'!$T$19,0)</f>
        <v>0</v>
      </c>
      <c r="I257" s="151">
        <f>+IF(YEAR(I$140)=YEAR(Assumptions!$H$26),'S&amp;U'!$T$19,0)</f>
        <v>0</v>
      </c>
      <c r="J257" s="151">
        <f ca="1">+IF(YEAR(J$140)=YEAR(Assumptions!$H$26),'S&amp;U'!$T$19,0)</f>
        <v>0</v>
      </c>
      <c r="K257" s="151">
        <f>+IF(YEAR(K$140)=YEAR(Assumptions!$H$26),'S&amp;U'!$T$19,0)</f>
        <v>0</v>
      </c>
      <c r="L257" s="151">
        <f>+IF(YEAR(L$140)=YEAR(Assumptions!$H$26),'S&amp;U'!$T$19,0)</f>
        <v>0</v>
      </c>
      <c r="M257" s="151">
        <f>+IF(YEAR(M$140)=YEAR(Assumptions!$H$26),'S&amp;U'!$T$19,0)</f>
        <v>0</v>
      </c>
      <c r="N257" s="151">
        <f>+IF(YEAR(N$140)=YEAR(Assumptions!$H$26),'S&amp;U'!$T$19,0)</f>
        <v>0</v>
      </c>
      <c r="O257" s="151">
        <f>+IF(YEAR(O$140)=YEAR(Assumptions!$H$26),'S&amp;U'!$T$19,0)</f>
        <v>0</v>
      </c>
      <c r="P257" s="151">
        <f>+IF(YEAR(P$140)=YEAR(Assumptions!$H$26),'S&amp;U'!$T$19,0)</f>
        <v>0</v>
      </c>
      <c r="Q257" s="151">
        <f>+IF(YEAR(Q$140)=YEAR(Assumptions!$H$26),'S&amp;U'!$T$19,0)</f>
        <v>0</v>
      </c>
      <c r="R257" s="151">
        <f>+IF(YEAR(R$140)=YEAR(Assumptions!$H$26),'S&amp;U'!$T$19,0)</f>
        <v>0</v>
      </c>
      <c r="S257" s="151">
        <f>+IF(YEAR(S$140)=YEAR(Assumptions!$H$26),'S&amp;U'!$T$19,0)</f>
        <v>0</v>
      </c>
      <c r="T257" s="151">
        <f>+IF(YEAR(T$140)=YEAR(Assumptions!$H$26),'S&amp;U'!$T$19,0)</f>
        <v>0</v>
      </c>
      <c r="U257" s="151">
        <f>+IF(YEAR(U$140)=YEAR(Assumptions!$H$26),'S&amp;U'!$T$19,0)</f>
        <v>0</v>
      </c>
      <c r="V257" s="151">
        <f>+IF(YEAR(V$140)=YEAR(Assumptions!$H$26),'S&amp;U'!$T$19,0)</f>
        <v>0</v>
      </c>
      <c r="W257" s="151">
        <f>+IF(YEAR(W$140)=YEAR(Assumptions!$H$26),'S&amp;U'!$T$19,0)</f>
        <v>0</v>
      </c>
      <c r="X257" s="151">
        <f>+IF(YEAR(X$140)=YEAR(Assumptions!$H$26),'S&amp;U'!$T$19,0)</f>
        <v>0</v>
      </c>
      <c r="Y257" s="151">
        <f>+IF(YEAR(Y$140)=YEAR(Assumptions!$H$26),'S&amp;U'!$T$19,0)</f>
        <v>0</v>
      </c>
      <c r="Z257" s="151">
        <f>+IF(YEAR(Z$140)=YEAR(Assumptions!$H$26),'S&amp;U'!$T$19,0)</f>
        <v>0</v>
      </c>
    </row>
    <row r="258" spans="2:26">
      <c r="B258" s="33" t="s">
        <v>156</v>
      </c>
      <c r="F258" s="151">
        <v>0</v>
      </c>
      <c r="G258" s="151">
        <v>0</v>
      </c>
      <c r="H258" s="151">
        <v>0</v>
      </c>
      <c r="I258" s="151">
        <v>0</v>
      </c>
      <c r="J258" s="151">
        <v>0</v>
      </c>
      <c r="K258" s="151">
        <v>0</v>
      </c>
      <c r="L258" s="151">
        <v>0</v>
      </c>
      <c r="M258" s="151">
        <v>0</v>
      </c>
      <c r="N258" s="151">
        <v>0</v>
      </c>
      <c r="O258" s="151">
        <v>0</v>
      </c>
      <c r="P258" s="151">
        <v>0</v>
      </c>
      <c r="Q258" s="151">
        <v>0</v>
      </c>
      <c r="R258" s="151">
        <v>0</v>
      </c>
      <c r="S258" s="151">
        <v>0</v>
      </c>
      <c r="T258" s="151">
        <v>0</v>
      </c>
      <c r="U258" s="151">
        <v>0</v>
      </c>
      <c r="V258" s="151">
        <v>0</v>
      </c>
      <c r="W258" s="151">
        <v>0</v>
      </c>
      <c r="X258" s="151">
        <v>0</v>
      </c>
      <c r="Y258" s="151">
        <v>0</v>
      </c>
      <c r="Z258" s="151">
        <v>0</v>
      </c>
    </row>
    <row r="259" spans="2:26">
      <c r="B259" s="33" t="s">
        <v>315</v>
      </c>
      <c r="F259" s="151">
        <f t="shared" ref="F259:N259" si="102">+SUM(F256:F258)</f>
        <v>0</v>
      </c>
      <c r="G259" s="151">
        <f t="shared" si="102"/>
        <v>0</v>
      </c>
      <c r="H259" s="151">
        <f t="shared" si="102"/>
        <v>0</v>
      </c>
      <c r="I259" s="151">
        <f t="shared" si="102"/>
        <v>0</v>
      </c>
      <c r="J259" s="151">
        <f t="shared" ca="1" si="102"/>
        <v>0</v>
      </c>
      <c r="K259" s="151">
        <f t="shared" ca="1" si="102"/>
        <v>0</v>
      </c>
      <c r="L259" s="151">
        <f t="shared" ca="1" si="102"/>
        <v>0</v>
      </c>
      <c r="M259" s="151">
        <f t="shared" ca="1" si="102"/>
        <v>0</v>
      </c>
      <c r="N259" s="151">
        <f t="shared" ca="1" si="102"/>
        <v>0</v>
      </c>
      <c r="O259" s="151">
        <f t="shared" ref="O259" ca="1" si="103">+SUM(O256:O258)</f>
        <v>0</v>
      </c>
      <c r="P259" s="151">
        <f t="shared" ref="P259:Z259" ca="1" si="104">+SUM(P256:P258)</f>
        <v>0</v>
      </c>
      <c r="Q259" s="151">
        <f t="shared" ca="1" si="104"/>
        <v>0</v>
      </c>
      <c r="R259" s="151">
        <f t="shared" ca="1" si="104"/>
        <v>0</v>
      </c>
      <c r="S259" s="151">
        <f t="shared" ca="1" si="104"/>
        <v>0</v>
      </c>
      <c r="T259" s="151">
        <f t="shared" ca="1" si="104"/>
        <v>0</v>
      </c>
      <c r="U259" s="151">
        <f t="shared" ca="1" si="104"/>
        <v>0</v>
      </c>
      <c r="V259" s="151">
        <f t="shared" ca="1" si="104"/>
        <v>0</v>
      </c>
      <c r="W259" s="151">
        <f t="shared" ca="1" si="104"/>
        <v>0</v>
      </c>
      <c r="X259" s="151">
        <f t="shared" ca="1" si="104"/>
        <v>0</v>
      </c>
      <c r="Y259" s="151">
        <f t="shared" ca="1" si="104"/>
        <v>0</v>
      </c>
      <c r="Z259" s="151">
        <f t="shared" ca="1" si="104"/>
        <v>0</v>
      </c>
    </row>
    <row r="261" spans="2:26">
      <c r="B261" s="41" t="s">
        <v>314</v>
      </c>
      <c r="F261" s="34">
        <f>+F259*Assumptions!$P$163</f>
        <v>0</v>
      </c>
      <c r="G261" s="34">
        <f>+G259*Assumptions!$P$163</f>
        <v>0</v>
      </c>
      <c r="H261" s="34">
        <f>+H259*Assumptions!$P$163</f>
        <v>0</v>
      </c>
      <c r="I261" s="34">
        <f>+I259*Assumptions!$P$163</f>
        <v>0</v>
      </c>
      <c r="J261" s="34">
        <f ca="1">+J259*Assumptions!$P$163</f>
        <v>0</v>
      </c>
      <c r="K261" s="34">
        <f ca="1">+K259*Assumptions!$P$163</f>
        <v>0</v>
      </c>
      <c r="L261" s="34">
        <f ca="1">+L259*Assumptions!$P$163</f>
        <v>0</v>
      </c>
      <c r="M261" s="34">
        <f ca="1">+M259*Assumptions!$P$163</f>
        <v>0</v>
      </c>
      <c r="N261" s="34">
        <f ca="1">+N259*Assumptions!$P$163</f>
        <v>0</v>
      </c>
      <c r="O261" s="34">
        <f ca="1">+O259*Assumptions!$P$163</f>
        <v>0</v>
      </c>
      <c r="P261" s="34">
        <f ca="1">+P259*Assumptions!$P$163</f>
        <v>0</v>
      </c>
      <c r="Q261" s="34">
        <f ca="1">+Q259*Assumptions!$P$163</f>
        <v>0</v>
      </c>
      <c r="R261" s="34">
        <f ca="1">+R259*Assumptions!$P$163</f>
        <v>0</v>
      </c>
      <c r="S261" s="34">
        <f ca="1">+S259*Assumptions!$P$163</f>
        <v>0</v>
      </c>
      <c r="T261" s="34">
        <f ca="1">+T259*Assumptions!$P$163</f>
        <v>0</v>
      </c>
      <c r="U261" s="34">
        <f ca="1">+U259*Assumptions!$P$163</f>
        <v>0</v>
      </c>
      <c r="V261" s="34">
        <f ca="1">+V259*Assumptions!$P$163</f>
        <v>0</v>
      </c>
      <c r="W261" s="34">
        <f ca="1">+W259*Assumptions!$P$163</f>
        <v>0</v>
      </c>
      <c r="X261" s="34">
        <f ca="1">+X259*Assumptions!$P$163</f>
        <v>0</v>
      </c>
      <c r="Y261" s="34">
        <f ca="1">+Y259*Assumptions!$P$163</f>
        <v>0</v>
      </c>
      <c r="Z261" s="34">
        <f ca="1">+Z259*Assumptions!$P$163</f>
        <v>0</v>
      </c>
    </row>
    <row r="262" spans="2:26">
      <c r="B262" s="137" t="s">
        <v>323</v>
      </c>
      <c r="C262" s="137"/>
      <c r="D262" s="137"/>
      <c r="E262" s="137"/>
      <c r="F262" s="129">
        <f t="shared" ref="F262:K262" si="105">+F261-F258</f>
        <v>0</v>
      </c>
      <c r="G262" s="129">
        <f t="shared" si="105"/>
        <v>0</v>
      </c>
      <c r="H262" s="129">
        <f t="shared" si="105"/>
        <v>0</v>
      </c>
      <c r="I262" s="129">
        <f t="shared" si="105"/>
        <v>0</v>
      </c>
      <c r="J262" s="129">
        <f t="shared" ca="1" si="105"/>
        <v>0</v>
      </c>
      <c r="K262" s="129">
        <f t="shared" ca="1" si="105"/>
        <v>0</v>
      </c>
      <c r="L262" s="129">
        <f ca="1">+L261-L258</f>
        <v>0</v>
      </c>
      <c r="M262" s="129">
        <f t="shared" ref="M262:Z262" ca="1" si="106">+M261-M258</f>
        <v>0</v>
      </c>
      <c r="N262" s="129">
        <f t="shared" ca="1" si="106"/>
        <v>0</v>
      </c>
      <c r="O262" s="129">
        <f t="shared" ca="1" si="106"/>
        <v>0</v>
      </c>
      <c r="P262" s="129">
        <f t="shared" ca="1" si="106"/>
        <v>0</v>
      </c>
      <c r="Q262" s="129">
        <f t="shared" ca="1" si="106"/>
        <v>0</v>
      </c>
      <c r="R262" s="129">
        <f t="shared" ca="1" si="106"/>
        <v>0</v>
      </c>
      <c r="S262" s="129">
        <f t="shared" ca="1" si="106"/>
        <v>0</v>
      </c>
      <c r="T262" s="129">
        <f t="shared" ca="1" si="106"/>
        <v>0</v>
      </c>
      <c r="U262" s="129">
        <f t="shared" ca="1" si="106"/>
        <v>0</v>
      </c>
      <c r="V262" s="129">
        <f t="shared" ca="1" si="106"/>
        <v>0</v>
      </c>
      <c r="W262" s="129">
        <f t="shared" ca="1" si="106"/>
        <v>0</v>
      </c>
      <c r="X262" s="129">
        <f t="shared" ca="1" si="106"/>
        <v>0</v>
      </c>
      <c r="Y262" s="129">
        <f t="shared" ca="1" si="106"/>
        <v>0</v>
      </c>
      <c r="Z262" s="129">
        <f t="shared" ca="1" si="106"/>
        <v>0</v>
      </c>
    </row>
    <row r="263" spans="2:26" ht="15.5">
      <c r="B263" s="146" t="s">
        <v>172</v>
      </c>
      <c r="F263" s="180" t="str">
        <f t="shared" ref="F263:J263" ca="1" si="107">+IFERROR(F251/F262,"")</f>
        <v/>
      </c>
      <c r="G263" s="180" t="str">
        <f t="shared" ca="1" si="107"/>
        <v/>
      </c>
      <c r="H263" s="180" t="str">
        <f t="shared" ca="1" si="107"/>
        <v/>
      </c>
      <c r="I263" s="180" t="str">
        <f t="shared" ca="1" si="107"/>
        <v/>
      </c>
      <c r="J263" s="180" t="str">
        <f t="shared" ca="1" si="107"/>
        <v/>
      </c>
      <c r="K263" s="180" t="str">
        <f ca="1">+IFERROR(K251/K262,"")</f>
        <v/>
      </c>
      <c r="L263" s="180" t="str">
        <f t="shared" ref="L263:Z263" ca="1" si="108">+IFERROR(L251/L262,"")</f>
        <v/>
      </c>
      <c r="M263" s="180" t="str">
        <f t="shared" ca="1" si="108"/>
        <v/>
      </c>
      <c r="N263" s="180" t="str">
        <f t="shared" ca="1" si="108"/>
        <v/>
      </c>
      <c r="O263" s="180" t="str">
        <f t="shared" ca="1" si="108"/>
        <v/>
      </c>
      <c r="P263" s="180" t="str">
        <f t="shared" ca="1" si="108"/>
        <v/>
      </c>
      <c r="Q263" s="180" t="str">
        <f t="shared" ca="1" si="108"/>
        <v/>
      </c>
      <c r="R263" s="180" t="str">
        <f t="shared" ca="1" si="108"/>
        <v/>
      </c>
      <c r="S263" s="180" t="str">
        <f t="shared" ca="1" si="108"/>
        <v/>
      </c>
      <c r="T263" s="180" t="str">
        <f t="shared" ca="1" si="108"/>
        <v/>
      </c>
      <c r="U263" s="180" t="str">
        <f t="shared" ca="1" si="108"/>
        <v/>
      </c>
      <c r="V263" s="180" t="str">
        <f t="shared" ca="1" si="108"/>
        <v/>
      </c>
      <c r="W263" s="180" t="str">
        <f t="shared" ca="1" si="108"/>
        <v/>
      </c>
      <c r="X263" s="180" t="str">
        <f t="shared" ca="1" si="108"/>
        <v/>
      </c>
      <c r="Y263" s="180" t="str">
        <f t="shared" ca="1" si="108"/>
        <v/>
      </c>
      <c r="Z263" s="180" t="str">
        <f t="shared" ca="1" si="108"/>
        <v/>
      </c>
    </row>
    <row r="265" spans="2:26">
      <c r="B265" s="41" t="s">
        <v>150</v>
      </c>
      <c r="F265" s="34">
        <f>+F257*Assumptions!$P$164</f>
        <v>0</v>
      </c>
      <c r="G265" s="34">
        <f>+G257*Assumptions!$P$164</f>
        <v>0</v>
      </c>
      <c r="H265" s="34">
        <f>+H257*Assumptions!$P$164</f>
        <v>0</v>
      </c>
      <c r="I265" s="34">
        <f>+I257*Assumptions!$P$164</f>
        <v>0</v>
      </c>
      <c r="J265" s="34">
        <f ca="1">+J257*Assumptions!$P$164</f>
        <v>0</v>
      </c>
      <c r="K265" s="34">
        <f>+K257*Assumptions!$P$164</f>
        <v>0</v>
      </c>
      <c r="L265" s="34">
        <f>+L257*Assumptions!$P$164</f>
        <v>0</v>
      </c>
      <c r="M265" s="34">
        <f>+M257*Assumptions!$P$164</f>
        <v>0</v>
      </c>
      <c r="N265" s="34">
        <f>+N257*Assumptions!$P$164</f>
        <v>0</v>
      </c>
      <c r="O265" s="34">
        <f>+O257*Assumptions!$P$164</f>
        <v>0</v>
      </c>
      <c r="P265" s="34">
        <f>+P257*Assumptions!$P$164</f>
        <v>0</v>
      </c>
      <c r="Q265" s="34">
        <f>+Q257*Assumptions!$P$164</f>
        <v>0</v>
      </c>
      <c r="R265" s="34">
        <f>+R257*Assumptions!$P$164</f>
        <v>0</v>
      </c>
      <c r="S265" s="34">
        <f>+S257*Assumptions!$P$164</f>
        <v>0</v>
      </c>
      <c r="T265" s="34">
        <f>+T257*Assumptions!$P$164</f>
        <v>0</v>
      </c>
      <c r="U265" s="34">
        <f>+U257*Assumptions!$P$164</f>
        <v>0</v>
      </c>
      <c r="V265" s="34">
        <f>+V257*Assumptions!$P$164</f>
        <v>0</v>
      </c>
      <c r="W265" s="34">
        <f>+W257*Assumptions!$P$164</f>
        <v>0</v>
      </c>
      <c r="X265" s="34">
        <f>+X257*Assumptions!$P$164</f>
        <v>0</v>
      </c>
      <c r="Y265" s="34">
        <f>+Y257*Assumptions!$P$164</f>
        <v>0</v>
      </c>
      <c r="Z265" s="34">
        <f>+Z257*Assumptions!$P$164</f>
        <v>0</v>
      </c>
    </row>
    <row r="267" spans="2:26">
      <c r="B267" s="137" t="s">
        <v>316</v>
      </c>
      <c r="C267" s="137"/>
      <c r="D267" s="137"/>
      <c r="E267" s="137"/>
      <c r="F267" s="129">
        <f ca="1">+F251-F262-F265</f>
        <v>0</v>
      </c>
      <c r="G267" s="129">
        <f t="shared" ref="G267:Z267" ca="1" si="109">+G251-G262-G265</f>
        <v>0</v>
      </c>
      <c r="H267" s="129">
        <f t="shared" ca="1" si="109"/>
        <v>0</v>
      </c>
      <c r="I267" s="129">
        <f t="shared" ca="1" si="109"/>
        <v>0</v>
      </c>
      <c r="J267" s="129">
        <f t="shared" ca="1" si="109"/>
        <v>0</v>
      </c>
      <c r="K267" s="129">
        <f t="shared" ca="1" si="109"/>
        <v>0</v>
      </c>
      <c r="L267" s="129">
        <f t="shared" ca="1" si="109"/>
        <v>0</v>
      </c>
      <c r="M267" s="129">
        <f t="shared" ca="1" si="109"/>
        <v>0</v>
      </c>
      <c r="N267" s="129">
        <f t="shared" ca="1" si="109"/>
        <v>0</v>
      </c>
      <c r="O267" s="129">
        <f t="shared" ca="1" si="109"/>
        <v>0</v>
      </c>
      <c r="P267" s="129">
        <f t="shared" ca="1" si="109"/>
        <v>0</v>
      </c>
      <c r="Q267" s="129">
        <f t="shared" ca="1" si="109"/>
        <v>0</v>
      </c>
      <c r="R267" s="129">
        <f t="shared" ca="1" si="109"/>
        <v>0</v>
      </c>
      <c r="S267" s="129">
        <f t="shared" ca="1" si="109"/>
        <v>0</v>
      </c>
      <c r="T267" s="129">
        <f t="shared" ca="1" si="109"/>
        <v>0</v>
      </c>
      <c r="U267" s="129">
        <f t="shared" ca="1" si="109"/>
        <v>0</v>
      </c>
      <c r="V267" s="129">
        <f t="shared" ca="1" si="109"/>
        <v>0</v>
      </c>
      <c r="W267" s="129">
        <f t="shared" ca="1" si="109"/>
        <v>0</v>
      </c>
      <c r="X267" s="129">
        <f t="shared" ca="1" si="109"/>
        <v>0</v>
      </c>
      <c r="Y267" s="129">
        <f t="shared" ca="1" si="109"/>
        <v>0</v>
      </c>
      <c r="Z267" s="129">
        <f t="shared" ca="1" si="109"/>
        <v>0</v>
      </c>
    </row>
    <row r="269" spans="2:26" ht="15.5">
      <c r="B269" s="148" t="s">
        <v>325</v>
      </c>
    </row>
    <row r="270" spans="2:26">
      <c r="B270" s="33" t="s">
        <v>318</v>
      </c>
      <c r="F270" s="34">
        <f>+IF(YEAR(F$140)=YEAR(Assumptions!$H$30),F253,0)</f>
        <v>0</v>
      </c>
      <c r="G270" s="34">
        <f>+IF(YEAR(G$140)=YEAR(Assumptions!$H$30),G253,0)</f>
        <v>0</v>
      </c>
      <c r="H270" s="34">
        <f>+IF(YEAR(H$140)=YEAR(Assumptions!$H$30),H253,0)</f>
        <v>0</v>
      </c>
      <c r="I270" s="34">
        <f>+IF(YEAR(I$140)=YEAR(Assumptions!$H$30),I253,0)</f>
        <v>0</v>
      </c>
      <c r="J270" s="34">
        <f>+IF(YEAR(J$140)=YEAR(Assumptions!$H$30),J253,0)</f>
        <v>0</v>
      </c>
      <c r="K270" s="34">
        <f>+IF(YEAR(K$140)=YEAR(Assumptions!$H$30),K253,0)</f>
        <v>0</v>
      </c>
      <c r="L270" s="34">
        <f ca="1">+IF(YEAR(L$140)=YEAR(Assumptions!$H$30),L253,0)</f>
        <v>0</v>
      </c>
      <c r="M270" s="34">
        <f>+IF(YEAR(M$140)=YEAR(Assumptions!$H$30),M253,0)</f>
        <v>0</v>
      </c>
      <c r="N270" s="34">
        <f>+IF(YEAR(N$140)=YEAR(Assumptions!$H$30),N253,0)</f>
        <v>0</v>
      </c>
      <c r="O270" s="34">
        <f>+IF(YEAR(O$140)=YEAR(Assumptions!$H$30),O253,0)</f>
        <v>0</v>
      </c>
      <c r="P270" s="34">
        <f>+IF(YEAR(P$140)=YEAR(Assumptions!$H$30),P253,0)</f>
        <v>0</v>
      </c>
      <c r="Q270" s="34">
        <f>+IF(YEAR(Q$140)=YEAR(Assumptions!$H$30),Q253,0)</f>
        <v>0</v>
      </c>
      <c r="R270" s="34">
        <f>+IF(YEAR(R$140)=YEAR(Assumptions!$H$30),R253,0)</f>
        <v>0</v>
      </c>
      <c r="S270" s="34">
        <f>+IF(YEAR(S$140)=YEAR(Assumptions!$H$30),S253,0)</f>
        <v>0</v>
      </c>
      <c r="T270" s="34">
        <f>+IF(YEAR(T$140)=YEAR(Assumptions!$H$30),T253,0)</f>
        <v>0</v>
      </c>
      <c r="U270" s="34">
        <f>+IF(YEAR(U$140)=YEAR(Assumptions!$H$30),U253,0)</f>
        <v>0</v>
      </c>
      <c r="V270" s="34">
        <f>+IF(YEAR(V$140)=YEAR(Assumptions!$H$30),V253,0)</f>
        <v>0</v>
      </c>
      <c r="W270" s="34">
        <f>+IF(YEAR(W$140)=YEAR(Assumptions!$H$30),W253,0)</f>
        <v>0</v>
      </c>
      <c r="X270" s="34">
        <f>+IF(YEAR(X$140)=YEAR(Assumptions!$H$30),X253,0)</f>
        <v>0</v>
      </c>
      <c r="Y270" s="34">
        <f>+IF(YEAR(Y$140)=YEAR(Assumptions!$H$30),Y253,0)</f>
        <v>0</v>
      </c>
      <c r="Z270" s="34">
        <f>+IF(YEAR(Z$140)=YEAR(Assumptions!$H$30),Z253,0)</f>
        <v>0</v>
      </c>
    </row>
    <row r="271" spans="2:26">
      <c r="B271" s="33" t="s">
        <v>319</v>
      </c>
      <c r="F271" s="151">
        <f>-F270*Assumptions!$P$136</f>
        <v>0</v>
      </c>
      <c r="G271" s="151">
        <f>-G270*Assumptions!$P$136</f>
        <v>0</v>
      </c>
      <c r="H271" s="151">
        <f>-H270*Assumptions!$P$136</f>
        <v>0</v>
      </c>
      <c r="I271" s="151">
        <f>-I270*Assumptions!$P$136</f>
        <v>0</v>
      </c>
      <c r="J271" s="151">
        <f>-J270*Assumptions!$P$136</f>
        <v>0</v>
      </c>
      <c r="K271" s="151">
        <f>-K270*Assumptions!$P$136</f>
        <v>0</v>
      </c>
      <c r="L271" s="151">
        <f ca="1">-L270*Assumptions!$P$136</f>
        <v>0</v>
      </c>
      <c r="M271" s="151">
        <f>-M270*Assumptions!$P$136</f>
        <v>0</v>
      </c>
      <c r="N271" s="151">
        <f>-N270*Assumptions!$P$136</f>
        <v>0</v>
      </c>
      <c r="O271" s="151">
        <f>-O270*Assumptions!$P$136</f>
        <v>0</v>
      </c>
      <c r="P271" s="151">
        <f>-P270*Assumptions!$P$136</f>
        <v>0</v>
      </c>
      <c r="Q271" s="151">
        <f>-Q270*Assumptions!$P$136</f>
        <v>0</v>
      </c>
      <c r="R271" s="151">
        <f>-R270*Assumptions!$P$136</f>
        <v>0</v>
      </c>
      <c r="S271" s="151">
        <f>-S270*Assumptions!$P$136</f>
        <v>0</v>
      </c>
      <c r="T271" s="151">
        <f>-T270*Assumptions!$P$136</f>
        <v>0</v>
      </c>
      <c r="U271" s="151">
        <f>-U270*Assumptions!$P$136</f>
        <v>0</v>
      </c>
      <c r="V271" s="151">
        <f>-V270*Assumptions!$P$136</f>
        <v>0</v>
      </c>
      <c r="W271" s="151">
        <f>-W270*Assumptions!$P$136</f>
        <v>0</v>
      </c>
      <c r="X271" s="151">
        <f>-X270*Assumptions!$P$136</f>
        <v>0</v>
      </c>
      <c r="Y271" s="151">
        <f>-Y270*Assumptions!$P$136</f>
        <v>0</v>
      </c>
      <c r="Z271" s="151">
        <f>-Z270*Assumptions!$P$136</f>
        <v>0</v>
      </c>
    </row>
    <row r="272" spans="2:26">
      <c r="B272" s="33" t="s">
        <v>320</v>
      </c>
      <c r="F272" s="151">
        <f>+IF(YEAR(F$140)=YEAR(Assumptions!$H$30),-F259,0)</f>
        <v>0</v>
      </c>
      <c r="G272" s="151">
        <f>+IF(YEAR(G$140)=YEAR(Assumptions!$H$30),-G259,0)</f>
        <v>0</v>
      </c>
      <c r="H272" s="151">
        <f>+IF(YEAR(H$140)=YEAR(Assumptions!$H$30),-H259,0)</f>
        <v>0</v>
      </c>
      <c r="I272" s="151">
        <f>+IF(YEAR(I$140)=YEAR(Assumptions!$H$30),-I259,0)</f>
        <v>0</v>
      </c>
      <c r="J272" s="151">
        <f>+IF(YEAR(J$140)=YEAR(Assumptions!$H$30),-J259,0)</f>
        <v>0</v>
      </c>
      <c r="K272" s="151">
        <f>+IF(YEAR(K$140)=YEAR(Assumptions!$H$30),-K259,0)</f>
        <v>0</v>
      </c>
      <c r="L272" s="151">
        <f ca="1">+IF(YEAR(L$140)=YEAR(Assumptions!$H$30),-L259,0)</f>
        <v>0</v>
      </c>
      <c r="M272" s="151">
        <f>+IF(YEAR(M$140)=YEAR(Assumptions!$H$30),-M259,0)</f>
        <v>0</v>
      </c>
      <c r="N272" s="151">
        <f>+IF(YEAR(N$140)=YEAR(Assumptions!$H$30),-N259,0)</f>
        <v>0</v>
      </c>
      <c r="O272" s="151">
        <f>+IF(YEAR(O$140)=YEAR(Assumptions!$H$30),-O259,0)</f>
        <v>0</v>
      </c>
      <c r="P272" s="151">
        <f>+IF(YEAR(P$140)=YEAR(Assumptions!$H$30),-P259,0)</f>
        <v>0</v>
      </c>
      <c r="Q272" s="151">
        <f>+IF(YEAR(Q$140)=YEAR(Assumptions!$H$30),-Q259,0)</f>
        <v>0</v>
      </c>
      <c r="R272" s="151">
        <f>+IF(YEAR(R$140)=YEAR(Assumptions!$H$30),-R259,0)</f>
        <v>0</v>
      </c>
      <c r="S272" s="151">
        <f>+IF(YEAR(S$140)=YEAR(Assumptions!$H$30),-S259,0)</f>
        <v>0</v>
      </c>
      <c r="T272" s="151">
        <f>+IF(YEAR(T$140)=YEAR(Assumptions!$H$30),-T259,0)</f>
        <v>0</v>
      </c>
      <c r="U272" s="151">
        <f>+IF(YEAR(U$140)=YEAR(Assumptions!$H$30),-U259,0)</f>
        <v>0</v>
      </c>
      <c r="V272" s="151">
        <f>+IF(YEAR(V$140)=YEAR(Assumptions!$H$30),-V259,0)</f>
        <v>0</v>
      </c>
      <c r="W272" s="151">
        <f>+IF(YEAR(W$140)=YEAR(Assumptions!$H$30),-W259,0)</f>
        <v>0</v>
      </c>
      <c r="X272" s="151">
        <f>+IF(YEAR(X$140)=YEAR(Assumptions!$H$30),-X259,0)</f>
        <v>0</v>
      </c>
      <c r="Y272" s="151">
        <f>+IF(YEAR(Y$140)=YEAR(Assumptions!$H$30),-Y259,0)</f>
        <v>0</v>
      </c>
      <c r="Z272" s="151">
        <f>+IF(YEAR(Z$140)=YEAR(Assumptions!$H$30),-Z259,0)</f>
        <v>0</v>
      </c>
    </row>
    <row r="273" spans="2:26">
      <c r="B273" s="137" t="s">
        <v>321</v>
      </c>
      <c r="C273" s="137"/>
      <c r="D273" s="137"/>
      <c r="E273" s="137"/>
      <c r="F273" s="129">
        <f t="shared" ref="F273:Z273" si="110">+SUM(F270:F272)</f>
        <v>0</v>
      </c>
      <c r="G273" s="129">
        <f t="shared" si="110"/>
        <v>0</v>
      </c>
      <c r="H273" s="129">
        <f t="shared" si="110"/>
        <v>0</v>
      </c>
      <c r="I273" s="129">
        <f t="shared" si="110"/>
        <v>0</v>
      </c>
      <c r="J273" s="129">
        <f t="shared" si="110"/>
        <v>0</v>
      </c>
      <c r="K273" s="129">
        <f t="shared" si="110"/>
        <v>0</v>
      </c>
      <c r="L273" s="129">
        <f t="shared" ca="1" si="110"/>
        <v>0</v>
      </c>
      <c r="M273" s="129">
        <f t="shared" si="110"/>
        <v>0</v>
      </c>
      <c r="N273" s="129">
        <f t="shared" si="110"/>
        <v>0</v>
      </c>
      <c r="O273" s="129">
        <f t="shared" si="110"/>
        <v>0</v>
      </c>
      <c r="P273" s="129">
        <f t="shared" si="110"/>
        <v>0</v>
      </c>
      <c r="Q273" s="129">
        <f t="shared" si="110"/>
        <v>0</v>
      </c>
      <c r="R273" s="129">
        <f t="shared" si="110"/>
        <v>0</v>
      </c>
      <c r="S273" s="129">
        <f t="shared" si="110"/>
        <v>0</v>
      </c>
      <c r="T273" s="129">
        <f t="shared" si="110"/>
        <v>0</v>
      </c>
      <c r="U273" s="129">
        <f t="shared" si="110"/>
        <v>0</v>
      </c>
      <c r="V273" s="129">
        <f t="shared" si="110"/>
        <v>0</v>
      </c>
      <c r="W273" s="129">
        <f t="shared" si="110"/>
        <v>0</v>
      </c>
      <c r="X273" s="129">
        <f t="shared" si="110"/>
        <v>0</v>
      </c>
      <c r="Y273" s="129">
        <f t="shared" si="110"/>
        <v>0</v>
      </c>
      <c r="Z273" s="129">
        <f t="shared" si="110"/>
        <v>0</v>
      </c>
    </row>
    <row r="275" spans="2:26" ht="15.5">
      <c r="B275" s="138" t="s">
        <v>322</v>
      </c>
      <c r="C275" s="138"/>
      <c r="D275" s="138"/>
      <c r="E275" s="138"/>
      <c r="F275" s="139">
        <f ca="1">+IF(YEAR(F$140)&lt;=YEAR(Assumptions!$H$30),'Phase III Pro Forma'!F273+'Phase III Pro Forma'!F267,0)</f>
        <v>0</v>
      </c>
      <c r="G275" s="139">
        <f ca="1">+IF(YEAR(G$140)&lt;=YEAR(Assumptions!$H$30),'Phase III Pro Forma'!G273+'Phase III Pro Forma'!G267,0)</f>
        <v>0</v>
      </c>
      <c r="H275" s="139">
        <f ca="1">+IF(YEAR(H$140)&lt;=YEAR(Assumptions!$H$30),'Phase III Pro Forma'!H273+'Phase III Pro Forma'!H267,0)</f>
        <v>0</v>
      </c>
      <c r="I275" s="139">
        <f ca="1">+IF(YEAR(I$140)&lt;=YEAR(Assumptions!$H$30),'Phase III Pro Forma'!I273+'Phase III Pro Forma'!I267,0)</f>
        <v>0</v>
      </c>
      <c r="J275" s="139">
        <f ca="1">+IF(YEAR(J$140)&lt;=YEAR(Assumptions!$H$30),'Phase III Pro Forma'!J273+'Phase III Pro Forma'!J267,0)</f>
        <v>0</v>
      </c>
      <c r="K275" s="139">
        <f ca="1">+IF(YEAR(K$140)&lt;=YEAR(Assumptions!$H$30),'Phase III Pro Forma'!K273+'Phase III Pro Forma'!K267,0)</f>
        <v>0</v>
      </c>
      <c r="L275" s="139">
        <f ca="1">+IF(YEAR(L$140)&lt;=YEAR(Assumptions!$H$30),'Phase III Pro Forma'!L273+'Phase III Pro Forma'!L267,0)</f>
        <v>0</v>
      </c>
      <c r="M275" s="139">
        <f>+IF(YEAR(M$140)&lt;=YEAR(Assumptions!$H$30),'Phase III Pro Forma'!M273+'Phase III Pro Forma'!M267,0)</f>
        <v>0</v>
      </c>
      <c r="N275" s="139">
        <f>+IF(YEAR(N$140)&lt;=YEAR(Assumptions!$H$30),'Phase III Pro Forma'!N273+'Phase III Pro Forma'!N267,0)</f>
        <v>0</v>
      </c>
      <c r="O275" s="139">
        <f>+IF(YEAR(O$140)&lt;=YEAR(Assumptions!$H$30),'Phase III Pro Forma'!O273+'Phase III Pro Forma'!O267,0)</f>
        <v>0</v>
      </c>
      <c r="P275" s="139">
        <f>+IF(YEAR(P$140)&lt;=YEAR(Assumptions!$H$30),'Phase III Pro Forma'!P273+'Phase III Pro Forma'!P267,0)</f>
        <v>0</v>
      </c>
      <c r="Q275" s="139">
        <f>+IF(YEAR(Q$140)&lt;=YEAR(Assumptions!$H$30),'Phase III Pro Forma'!Q273+'Phase III Pro Forma'!Q267,0)</f>
        <v>0</v>
      </c>
      <c r="R275" s="139">
        <f>+IF(YEAR(R$140)&lt;=YEAR(Assumptions!$H$30),'Phase III Pro Forma'!R273+'Phase III Pro Forma'!R267,0)</f>
        <v>0</v>
      </c>
      <c r="S275" s="139">
        <f>+IF(YEAR(S$140)&lt;=YEAR(Assumptions!$H$30),'Phase III Pro Forma'!S273+'Phase III Pro Forma'!S267,0)</f>
        <v>0</v>
      </c>
      <c r="T275" s="139">
        <f>+IF(YEAR(T$140)&lt;=YEAR(Assumptions!$H$30),'Phase III Pro Forma'!T273+'Phase III Pro Forma'!T267,0)</f>
        <v>0</v>
      </c>
      <c r="U275" s="139">
        <f>+IF(YEAR(U$140)&lt;=YEAR(Assumptions!$H$30),'Phase III Pro Forma'!U273+'Phase III Pro Forma'!U267,0)</f>
        <v>0</v>
      </c>
      <c r="V275" s="139">
        <f>+IF(YEAR(V$140)&lt;=YEAR(Assumptions!$H$30),'Phase III Pro Forma'!V273+'Phase III Pro Forma'!V267,0)</f>
        <v>0</v>
      </c>
      <c r="W275" s="139">
        <f>+IF(YEAR(W$140)&lt;=YEAR(Assumptions!$H$30),'Phase III Pro Forma'!W273+'Phase III Pro Forma'!W267,0)</f>
        <v>0</v>
      </c>
      <c r="X275" s="139">
        <f>+IF(YEAR(X$140)&lt;=YEAR(Assumptions!$H$30),'Phase III Pro Forma'!X273+'Phase III Pro Forma'!X267,0)</f>
        <v>0</v>
      </c>
      <c r="Y275" s="139">
        <f>+IF(YEAR(Y$140)&lt;=YEAR(Assumptions!$H$30),'Phase III Pro Forma'!Y273+'Phase III Pro Forma'!Y267,0)</f>
        <v>0</v>
      </c>
      <c r="Z275" s="139">
        <f>+IF(YEAR(Z$140)&lt;=YEAR(Assumptions!$H$30),'Phase III Pro Forma'!Z273+'Phase III Pro Forma'!Z267,0)</f>
        <v>0</v>
      </c>
    </row>
    <row r="277" spans="2:26" ht="15.5">
      <c r="B277" s="138" t="s">
        <v>338</v>
      </c>
      <c r="C277" s="138"/>
      <c r="D277" s="138"/>
      <c r="E277" s="138"/>
      <c r="F277" s="139">
        <f t="shared" ref="F277:Z277" ca="1" si="111">+F275+F230+F162</f>
        <v>0</v>
      </c>
      <c r="G277" s="139">
        <f t="shared" ca="1" si="111"/>
        <v>0</v>
      </c>
      <c r="H277" s="139">
        <f t="shared" ca="1" si="111"/>
        <v>0</v>
      </c>
      <c r="I277" s="139">
        <f t="shared" ca="1" si="111"/>
        <v>0</v>
      </c>
      <c r="J277" s="139">
        <f t="shared" ca="1" si="111"/>
        <v>86431448.332486138</v>
      </c>
      <c r="K277" s="139">
        <f t="shared" ca="1" si="111"/>
        <v>10251709.94885575</v>
      </c>
      <c r="L277" s="139">
        <f t="shared" ca="1" si="111"/>
        <v>233883334.07154188</v>
      </c>
      <c r="M277" s="139">
        <f t="shared" si="111"/>
        <v>0</v>
      </c>
      <c r="N277" s="139">
        <f t="shared" si="111"/>
        <v>0</v>
      </c>
      <c r="O277" s="139">
        <f t="shared" si="111"/>
        <v>0</v>
      </c>
      <c r="P277" s="139">
        <f t="shared" si="111"/>
        <v>0</v>
      </c>
      <c r="Q277" s="139">
        <f t="shared" si="111"/>
        <v>0</v>
      </c>
      <c r="R277" s="139">
        <f t="shared" si="111"/>
        <v>0</v>
      </c>
      <c r="S277" s="139">
        <f t="shared" si="111"/>
        <v>0</v>
      </c>
      <c r="T277" s="139">
        <f t="shared" si="111"/>
        <v>0</v>
      </c>
      <c r="U277" s="139">
        <f t="shared" si="111"/>
        <v>0</v>
      </c>
      <c r="V277" s="139">
        <f t="shared" si="111"/>
        <v>0</v>
      </c>
      <c r="W277" s="139">
        <f t="shared" si="111"/>
        <v>0</v>
      </c>
      <c r="X277" s="139">
        <f t="shared" si="111"/>
        <v>0</v>
      </c>
      <c r="Y277" s="139">
        <f t="shared" si="111"/>
        <v>0</v>
      </c>
      <c r="Z277" s="139">
        <f t="shared" si="111"/>
        <v>0</v>
      </c>
    </row>
    <row r="279" spans="2:26">
      <c r="B279" s="41" t="s">
        <v>423</v>
      </c>
      <c r="F279" s="34">
        <f ca="1">+F156+F300</f>
        <v>0</v>
      </c>
      <c r="G279" s="34">
        <f t="shared" ref="G279:Z279" ca="1" si="112">+G156+G300</f>
        <v>85159139.910691947</v>
      </c>
      <c r="H279" s="34">
        <f t="shared" ca="1" si="112"/>
        <v>115223787.59026714</v>
      </c>
      <c r="I279" s="34">
        <f t="shared" ca="1" si="112"/>
        <v>35083783.166037291</v>
      </c>
      <c r="J279" s="34">
        <f t="shared" ca="1" si="112"/>
        <v>97569052.667740524</v>
      </c>
      <c r="K279" s="34">
        <f t="shared" ca="1" si="112"/>
        <v>0</v>
      </c>
      <c r="L279" s="34">
        <f t="shared" ca="1" si="112"/>
        <v>0</v>
      </c>
      <c r="M279" s="34">
        <f t="shared" ca="1" si="112"/>
        <v>0</v>
      </c>
      <c r="N279" s="34">
        <f t="shared" ca="1" si="112"/>
        <v>0</v>
      </c>
      <c r="O279" s="34">
        <f t="shared" ca="1" si="112"/>
        <v>0</v>
      </c>
      <c r="P279" s="34">
        <f t="shared" ca="1" si="112"/>
        <v>0</v>
      </c>
      <c r="Q279" s="34">
        <f t="shared" ca="1" si="112"/>
        <v>0</v>
      </c>
      <c r="R279" s="34">
        <f t="shared" ca="1" si="112"/>
        <v>0</v>
      </c>
      <c r="S279" s="34">
        <f t="shared" ca="1" si="112"/>
        <v>0</v>
      </c>
      <c r="T279" s="34">
        <f t="shared" ca="1" si="112"/>
        <v>0</v>
      </c>
      <c r="U279" s="34">
        <f t="shared" ca="1" si="112"/>
        <v>0</v>
      </c>
      <c r="V279" s="34">
        <f t="shared" ca="1" si="112"/>
        <v>0</v>
      </c>
      <c r="W279" s="34">
        <f t="shared" ca="1" si="112"/>
        <v>0</v>
      </c>
      <c r="X279" s="34">
        <f t="shared" ca="1" si="112"/>
        <v>0</v>
      </c>
      <c r="Y279" s="34">
        <f t="shared" ca="1" si="112"/>
        <v>0</v>
      </c>
      <c r="Z279" s="34">
        <f t="shared" ca="1" si="112"/>
        <v>0</v>
      </c>
    </row>
    <row r="280" spans="2:26">
      <c r="B280" s="41" t="s">
        <v>323</v>
      </c>
      <c r="F280" s="34">
        <f t="shared" ref="F280:Z280" ca="1" si="113">-F272+F262-F227+F217-F158+F147+F220+F150+F265</f>
        <v>0</v>
      </c>
      <c r="G280" s="34">
        <f t="shared" ca="1" si="113"/>
        <v>0</v>
      </c>
      <c r="H280" s="34">
        <f t="shared" ca="1" si="113"/>
        <v>0</v>
      </c>
      <c r="I280" s="34">
        <f t="shared" ca="1" si="113"/>
        <v>0</v>
      </c>
      <c r="J280" s="34">
        <f t="shared" ca="1" si="113"/>
        <v>28833384.565935932</v>
      </c>
      <c r="K280" s="34">
        <f t="shared" ca="1" si="113"/>
        <v>25503026.932588566</v>
      </c>
      <c r="L280" s="34">
        <f t="shared" ca="1" si="113"/>
        <v>346203531.02596205</v>
      </c>
      <c r="M280" s="34">
        <f t="shared" ca="1" si="113"/>
        <v>25503026.932588562</v>
      </c>
      <c r="N280" s="34">
        <f t="shared" ca="1" si="113"/>
        <v>25503026.932588562</v>
      </c>
      <c r="O280" s="34">
        <f t="shared" ca="1" si="113"/>
        <v>25503026.932588562</v>
      </c>
      <c r="P280" s="34">
        <f t="shared" ca="1" si="113"/>
        <v>25503026.932588562</v>
      </c>
      <c r="Q280" s="34">
        <f t="shared" ca="1" si="113"/>
        <v>25503026.932588562</v>
      </c>
      <c r="R280" s="34">
        <f t="shared" ca="1" si="113"/>
        <v>25503026.932588562</v>
      </c>
      <c r="S280" s="34">
        <f t="shared" ca="1" si="113"/>
        <v>25503026.932588562</v>
      </c>
      <c r="T280" s="34">
        <f t="shared" ca="1" si="113"/>
        <v>25503026.932588562</v>
      </c>
      <c r="U280" s="34">
        <f t="shared" ca="1" si="113"/>
        <v>25503026.932588562</v>
      </c>
      <c r="V280" s="34">
        <f t="shared" ca="1" si="113"/>
        <v>25503026.932588562</v>
      </c>
      <c r="W280" s="34">
        <f t="shared" ca="1" si="113"/>
        <v>25503026.932588562</v>
      </c>
      <c r="X280" s="34">
        <f t="shared" ca="1" si="113"/>
        <v>25503026.932588562</v>
      </c>
      <c r="Y280" s="34">
        <f t="shared" ca="1" si="113"/>
        <v>25503026.932588562</v>
      </c>
      <c r="Z280" s="34">
        <f t="shared" ca="1" si="113"/>
        <v>25503026.932588559</v>
      </c>
    </row>
    <row r="282" spans="2:26" ht="15.5">
      <c r="B282" s="37" t="s">
        <v>328</v>
      </c>
      <c r="C282" s="38"/>
      <c r="D282" s="38"/>
      <c r="E282" s="38"/>
      <c r="F282" s="136"/>
      <c r="G282" s="136"/>
      <c r="H282" s="136"/>
      <c r="I282" s="136"/>
      <c r="J282" s="136"/>
      <c r="K282" s="136"/>
      <c r="L282" s="136"/>
      <c r="M282" s="136"/>
      <c r="N282" s="136"/>
      <c r="O282" s="136"/>
      <c r="P282" s="136"/>
      <c r="Q282" s="136"/>
      <c r="R282" s="136"/>
      <c r="S282" s="136"/>
      <c r="T282" s="136"/>
      <c r="U282" s="136"/>
      <c r="V282" s="136"/>
      <c r="W282" s="136"/>
      <c r="X282" s="136"/>
      <c r="Y282" s="136"/>
      <c r="Z282" s="136"/>
    </row>
    <row r="284" spans="2:26" ht="15.5">
      <c r="B284" s="148" t="s">
        <v>327</v>
      </c>
      <c r="F284" s="150">
        <f>+Assumptions!$H$22</f>
        <v>46022</v>
      </c>
      <c r="G284" s="150">
        <f>+EOMONTH(F284,12)</f>
        <v>46387</v>
      </c>
      <c r="H284" s="150">
        <f t="shared" ref="H284:Z284" si="114">+EOMONTH(G284,12)</f>
        <v>46752</v>
      </c>
      <c r="I284" s="150">
        <f t="shared" si="114"/>
        <v>47118</v>
      </c>
      <c r="J284" s="150">
        <f t="shared" si="114"/>
        <v>47483</v>
      </c>
      <c r="K284" s="150">
        <f t="shared" si="114"/>
        <v>47848</v>
      </c>
      <c r="L284" s="150">
        <f t="shared" si="114"/>
        <v>48213</v>
      </c>
      <c r="M284" s="150">
        <f t="shared" si="114"/>
        <v>48579</v>
      </c>
      <c r="N284" s="150">
        <f t="shared" si="114"/>
        <v>48944</v>
      </c>
      <c r="O284" s="150">
        <f t="shared" si="114"/>
        <v>49309</v>
      </c>
      <c r="P284" s="150">
        <f t="shared" si="114"/>
        <v>49674</v>
      </c>
      <c r="Q284" s="150">
        <f t="shared" si="114"/>
        <v>50040</v>
      </c>
      <c r="R284" s="150">
        <f t="shared" si="114"/>
        <v>50405</v>
      </c>
      <c r="S284" s="150">
        <f t="shared" si="114"/>
        <v>50770</v>
      </c>
      <c r="T284" s="150">
        <f t="shared" si="114"/>
        <v>51135</v>
      </c>
      <c r="U284" s="150">
        <f t="shared" si="114"/>
        <v>51501</v>
      </c>
      <c r="V284" s="150">
        <f t="shared" si="114"/>
        <v>51866</v>
      </c>
      <c r="W284" s="150">
        <f t="shared" si="114"/>
        <v>52231</v>
      </c>
      <c r="X284" s="150">
        <f t="shared" si="114"/>
        <v>52596</v>
      </c>
      <c r="Y284" s="150">
        <f t="shared" si="114"/>
        <v>52962</v>
      </c>
      <c r="Z284" s="150">
        <f t="shared" si="114"/>
        <v>53327</v>
      </c>
    </row>
    <row r="285" spans="2:26" ht="15.5">
      <c r="B285" s="33" t="s">
        <v>60</v>
      </c>
      <c r="D285" s="48">
        <f>+SUM(F285:Z285)</f>
        <v>58166088.88800668</v>
      </c>
      <c r="E285" s="48"/>
      <c r="F285" s="34">
        <f>+IF(AND(F$284&gt;=Assumptions!$H$22,F$284&lt;Assumptions!$H$24),'S&amp;U'!$J7/ROUNDUP(Assumptions!$H$23/12,0),IF(AND(F$284&gt;=Assumptions!$H$24,F$284&lt;Assumptions!$H$26),'S&amp;U'!$J39/ROUNDUP(Assumptions!$H$25/12,0),0))</f>
        <v>58166088.88800668</v>
      </c>
      <c r="G285" s="34">
        <f>+IF(AND(G$284&gt;=Assumptions!$H$22,G$284&lt;Assumptions!$H$24),'S&amp;U'!$J7/ROUNDUP(Assumptions!$H$23/12,0),IF(AND(G$284&gt;=Assumptions!$H$24,G$284&lt;Assumptions!$H$26),'S&amp;U'!$J39/ROUNDUP(Assumptions!$H$25/12,0),0))</f>
        <v>0</v>
      </c>
      <c r="H285" s="34">
        <f>+IF(AND(H$284&gt;=Assumptions!$H$22,H$284&lt;Assumptions!$H$24),'S&amp;U'!$J7/ROUNDUP(Assumptions!$H$23/12,0),IF(AND(H$284&gt;=Assumptions!$H$24,H$284&lt;Assumptions!$H$26),'S&amp;U'!$J39/ROUNDUP(Assumptions!$H$25/12,0),0))</f>
        <v>0</v>
      </c>
      <c r="I285" s="34">
        <f>+IF(AND(I$284&gt;=Assumptions!$H$22,I$284&lt;Assumptions!$H$24),'S&amp;U'!$J7/ROUNDUP(Assumptions!$H$23/12,0),IF(AND(I$284&gt;=Assumptions!$H$24,I$284&lt;Assumptions!$H$26),'S&amp;U'!$J39/ROUNDUP(Assumptions!$H$25/12,0),0))</f>
        <v>0</v>
      </c>
      <c r="J285" s="34">
        <f>+IF(AND(J$284&gt;=Assumptions!$H$22,J$284&lt;Assumptions!$H$24),'S&amp;U'!$J7/ROUNDUP(Assumptions!$H$23/12,0),IF(AND(J$284&gt;=Assumptions!$H$24,J$284&lt;Assumptions!$H$26),'S&amp;U'!$J39/ROUNDUP(Assumptions!$H$25/12,0),0))</f>
        <v>0</v>
      </c>
      <c r="K285" s="34">
        <f>+IF(AND(K$284&gt;=Assumptions!$H$22,K$284&lt;Assumptions!$H$24),'S&amp;U'!$J7/ROUNDUP(Assumptions!$H$23/12,0),IF(AND(K$284&gt;=Assumptions!$H$24,K$284&lt;Assumptions!$H$26),'S&amp;U'!$J39/ROUNDUP(Assumptions!$H$25/12,0),0))</f>
        <v>0</v>
      </c>
      <c r="L285" s="34">
        <f>+IF(AND(L$284&gt;=Assumptions!$H$22,L$284&lt;Assumptions!$H$24),'S&amp;U'!$J7/ROUNDUP(Assumptions!$H$23/12,0),IF(AND(L$284&gt;=Assumptions!$H$24,L$284&lt;Assumptions!$H$26),'S&amp;U'!$J39/ROUNDUP(Assumptions!$H$25/12,0),0))</f>
        <v>0</v>
      </c>
      <c r="M285" s="34">
        <f>+IF(AND(M$284&gt;=Assumptions!$H$22,M$284&lt;Assumptions!$H$24),'S&amp;U'!$J7/ROUNDUP(Assumptions!$H$23/12,0),IF(AND(M$284&gt;=Assumptions!$H$24,M$284&lt;Assumptions!$H$26),'S&amp;U'!$J39/ROUNDUP(Assumptions!$H$25/12,0),0))</f>
        <v>0</v>
      </c>
      <c r="N285" s="34">
        <f>+IF(AND(N$284&gt;=Assumptions!$H$22,N$284&lt;Assumptions!$H$24),'S&amp;U'!$J7/ROUNDUP(Assumptions!$H$23/12,0),IF(AND(N$284&gt;=Assumptions!$H$24,N$284&lt;Assumptions!$H$26),'S&amp;U'!$J39/ROUNDUP(Assumptions!$H$25/12,0),0))</f>
        <v>0</v>
      </c>
      <c r="O285" s="34">
        <f>+IF(AND(O$284&gt;=Assumptions!$H$22,O$284&lt;Assumptions!$H$24),'S&amp;U'!$J7/ROUNDUP(Assumptions!$H$23/12,0),IF(AND(O$284&gt;=Assumptions!$H$24,O$284&lt;Assumptions!$H$26),'S&amp;U'!$J39/ROUNDUP(Assumptions!$H$25/12,0),0))</f>
        <v>0</v>
      </c>
      <c r="P285" s="34">
        <f>+IF(AND(P$284&gt;=Assumptions!$H$22,P$284&lt;Assumptions!$H$24),'S&amp;U'!$J7/ROUNDUP(Assumptions!$H$23/12,0),IF(AND(P$284&gt;=Assumptions!$H$24,P$284&lt;Assumptions!$H$26),'S&amp;U'!$J39/ROUNDUP(Assumptions!$H$25/12,0),0))</f>
        <v>0</v>
      </c>
      <c r="Q285" s="34">
        <f>+IF(AND(Q$284&gt;=Assumptions!$H$22,Q$284&lt;Assumptions!$H$24),'S&amp;U'!$J7/ROUNDUP(Assumptions!$H$23/12,0),IF(AND(Q$284&gt;=Assumptions!$H$24,Q$284&lt;Assumptions!$H$26),'S&amp;U'!$J39/ROUNDUP(Assumptions!$H$25/12,0),0))</f>
        <v>0</v>
      </c>
      <c r="R285" s="34">
        <f>+IF(AND(R$284&gt;=Assumptions!$H$22,R$284&lt;Assumptions!$H$24),'S&amp;U'!$J7/ROUNDUP(Assumptions!$H$23/12,0),IF(AND(R$284&gt;=Assumptions!$H$24,R$284&lt;Assumptions!$H$26),'S&amp;U'!$J39/ROUNDUP(Assumptions!$H$25/12,0),0))</f>
        <v>0</v>
      </c>
      <c r="S285" s="34">
        <f>+IF(AND(S$284&gt;=Assumptions!$H$22,S$284&lt;Assumptions!$H$24),'S&amp;U'!$J7/ROUNDUP(Assumptions!$H$23/12,0),IF(AND(S$284&gt;=Assumptions!$H$24,S$284&lt;Assumptions!$H$26),'S&amp;U'!$J39/ROUNDUP(Assumptions!$H$25/12,0),0))</f>
        <v>0</v>
      </c>
      <c r="T285" s="34">
        <f>+IF(AND(T$284&gt;=Assumptions!$H$22,T$284&lt;Assumptions!$H$24),'S&amp;U'!$J7/ROUNDUP(Assumptions!$H$23/12,0),IF(AND(T$284&gt;=Assumptions!$H$24,T$284&lt;Assumptions!$H$26),'S&amp;U'!$J39/ROUNDUP(Assumptions!$H$25/12,0),0))</f>
        <v>0</v>
      </c>
      <c r="U285" s="34">
        <f>+IF(AND(U$284&gt;=Assumptions!$H$22,U$284&lt;Assumptions!$H$24),'S&amp;U'!$J7/ROUNDUP(Assumptions!$H$23/12,0),IF(AND(U$284&gt;=Assumptions!$H$24,U$284&lt;Assumptions!$H$26),'S&amp;U'!$J39/ROUNDUP(Assumptions!$H$25/12,0),0))</f>
        <v>0</v>
      </c>
      <c r="V285" s="34">
        <f>+IF(AND(V$284&gt;=Assumptions!$H$22,V$284&lt;Assumptions!$H$24),'S&amp;U'!$J7/ROUNDUP(Assumptions!$H$23/12,0),IF(AND(V$284&gt;=Assumptions!$H$24,V$284&lt;Assumptions!$H$26),'S&amp;U'!$J39/ROUNDUP(Assumptions!$H$25/12,0),0))</f>
        <v>0</v>
      </c>
      <c r="W285" s="34">
        <f>+IF(AND(W$284&gt;=Assumptions!$H$22,W$284&lt;Assumptions!$H$24),'S&amp;U'!$J7/ROUNDUP(Assumptions!$H$23/12,0),IF(AND(W$284&gt;=Assumptions!$H$24,W$284&lt;Assumptions!$H$26),'S&amp;U'!$J39/ROUNDUP(Assumptions!$H$25/12,0),0))</f>
        <v>0</v>
      </c>
      <c r="X285" s="34">
        <f>+IF(AND(X$284&gt;=Assumptions!$H$22,X$284&lt;Assumptions!$H$24),'S&amp;U'!$J7/ROUNDUP(Assumptions!$H$23/12,0),IF(AND(X$284&gt;=Assumptions!$H$24,X$284&lt;Assumptions!$H$26),'S&amp;U'!$J39/ROUNDUP(Assumptions!$H$25/12,0),0))</f>
        <v>0</v>
      </c>
      <c r="Y285" s="34">
        <f>+IF(AND(Y$284&gt;=Assumptions!$H$22,Y$284&lt;Assumptions!$H$24),'S&amp;U'!$J7/ROUNDUP(Assumptions!$H$23/12,0),IF(AND(Y$284&gt;=Assumptions!$H$24,Y$284&lt;Assumptions!$H$26),'S&amp;U'!$J39/ROUNDUP(Assumptions!$H$25/12,0),0))</f>
        <v>0</v>
      </c>
      <c r="Z285" s="34">
        <f>+IF(AND(Z$284&gt;=Assumptions!$H$22,Z$284&lt;Assumptions!$H$24),'S&amp;U'!$J7/ROUNDUP(Assumptions!$H$23/12,0),IF(AND(Z$284&gt;=Assumptions!$H$24,Z$284&lt;Assumptions!$H$26),'S&amp;U'!$J39/ROUNDUP(Assumptions!$H$25/12,0),0))</f>
        <v>0</v>
      </c>
    </row>
    <row r="286" spans="2:26" ht="15.5">
      <c r="B286" s="33" t="s">
        <v>8</v>
      </c>
      <c r="D286" s="48">
        <f t="shared" ref="D286:D291" si="115">+SUM(F286:Z286)</f>
        <v>7755425.4255319145</v>
      </c>
      <c r="E286" s="48"/>
      <c r="F286" s="151">
        <f>+IF(AND(F$284&gt;=Assumptions!$H$22,F$284&lt;Assumptions!$H$24),'S&amp;U'!$J8/ROUNDUP(Assumptions!$H$23/12,0),IF(AND(F$284&gt;=Assumptions!$H$24,F$284&lt;Assumptions!$H$26),'S&amp;U'!$J40/ROUNDUP(Assumptions!$H$25/12,0),0))</f>
        <v>7755425.4255319145</v>
      </c>
      <c r="G286" s="151">
        <f>+IF(AND(G$284&gt;=Assumptions!$H$22,G$284&lt;Assumptions!$H$24),'S&amp;U'!$J8/ROUNDUP(Assumptions!$H$23/12,0),IF(AND(G$284&gt;=Assumptions!$H$24,G$284&lt;Assumptions!$H$26),'S&amp;U'!$J40/ROUNDUP(Assumptions!$H$25/12,0),0))</f>
        <v>0</v>
      </c>
      <c r="H286" s="151">
        <f>+IF(AND(H$284&gt;=Assumptions!$H$22,H$284&lt;Assumptions!$H$24),'S&amp;U'!$J8/ROUNDUP(Assumptions!$H$23/12,0),IF(AND(H$284&gt;=Assumptions!$H$24,H$284&lt;Assumptions!$H$26),'S&amp;U'!$J40/ROUNDUP(Assumptions!$H$25/12,0),0))</f>
        <v>0</v>
      </c>
      <c r="I286" s="151">
        <f>+IF(AND(I$284&gt;=Assumptions!$H$22,I$284&lt;Assumptions!$H$24),'S&amp;U'!$J8/ROUNDUP(Assumptions!$H$23/12,0),IF(AND(I$284&gt;=Assumptions!$H$24,I$284&lt;Assumptions!$H$26),'S&amp;U'!$J40/ROUNDUP(Assumptions!$H$25/12,0),0))</f>
        <v>0</v>
      </c>
      <c r="J286" s="151">
        <f>+IF(AND(J$284&gt;=Assumptions!$H$22,J$284&lt;Assumptions!$H$24),'S&amp;U'!$J8/ROUNDUP(Assumptions!$H$23/12,0),IF(AND(J$284&gt;=Assumptions!$H$24,J$284&lt;Assumptions!$H$26),'S&amp;U'!$J40/ROUNDUP(Assumptions!$H$25/12,0),0))</f>
        <v>0</v>
      </c>
      <c r="K286" s="151">
        <f>+IF(AND(K$284&gt;=Assumptions!$H$22,K$284&lt;Assumptions!$H$24),'S&amp;U'!$J8/ROUNDUP(Assumptions!$H$23/12,0),IF(AND(K$284&gt;=Assumptions!$H$24,K$284&lt;Assumptions!$H$26),'S&amp;U'!$J40/ROUNDUP(Assumptions!$H$25/12,0),0))</f>
        <v>0</v>
      </c>
      <c r="L286" s="151">
        <f>+IF(AND(L$284&gt;=Assumptions!$H$22,L$284&lt;Assumptions!$H$24),'S&amp;U'!$J8/ROUNDUP(Assumptions!$H$23/12,0),IF(AND(L$284&gt;=Assumptions!$H$24,L$284&lt;Assumptions!$H$26),'S&amp;U'!$J40/ROUNDUP(Assumptions!$H$25/12,0),0))</f>
        <v>0</v>
      </c>
      <c r="M286" s="151">
        <f>+IF(AND(M$284&gt;=Assumptions!$H$22,M$284&lt;Assumptions!$H$24),'S&amp;U'!$J8/ROUNDUP(Assumptions!$H$23/12,0),IF(AND(M$284&gt;=Assumptions!$H$24,M$284&lt;Assumptions!$H$26),'S&amp;U'!$J40/ROUNDUP(Assumptions!$H$25/12,0),0))</f>
        <v>0</v>
      </c>
      <c r="N286" s="151">
        <f>+IF(AND(N$284&gt;=Assumptions!$H$22,N$284&lt;Assumptions!$H$24),'S&amp;U'!$J8/ROUNDUP(Assumptions!$H$23/12,0),IF(AND(N$284&gt;=Assumptions!$H$24,N$284&lt;Assumptions!$H$26),'S&amp;U'!$J40/ROUNDUP(Assumptions!$H$25/12,0),0))</f>
        <v>0</v>
      </c>
      <c r="O286" s="151">
        <f>+IF(AND(O$284&gt;=Assumptions!$H$22,O$284&lt;Assumptions!$H$24),'S&amp;U'!$J8/ROUNDUP(Assumptions!$H$23/12,0),IF(AND(O$284&gt;=Assumptions!$H$24,O$284&lt;Assumptions!$H$26),'S&amp;U'!$J40/ROUNDUP(Assumptions!$H$25/12,0),0))</f>
        <v>0</v>
      </c>
      <c r="P286" s="151">
        <f>+IF(AND(P$284&gt;=Assumptions!$H$22,P$284&lt;Assumptions!$H$24),'S&amp;U'!$J8/ROUNDUP(Assumptions!$H$23/12,0),IF(AND(P$284&gt;=Assumptions!$H$24,P$284&lt;Assumptions!$H$26),'S&amp;U'!$J40/ROUNDUP(Assumptions!$H$25/12,0),0))</f>
        <v>0</v>
      </c>
      <c r="Q286" s="151">
        <f>+IF(AND(Q$284&gt;=Assumptions!$H$22,Q$284&lt;Assumptions!$H$24),'S&amp;U'!$J8/ROUNDUP(Assumptions!$H$23/12,0),IF(AND(Q$284&gt;=Assumptions!$H$24,Q$284&lt;Assumptions!$H$26),'S&amp;U'!$J40/ROUNDUP(Assumptions!$H$25/12,0),0))</f>
        <v>0</v>
      </c>
      <c r="R286" s="151">
        <f>+IF(AND(R$284&gt;=Assumptions!$H$22,R$284&lt;Assumptions!$H$24),'S&amp;U'!$J8/ROUNDUP(Assumptions!$H$23/12,0),IF(AND(R$284&gt;=Assumptions!$H$24,R$284&lt;Assumptions!$H$26),'S&amp;U'!$J40/ROUNDUP(Assumptions!$H$25/12,0),0))</f>
        <v>0</v>
      </c>
      <c r="S286" s="151">
        <f>+IF(AND(S$284&gt;=Assumptions!$H$22,S$284&lt;Assumptions!$H$24),'S&amp;U'!$J8/ROUNDUP(Assumptions!$H$23/12,0),IF(AND(S$284&gt;=Assumptions!$H$24,S$284&lt;Assumptions!$H$26),'S&amp;U'!$J40/ROUNDUP(Assumptions!$H$25/12,0),0))</f>
        <v>0</v>
      </c>
      <c r="T286" s="151">
        <f>+IF(AND(T$284&gt;=Assumptions!$H$22,T$284&lt;Assumptions!$H$24),'S&amp;U'!$J8/ROUNDUP(Assumptions!$H$23/12,0),IF(AND(T$284&gt;=Assumptions!$H$24,T$284&lt;Assumptions!$H$26),'S&amp;U'!$J40/ROUNDUP(Assumptions!$H$25/12,0),0))</f>
        <v>0</v>
      </c>
      <c r="U286" s="151">
        <f>+IF(AND(U$284&gt;=Assumptions!$H$22,U$284&lt;Assumptions!$H$24),'S&amp;U'!$J8/ROUNDUP(Assumptions!$H$23/12,0),IF(AND(U$284&gt;=Assumptions!$H$24,U$284&lt;Assumptions!$H$26),'S&amp;U'!$J40/ROUNDUP(Assumptions!$H$25/12,0),0))</f>
        <v>0</v>
      </c>
      <c r="V286" s="151">
        <f>+IF(AND(V$284&gt;=Assumptions!$H$22,V$284&lt;Assumptions!$H$24),'S&amp;U'!$J8/ROUNDUP(Assumptions!$H$23/12,0),IF(AND(V$284&gt;=Assumptions!$H$24,V$284&lt;Assumptions!$H$26),'S&amp;U'!$J40/ROUNDUP(Assumptions!$H$25/12,0),0))</f>
        <v>0</v>
      </c>
      <c r="W286" s="151">
        <f>+IF(AND(W$284&gt;=Assumptions!$H$22,W$284&lt;Assumptions!$H$24),'S&amp;U'!$J8/ROUNDUP(Assumptions!$H$23/12,0),IF(AND(W$284&gt;=Assumptions!$H$24,W$284&lt;Assumptions!$H$26),'S&amp;U'!$J40/ROUNDUP(Assumptions!$H$25/12,0),0))</f>
        <v>0</v>
      </c>
      <c r="X286" s="151">
        <f>+IF(AND(X$284&gt;=Assumptions!$H$22,X$284&lt;Assumptions!$H$24),'S&amp;U'!$J8/ROUNDUP(Assumptions!$H$23/12,0),IF(AND(X$284&gt;=Assumptions!$H$24,X$284&lt;Assumptions!$H$26),'S&amp;U'!$J40/ROUNDUP(Assumptions!$H$25/12,0),0))</f>
        <v>0</v>
      </c>
      <c r="Y286" s="151">
        <f>+IF(AND(Y$284&gt;=Assumptions!$H$22,Y$284&lt;Assumptions!$H$24),'S&amp;U'!$J8/ROUNDUP(Assumptions!$H$23/12,0),IF(AND(Y$284&gt;=Assumptions!$H$24,Y$284&lt;Assumptions!$H$26),'S&amp;U'!$J40/ROUNDUP(Assumptions!$H$25/12,0),0))</f>
        <v>0</v>
      </c>
      <c r="Z286" s="151">
        <f>+IF(AND(Z$284&gt;=Assumptions!$H$22,Z$284&lt;Assumptions!$H$24),'S&amp;U'!$J8/ROUNDUP(Assumptions!$H$23/12,0),IF(AND(Z$284&gt;=Assumptions!$H$24,Z$284&lt;Assumptions!$H$26),'S&amp;U'!$J40/ROUNDUP(Assumptions!$H$25/12,0),0))</f>
        <v>0</v>
      </c>
    </row>
    <row r="287" spans="2:26" ht="15.5">
      <c r="B287" s="33" t="s">
        <v>56</v>
      </c>
      <c r="D287" s="48">
        <f t="shared" si="115"/>
        <v>286902962.88932848</v>
      </c>
      <c r="E287" s="48"/>
      <c r="F287" s="151">
        <f>+IF(AND(F$284&gt;=Assumptions!$H$22,F$284&lt;Assumptions!$H$24),'S&amp;U'!$J9/ROUNDUP(Assumptions!$H$23/12,0),IF(AND(F$284&gt;=Assumptions!$H$24,F$284&lt;Assumptions!$H$26),'S&amp;U'!$J41/ROUNDUP(Assumptions!$H$25/12,0),0))</f>
        <v>40000</v>
      </c>
      <c r="G287" s="151">
        <f>+IF(AND(G$284&gt;=Assumptions!$H$22,G$284&lt;Assumptions!$H$24),'S&amp;U'!$J9/ROUNDUP(Assumptions!$H$23/12,0),IF(AND(G$284&gt;=Assumptions!$H$24,G$284&lt;Assumptions!$H$26),'S&amp;U'!$J41/ROUNDUP(Assumptions!$H$25/12,0),0))</f>
        <v>95620987.629776165</v>
      </c>
      <c r="H287" s="151">
        <f>+IF(AND(H$284&gt;=Assumptions!$H$22,H$284&lt;Assumptions!$H$24),'S&amp;U'!$J9/ROUNDUP(Assumptions!$H$23/12,0),IF(AND(H$284&gt;=Assumptions!$H$24,H$284&lt;Assumptions!$H$26),'S&amp;U'!$J41/ROUNDUP(Assumptions!$H$25/12,0),0))</f>
        <v>95620987.629776165</v>
      </c>
      <c r="I287" s="151">
        <f>+IF(AND(I$284&gt;=Assumptions!$H$22,I$284&lt;Assumptions!$H$24),'S&amp;U'!$J9/ROUNDUP(Assumptions!$H$23/12,0),IF(AND(I$284&gt;=Assumptions!$H$24,I$284&lt;Assumptions!$H$26),'S&amp;U'!$J41/ROUNDUP(Assumptions!$H$25/12,0),0))</f>
        <v>95620987.629776165</v>
      </c>
      <c r="J287" s="151">
        <f>+IF(AND(J$284&gt;=Assumptions!$H$22,J$284&lt;Assumptions!$H$24),'S&amp;U'!$J9/ROUNDUP(Assumptions!$H$23/12,0),IF(AND(J$284&gt;=Assumptions!$H$24,J$284&lt;Assumptions!$H$26),'S&amp;U'!$J41/ROUNDUP(Assumptions!$H$25/12,0),0))</f>
        <v>0</v>
      </c>
      <c r="K287" s="151">
        <f>+IF(AND(K$284&gt;=Assumptions!$H$22,K$284&lt;Assumptions!$H$24),'S&amp;U'!$J9/ROUNDUP(Assumptions!$H$23/12,0),IF(AND(K$284&gt;=Assumptions!$H$24,K$284&lt;Assumptions!$H$26),'S&amp;U'!$J41/ROUNDUP(Assumptions!$H$25/12,0),0))</f>
        <v>0</v>
      </c>
      <c r="L287" s="151">
        <f>+IF(AND(L$284&gt;=Assumptions!$H$22,L$284&lt;Assumptions!$H$24),'S&amp;U'!$J9/ROUNDUP(Assumptions!$H$23/12,0),IF(AND(L$284&gt;=Assumptions!$H$24,L$284&lt;Assumptions!$H$26),'S&amp;U'!$J41/ROUNDUP(Assumptions!$H$25/12,0),0))</f>
        <v>0</v>
      </c>
      <c r="M287" s="151">
        <f>+IF(AND(M$284&gt;=Assumptions!$H$22,M$284&lt;Assumptions!$H$24),'S&amp;U'!$J9/ROUNDUP(Assumptions!$H$23/12,0),IF(AND(M$284&gt;=Assumptions!$H$24,M$284&lt;Assumptions!$H$26),'S&amp;U'!$J41/ROUNDUP(Assumptions!$H$25/12,0),0))</f>
        <v>0</v>
      </c>
      <c r="N287" s="151">
        <f>+IF(AND(N$284&gt;=Assumptions!$H$22,N$284&lt;Assumptions!$H$24),'S&amp;U'!$J9/ROUNDUP(Assumptions!$H$23/12,0),IF(AND(N$284&gt;=Assumptions!$H$24,N$284&lt;Assumptions!$H$26),'S&amp;U'!$J41/ROUNDUP(Assumptions!$H$25/12,0),0))</f>
        <v>0</v>
      </c>
      <c r="O287" s="151">
        <f>+IF(AND(O$284&gt;=Assumptions!$H$22,O$284&lt;Assumptions!$H$24),'S&amp;U'!$J9/ROUNDUP(Assumptions!$H$23/12,0),IF(AND(O$284&gt;=Assumptions!$H$24,O$284&lt;Assumptions!$H$26),'S&amp;U'!$J41/ROUNDUP(Assumptions!$H$25/12,0),0))</f>
        <v>0</v>
      </c>
      <c r="P287" s="151">
        <f>+IF(AND(P$284&gt;=Assumptions!$H$22,P$284&lt;Assumptions!$H$24),'S&amp;U'!$J9/ROUNDUP(Assumptions!$H$23/12,0),IF(AND(P$284&gt;=Assumptions!$H$24,P$284&lt;Assumptions!$H$26),'S&amp;U'!$J41/ROUNDUP(Assumptions!$H$25/12,0),0))</f>
        <v>0</v>
      </c>
      <c r="Q287" s="151">
        <f>+IF(AND(Q$284&gt;=Assumptions!$H$22,Q$284&lt;Assumptions!$H$24),'S&amp;U'!$J9/ROUNDUP(Assumptions!$H$23/12,0),IF(AND(Q$284&gt;=Assumptions!$H$24,Q$284&lt;Assumptions!$H$26),'S&amp;U'!$J41/ROUNDUP(Assumptions!$H$25/12,0),0))</f>
        <v>0</v>
      </c>
      <c r="R287" s="151">
        <f>+IF(AND(R$284&gt;=Assumptions!$H$22,R$284&lt;Assumptions!$H$24),'S&amp;U'!$J9/ROUNDUP(Assumptions!$H$23/12,0),IF(AND(R$284&gt;=Assumptions!$H$24,R$284&lt;Assumptions!$H$26),'S&amp;U'!$J41/ROUNDUP(Assumptions!$H$25/12,0),0))</f>
        <v>0</v>
      </c>
      <c r="S287" s="151">
        <f>+IF(AND(S$284&gt;=Assumptions!$H$22,S$284&lt;Assumptions!$H$24),'S&amp;U'!$J9/ROUNDUP(Assumptions!$H$23/12,0),IF(AND(S$284&gt;=Assumptions!$H$24,S$284&lt;Assumptions!$H$26),'S&amp;U'!$J41/ROUNDUP(Assumptions!$H$25/12,0),0))</f>
        <v>0</v>
      </c>
      <c r="T287" s="151">
        <f>+IF(AND(T$284&gt;=Assumptions!$H$22,T$284&lt;Assumptions!$H$24),'S&amp;U'!$J9/ROUNDUP(Assumptions!$H$23/12,0),IF(AND(T$284&gt;=Assumptions!$H$24,T$284&lt;Assumptions!$H$26),'S&amp;U'!$J41/ROUNDUP(Assumptions!$H$25/12,0),0))</f>
        <v>0</v>
      </c>
      <c r="U287" s="151">
        <f>+IF(AND(U$284&gt;=Assumptions!$H$22,U$284&lt;Assumptions!$H$24),'S&amp;U'!$J9/ROUNDUP(Assumptions!$H$23/12,0),IF(AND(U$284&gt;=Assumptions!$H$24,U$284&lt;Assumptions!$H$26),'S&amp;U'!$J41/ROUNDUP(Assumptions!$H$25/12,0),0))</f>
        <v>0</v>
      </c>
      <c r="V287" s="151">
        <f>+IF(AND(V$284&gt;=Assumptions!$H$22,V$284&lt;Assumptions!$H$24),'S&amp;U'!$J9/ROUNDUP(Assumptions!$H$23/12,0),IF(AND(V$284&gt;=Assumptions!$H$24,V$284&lt;Assumptions!$H$26),'S&amp;U'!$J41/ROUNDUP(Assumptions!$H$25/12,0),0))</f>
        <v>0</v>
      </c>
      <c r="W287" s="151">
        <f>+IF(AND(W$284&gt;=Assumptions!$H$22,W$284&lt;Assumptions!$H$24),'S&amp;U'!$J9/ROUNDUP(Assumptions!$H$23/12,0),IF(AND(W$284&gt;=Assumptions!$H$24,W$284&lt;Assumptions!$H$26),'S&amp;U'!$J41/ROUNDUP(Assumptions!$H$25/12,0),0))</f>
        <v>0</v>
      </c>
      <c r="X287" s="151">
        <f>+IF(AND(X$284&gt;=Assumptions!$H$22,X$284&lt;Assumptions!$H$24),'S&amp;U'!$J9/ROUNDUP(Assumptions!$H$23/12,0),IF(AND(X$284&gt;=Assumptions!$H$24,X$284&lt;Assumptions!$H$26),'S&amp;U'!$J41/ROUNDUP(Assumptions!$H$25/12,0),0))</f>
        <v>0</v>
      </c>
      <c r="Y287" s="151">
        <f>+IF(AND(Y$284&gt;=Assumptions!$H$22,Y$284&lt;Assumptions!$H$24),'S&amp;U'!$J9/ROUNDUP(Assumptions!$H$23/12,0),IF(AND(Y$284&gt;=Assumptions!$H$24,Y$284&lt;Assumptions!$H$26),'S&amp;U'!$J41/ROUNDUP(Assumptions!$H$25/12,0),0))</f>
        <v>0</v>
      </c>
      <c r="Z287" s="151">
        <f>+IF(AND(Z$284&gt;=Assumptions!$H$22,Z$284&lt;Assumptions!$H$24),'S&amp;U'!$J9/ROUNDUP(Assumptions!$H$23/12,0),IF(AND(Z$284&gt;=Assumptions!$H$24,Z$284&lt;Assumptions!$H$26),'S&amp;U'!$J41/ROUNDUP(Assumptions!$H$25/12,0),0))</f>
        <v>0</v>
      </c>
    </row>
    <row r="288" spans="2:26" ht="15.5">
      <c r="B288" s="33" t="s">
        <v>57</v>
      </c>
      <c r="D288" s="48">
        <f t="shared" si="115"/>
        <v>29031968.252512634</v>
      </c>
      <c r="E288" s="48"/>
      <c r="F288" s="151">
        <f>+IF(AND(F$284&gt;=Assumptions!$H$22,F$284&lt;Assumptions!$H$24),'S&amp;U'!$J10/ROUNDUP(Assumptions!$H$23/12,0),IF(AND(F$284&gt;=Assumptions!$H$24,F$284&lt;Assumptions!$H$26),'S&amp;U'!$J42/ROUNDUP(Assumptions!$H$25/12,0),0))</f>
        <v>13665837.257209564</v>
      </c>
      <c r="G288" s="151">
        <f>+IF(AND(G$284&gt;=Assumptions!$H$22,G$284&lt;Assumptions!$H$24),'S&amp;U'!$J10/ROUNDUP(Assumptions!$H$23/12,0),IF(AND(G$284&gt;=Assumptions!$H$24,G$284&lt;Assumptions!$H$26),'S&amp;U'!$J42/ROUNDUP(Assumptions!$H$25/12,0),0))</f>
        <v>5122043.6651010234</v>
      </c>
      <c r="H288" s="151">
        <f>+IF(AND(H$284&gt;=Assumptions!$H$22,H$284&lt;Assumptions!$H$24),'S&amp;U'!$J10/ROUNDUP(Assumptions!$H$23/12,0),IF(AND(H$284&gt;=Assumptions!$H$24,H$284&lt;Assumptions!$H$26),'S&amp;U'!$J42/ROUNDUP(Assumptions!$H$25/12,0),0))</f>
        <v>5122043.6651010234</v>
      </c>
      <c r="I288" s="151">
        <f>+IF(AND(I$284&gt;=Assumptions!$H$22,I$284&lt;Assumptions!$H$24),'S&amp;U'!$J10/ROUNDUP(Assumptions!$H$23/12,0),IF(AND(I$284&gt;=Assumptions!$H$24,I$284&lt;Assumptions!$H$26),'S&amp;U'!$J42/ROUNDUP(Assumptions!$H$25/12,0),0))</f>
        <v>5122043.6651010234</v>
      </c>
      <c r="J288" s="151">
        <f>+IF(AND(J$284&gt;=Assumptions!$H$22,J$284&lt;Assumptions!$H$24),'S&amp;U'!$J10/ROUNDUP(Assumptions!$H$23/12,0),IF(AND(J$284&gt;=Assumptions!$H$24,J$284&lt;Assumptions!$H$26),'S&amp;U'!$J42/ROUNDUP(Assumptions!$H$25/12,0),0))</f>
        <v>0</v>
      </c>
      <c r="K288" s="151">
        <f>+IF(AND(K$284&gt;=Assumptions!$H$22,K$284&lt;Assumptions!$H$24),'S&amp;U'!$J10/ROUNDUP(Assumptions!$H$23/12,0),IF(AND(K$284&gt;=Assumptions!$H$24,K$284&lt;Assumptions!$H$26),'S&amp;U'!$J42/ROUNDUP(Assumptions!$H$25/12,0),0))</f>
        <v>0</v>
      </c>
      <c r="L288" s="151">
        <f>+IF(AND(L$284&gt;=Assumptions!$H$22,L$284&lt;Assumptions!$H$24),'S&amp;U'!$J10/ROUNDUP(Assumptions!$H$23/12,0),IF(AND(L$284&gt;=Assumptions!$H$24,L$284&lt;Assumptions!$H$26),'S&amp;U'!$J42/ROUNDUP(Assumptions!$H$25/12,0),0))</f>
        <v>0</v>
      </c>
      <c r="M288" s="151">
        <f>+IF(AND(M$284&gt;=Assumptions!$H$22,M$284&lt;Assumptions!$H$24),'S&amp;U'!$J10/ROUNDUP(Assumptions!$H$23/12,0),IF(AND(M$284&gt;=Assumptions!$H$24,M$284&lt;Assumptions!$H$26),'S&amp;U'!$J42/ROUNDUP(Assumptions!$H$25/12,0),0))</f>
        <v>0</v>
      </c>
      <c r="N288" s="151">
        <f>+IF(AND(N$284&gt;=Assumptions!$H$22,N$284&lt;Assumptions!$H$24),'S&amp;U'!$J10/ROUNDUP(Assumptions!$H$23/12,0),IF(AND(N$284&gt;=Assumptions!$H$24,N$284&lt;Assumptions!$H$26),'S&amp;U'!$J42/ROUNDUP(Assumptions!$H$25/12,0),0))</f>
        <v>0</v>
      </c>
      <c r="O288" s="151">
        <f>+IF(AND(O$284&gt;=Assumptions!$H$22,O$284&lt;Assumptions!$H$24),'S&amp;U'!$J10/ROUNDUP(Assumptions!$H$23/12,0),IF(AND(O$284&gt;=Assumptions!$H$24,O$284&lt;Assumptions!$H$26),'S&amp;U'!$J42/ROUNDUP(Assumptions!$H$25/12,0),0))</f>
        <v>0</v>
      </c>
      <c r="P288" s="151">
        <f>+IF(AND(P$284&gt;=Assumptions!$H$22,P$284&lt;Assumptions!$H$24),'S&amp;U'!$J10/ROUNDUP(Assumptions!$H$23/12,0),IF(AND(P$284&gt;=Assumptions!$H$24,P$284&lt;Assumptions!$H$26),'S&amp;U'!$J42/ROUNDUP(Assumptions!$H$25/12,0),0))</f>
        <v>0</v>
      </c>
      <c r="Q288" s="151">
        <f>+IF(AND(Q$284&gt;=Assumptions!$H$22,Q$284&lt;Assumptions!$H$24),'S&amp;U'!$J10/ROUNDUP(Assumptions!$H$23/12,0),IF(AND(Q$284&gt;=Assumptions!$H$24,Q$284&lt;Assumptions!$H$26),'S&amp;U'!$J42/ROUNDUP(Assumptions!$H$25/12,0),0))</f>
        <v>0</v>
      </c>
      <c r="R288" s="151">
        <f>+IF(AND(R$284&gt;=Assumptions!$H$22,R$284&lt;Assumptions!$H$24),'S&amp;U'!$J10/ROUNDUP(Assumptions!$H$23/12,0),IF(AND(R$284&gt;=Assumptions!$H$24,R$284&lt;Assumptions!$H$26),'S&amp;U'!$J42/ROUNDUP(Assumptions!$H$25/12,0),0))</f>
        <v>0</v>
      </c>
      <c r="S288" s="151">
        <f>+IF(AND(S$284&gt;=Assumptions!$H$22,S$284&lt;Assumptions!$H$24),'S&amp;U'!$J10/ROUNDUP(Assumptions!$H$23/12,0),IF(AND(S$284&gt;=Assumptions!$H$24,S$284&lt;Assumptions!$H$26),'S&amp;U'!$J42/ROUNDUP(Assumptions!$H$25/12,0),0))</f>
        <v>0</v>
      </c>
      <c r="T288" s="151">
        <f>+IF(AND(T$284&gt;=Assumptions!$H$22,T$284&lt;Assumptions!$H$24),'S&amp;U'!$J10/ROUNDUP(Assumptions!$H$23/12,0),IF(AND(T$284&gt;=Assumptions!$H$24,T$284&lt;Assumptions!$H$26),'S&amp;U'!$J42/ROUNDUP(Assumptions!$H$25/12,0),0))</f>
        <v>0</v>
      </c>
      <c r="U288" s="151">
        <f>+IF(AND(U$284&gt;=Assumptions!$H$22,U$284&lt;Assumptions!$H$24),'S&amp;U'!$J10/ROUNDUP(Assumptions!$H$23/12,0),IF(AND(U$284&gt;=Assumptions!$H$24,U$284&lt;Assumptions!$H$26),'S&amp;U'!$J42/ROUNDUP(Assumptions!$H$25/12,0),0))</f>
        <v>0</v>
      </c>
      <c r="V288" s="151">
        <f>+IF(AND(V$284&gt;=Assumptions!$H$22,V$284&lt;Assumptions!$H$24),'S&amp;U'!$J10/ROUNDUP(Assumptions!$H$23/12,0),IF(AND(V$284&gt;=Assumptions!$H$24,V$284&lt;Assumptions!$H$26),'S&amp;U'!$J42/ROUNDUP(Assumptions!$H$25/12,0),0))</f>
        <v>0</v>
      </c>
      <c r="W288" s="151">
        <f>+IF(AND(W$284&gt;=Assumptions!$H$22,W$284&lt;Assumptions!$H$24),'S&amp;U'!$J10/ROUNDUP(Assumptions!$H$23/12,0),IF(AND(W$284&gt;=Assumptions!$H$24,W$284&lt;Assumptions!$H$26),'S&amp;U'!$J42/ROUNDUP(Assumptions!$H$25/12,0),0))</f>
        <v>0</v>
      </c>
      <c r="X288" s="151">
        <f>+IF(AND(X$284&gt;=Assumptions!$H$22,X$284&lt;Assumptions!$H$24),'S&amp;U'!$J10/ROUNDUP(Assumptions!$H$23/12,0),IF(AND(X$284&gt;=Assumptions!$H$24,X$284&lt;Assumptions!$H$26),'S&amp;U'!$J42/ROUNDUP(Assumptions!$H$25/12,0),0))</f>
        <v>0</v>
      </c>
      <c r="Y288" s="151">
        <f>+IF(AND(Y$284&gt;=Assumptions!$H$22,Y$284&lt;Assumptions!$H$24),'S&amp;U'!$J10/ROUNDUP(Assumptions!$H$23/12,0),IF(AND(Y$284&gt;=Assumptions!$H$24,Y$284&lt;Assumptions!$H$26),'S&amp;U'!$J42/ROUNDUP(Assumptions!$H$25/12,0),0))</f>
        <v>0</v>
      </c>
      <c r="Z288" s="151">
        <f>+IF(AND(Z$284&gt;=Assumptions!$H$22,Z$284&lt;Assumptions!$H$24),'S&amp;U'!$J10/ROUNDUP(Assumptions!$H$23/12,0),IF(AND(Z$284&gt;=Assumptions!$H$24,Z$284&lt;Assumptions!$H$26),'S&amp;U'!$J42/ROUNDUP(Assumptions!$H$25/12,0),0))</f>
        <v>0</v>
      </c>
    </row>
    <row r="289" spans="2:26" ht="15.5">
      <c r="B289" s="33" t="s">
        <v>79</v>
      </c>
      <c r="D289" s="48">
        <f t="shared" ca="1" si="115"/>
        <v>36923955.299420923</v>
      </c>
      <c r="E289" s="48"/>
      <c r="F289" s="151">
        <f>+IF(AND(F$284&gt;=Assumptions!$H$22,F$284&lt;Assumptions!$H$24),'S&amp;U'!$J11/ROUNDUP(Assumptions!$H$23/12,0),IF(AND(F$284&gt;=Assumptions!$H$24,F$284&lt;Assumptions!$H$26),'S&amp;U'!$J43/ROUNDUP(Assumptions!$H$25/12,0),0))</f>
        <v>0</v>
      </c>
      <c r="G289" s="151">
        <f ca="1">+IF(AND(G$284&gt;=Assumptions!$H$22,G$284&lt;Assumptions!$H$24),'S&amp;U'!$J11/ROUNDUP(Assumptions!$H$23/12,0),IF(AND(G$284&gt;=Assumptions!$H$24,G$284&lt;Assumptions!$H$26),'S&amp;U'!$J43/ROUNDUP(Assumptions!$H$25/12,0),0))</f>
        <v>12307985.099806974</v>
      </c>
      <c r="H289" s="151">
        <f ca="1">+IF(AND(H$284&gt;=Assumptions!$H$22,H$284&lt;Assumptions!$H$24),'S&amp;U'!$J11/ROUNDUP(Assumptions!$H$23/12,0),IF(AND(H$284&gt;=Assumptions!$H$24,H$284&lt;Assumptions!$H$26),'S&amp;U'!$J43/ROUNDUP(Assumptions!$H$25/12,0),0))</f>
        <v>12307985.099806974</v>
      </c>
      <c r="I289" s="151">
        <f ca="1">+IF(AND(I$284&gt;=Assumptions!$H$22,I$284&lt;Assumptions!$H$24),'S&amp;U'!$J11/ROUNDUP(Assumptions!$H$23/12,0),IF(AND(I$284&gt;=Assumptions!$H$24,I$284&lt;Assumptions!$H$26),'S&amp;U'!$J43/ROUNDUP(Assumptions!$H$25/12,0),0))</f>
        <v>12307985.099806974</v>
      </c>
      <c r="J289" s="151">
        <f>+IF(AND(J$284&gt;=Assumptions!$H$22,J$284&lt;Assumptions!$H$24),'S&amp;U'!$J11/ROUNDUP(Assumptions!$H$23/12,0),IF(AND(J$284&gt;=Assumptions!$H$24,J$284&lt;Assumptions!$H$26),'S&amp;U'!$J43/ROUNDUP(Assumptions!$H$25/12,0),0))</f>
        <v>0</v>
      </c>
      <c r="K289" s="151">
        <f>+IF(AND(K$284&gt;=Assumptions!$H$22,K$284&lt;Assumptions!$H$24),'S&amp;U'!$J11/ROUNDUP(Assumptions!$H$23/12,0),IF(AND(K$284&gt;=Assumptions!$H$24,K$284&lt;Assumptions!$H$26),'S&amp;U'!$J43/ROUNDUP(Assumptions!$H$25/12,0),0))</f>
        <v>0</v>
      </c>
      <c r="L289" s="151">
        <f>+IF(AND(L$284&gt;=Assumptions!$H$22,L$284&lt;Assumptions!$H$24),'S&amp;U'!$J11/ROUNDUP(Assumptions!$H$23/12,0),IF(AND(L$284&gt;=Assumptions!$H$24,L$284&lt;Assumptions!$H$26),'S&amp;U'!$J43/ROUNDUP(Assumptions!$H$25/12,0),0))</f>
        <v>0</v>
      </c>
      <c r="M289" s="151">
        <f>+IF(AND(M$284&gt;=Assumptions!$H$22,M$284&lt;Assumptions!$H$24),'S&amp;U'!$J11/ROUNDUP(Assumptions!$H$23/12,0),IF(AND(M$284&gt;=Assumptions!$H$24,M$284&lt;Assumptions!$H$26),'S&amp;U'!$J43/ROUNDUP(Assumptions!$H$25/12,0),0))</f>
        <v>0</v>
      </c>
      <c r="N289" s="151">
        <f>+IF(AND(N$284&gt;=Assumptions!$H$22,N$284&lt;Assumptions!$H$24),'S&amp;U'!$J11/ROUNDUP(Assumptions!$H$23/12,0),IF(AND(N$284&gt;=Assumptions!$H$24,N$284&lt;Assumptions!$H$26),'S&amp;U'!$J43/ROUNDUP(Assumptions!$H$25/12,0),0))</f>
        <v>0</v>
      </c>
      <c r="O289" s="151">
        <f>+IF(AND(O$284&gt;=Assumptions!$H$22,O$284&lt;Assumptions!$H$24),'S&amp;U'!$J11/ROUNDUP(Assumptions!$H$23/12,0),IF(AND(O$284&gt;=Assumptions!$H$24,O$284&lt;Assumptions!$H$26),'S&amp;U'!$J43/ROUNDUP(Assumptions!$H$25/12,0),0))</f>
        <v>0</v>
      </c>
      <c r="P289" s="151">
        <f>+IF(AND(P$284&gt;=Assumptions!$H$22,P$284&lt;Assumptions!$H$24),'S&amp;U'!$J11/ROUNDUP(Assumptions!$H$23/12,0),IF(AND(P$284&gt;=Assumptions!$H$24,P$284&lt;Assumptions!$H$26),'S&amp;U'!$J43/ROUNDUP(Assumptions!$H$25/12,0),0))</f>
        <v>0</v>
      </c>
      <c r="Q289" s="151">
        <f>+IF(AND(Q$284&gt;=Assumptions!$H$22,Q$284&lt;Assumptions!$H$24),'S&amp;U'!$J11/ROUNDUP(Assumptions!$H$23/12,0),IF(AND(Q$284&gt;=Assumptions!$H$24,Q$284&lt;Assumptions!$H$26),'S&amp;U'!$J43/ROUNDUP(Assumptions!$H$25/12,0),0))</f>
        <v>0</v>
      </c>
      <c r="R289" s="151">
        <f>+IF(AND(R$284&gt;=Assumptions!$H$22,R$284&lt;Assumptions!$H$24),'S&amp;U'!$J11/ROUNDUP(Assumptions!$H$23/12,0),IF(AND(R$284&gt;=Assumptions!$H$24,R$284&lt;Assumptions!$H$26),'S&amp;U'!$J43/ROUNDUP(Assumptions!$H$25/12,0),0))</f>
        <v>0</v>
      </c>
      <c r="S289" s="151">
        <f>+IF(AND(S$284&gt;=Assumptions!$H$22,S$284&lt;Assumptions!$H$24),'S&amp;U'!$J11/ROUNDUP(Assumptions!$H$23/12,0),IF(AND(S$284&gt;=Assumptions!$H$24,S$284&lt;Assumptions!$H$26),'S&amp;U'!$J43/ROUNDUP(Assumptions!$H$25/12,0),0))</f>
        <v>0</v>
      </c>
      <c r="T289" s="151">
        <f>+IF(AND(T$284&gt;=Assumptions!$H$22,T$284&lt;Assumptions!$H$24),'S&amp;U'!$J11/ROUNDUP(Assumptions!$H$23/12,0),IF(AND(T$284&gt;=Assumptions!$H$24,T$284&lt;Assumptions!$H$26),'S&amp;U'!$J43/ROUNDUP(Assumptions!$H$25/12,0),0))</f>
        <v>0</v>
      </c>
      <c r="U289" s="151">
        <f>+IF(AND(U$284&gt;=Assumptions!$H$22,U$284&lt;Assumptions!$H$24),'S&amp;U'!$J11/ROUNDUP(Assumptions!$H$23/12,0),IF(AND(U$284&gt;=Assumptions!$H$24,U$284&lt;Assumptions!$H$26),'S&amp;U'!$J43/ROUNDUP(Assumptions!$H$25/12,0),0))</f>
        <v>0</v>
      </c>
      <c r="V289" s="151">
        <f>+IF(AND(V$284&gt;=Assumptions!$H$22,V$284&lt;Assumptions!$H$24),'S&amp;U'!$J11/ROUNDUP(Assumptions!$H$23/12,0),IF(AND(V$284&gt;=Assumptions!$H$24,V$284&lt;Assumptions!$H$26),'S&amp;U'!$J43/ROUNDUP(Assumptions!$H$25/12,0),0))</f>
        <v>0</v>
      </c>
      <c r="W289" s="151">
        <f>+IF(AND(W$284&gt;=Assumptions!$H$22,W$284&lt;Assumptions!$H$24),'S&amp;U'!$J11/ROUNDUP(Assumptions!$H$23/12,0),IF(AND(W$284&gt;=Assumptions!$H$24,W$284&lt;Assumptions!$H$26),'S&amp;U'!$J43/ROUNDUP(Assumptions!$H$25/12,0),0))</f>
        <v>0</v>
      </c>
      <c r="X289" s="151">
        <f>+IF(AND(X$284&gt;=Assumptions!$H$22,X$284&lt;Assumptions!$H$24),'S&amp;U'!$J11/ROUNDUP(Assumptions!$H$23/12,0),IF(AND(X$284&gt;=Assumptions!$H$24,X$284&lt;Assumptions!$H$26),'S&amp;U'!$J43/ROUNDUP(Assumptions!$H$25/12,0),0))</f>
        <v>0</v>
      </c>
      <c r="Y289" s="151">
        <f>+IF(AND(Y$284&gt;=Assumptions!$H$22,Y$284&lt;Assumptions!$H$24),'S&amp;U'!$J11/ROUNDUP(Assumptions!$H$23/12,0),IF(AND(Y$284&gt;=Assumptions!$H$24,Y$284&lt;Assumptions!$H$26),'S&amp;U'!$J43/ROUNDUP(Assumptions!$H$25/12,0),0))</f>
        <v>0</v>
      </c>
      <c r="Z289" s="151">
        <f>+IF(AND(Z$284&gt;=Assumptions!$H$22,Z$284&lt;Assumptions!$H$24),'S&amp;U'!$J11/ROUNDUP(Assumptions!$H$23/12,0),IF(AND(Z$284&gt;=Assumptions!$H$24,Z$284&lt;Assumptions!$H$26),'S&amp;U'!$J43/ROUNDUP(Assumptions!$H$25/12,0),0))</f>
        <v>0</v>
      </c>
    </row>
    <row r="290" spans="2:26" ht="15.5">
      <c r="B290" s="33" t="s">
        <v>82</v>
      </c>
      <c r="D290" s="48">
        <f t="shared" si="115"/>
        <v>851807.40381203149</v>
      </c>
      <c r="E290" s="48"/>
      <c r="F290" s="151">
        <f>+IF(AND(F$284&gt;=Assumptions!$H$22,F$284&lt;Assumptions!$H$24),'S&amp;U'!$J12/ROUNDUP(Assumptions!$H$23/12,0),IF(AND(F$284&gt;=Assumptions!$H$24,F$284&lt;Assumptions!$H$26),'S&amp;U'!$J44/ROUNDUP(Assumptions!$H$25/12,0),0))</f>
        <v>0</v>
      </c>
      <c r="G290" s="151">
        <f>+IF(AND(G$284&gt;=Assumptions!$H$22,G$284&lt;Assumptions!$H$24),'S&amp;U'!$J12/ROUNDUP(Assumptions!$H$23/12,0),IF(AND(G$284&gt;=Assumptions!$H$24,G$284&lt;Assumptions!$H$26),'S&amp;U'!$J44/ROUNDUP(Assumptions!$H$25/12,0),0))</f>
        <v>283935.80127067718</v>
      </c>
      <c r="H290" s="151">
        <f>+IF(AND(H$284&gt;=Assumptions!$H$22,H$284&lt;Assumptions!$H$24),'S&amp;U'!$J12/ROUNDUP(Assumptions!$H$23/12,0),IF(AND(H$284&gt;=Assumptions!$H$24,H$284&lt;Assumptions!$H$26),'S&amp;U'!$J44/ROUNDUP(Assumptions!$H$25/12,0),0))</f>
        <v>283935.80127067718</v>
      </c>
      <c r="I290" s="151">
        <f>+IF(AND(I$284&gt;=Assumptions!$H$22,I$284&lt;Assumptions!$H$24),'S&amp;U'!$J12/ROUNDUP(Assumptions!$H$23/12,0),IF(AND(I$284&gt;=Assumptions!$H$24,I$284&lt;Assumptions!$H$26),'S&amp;U'!$J44/ROUNDUP(Assumptions!$H$25/12,0),0))</f>
        <v>283935.80127067718</v>
      </c>
      <c r="J290" s="151">
        <f>+IF(AND(J$284&gt;=Assumptions!$H$22,J$284&lt;Assumptions!$H$24),'S&amp;U'!$J12/ROUNDUP(Assumptions!$H$23/12,0),IF(AND(J$284&gt;=Assumptions!$H$24,J$284&lt;Assumptions!$H$26),'S&amp;U'!$J44/ROUNDUP(Assumptions!$H$25/12,0),0))</f>
        <v>0</v>
      </c>
      <c r="K290" s="151">
        <f>+IF(AND(K$284&gt;=Assumptions!$H$22,K$284&lt;Assumptions!$H$24),'S&amp;U'!$J12/ROUNDUP(Assumptions!$H$23/12,0),IF(AND(K$284&gt;=Assumptions!$H$24,K$284&lt;Assumptions!$H$26),'S&amp;U'!$J44/ROUNDUP(Assumptions!$H$25/12,0),0))</f>
        <v>0</v>
      </c>
      <c r="L290" s="151">
        <f>+IF(AND(L$284&gt;=Assumptions!$H$22,L$284&lt;Assumptions!$H$24),'S&amp;U'!$J12/ROUNDUP(Assumptions!$H$23/12,0),IF(AND(L$284&gt;=Assumptions!$H$24,L$284&lt;Assumptions!$H$26),'S&amp;U'!$J44/ROUNDUP(Assumptions!$H$25/12,0),0))</f>
        <v>0</v>
      </c>
      <c r="M290" s="151">
        <f>+IF(AND(M$284&gt;=Assumptions!$H$22,M$284&lt;Assumptions!$H$24),'S&amp;U'!$J12/ROUNDUP(Assumptions!$H$23/12,0),IF(AND(M$284&gt;=Assumptions!$H$24,M$284&lt;Assumptions!$H$26),'S&amp;U'!$J44/ROUNDUP(Assumptions!$H$25/12,0),0))</f>
        <v>0</v>
      </c>
      <c r="N290" s="151">
        <f>+IF(AND(N$284&gt;=Assumptions!$H$22,N$284&lt;Assumptions!$H$24),'S&amp;U'!$J12/ROUNDUP(Assumptions!$H$23/12,0),IF(AND(N$284&gt;=Assumptions!$H$24,N$284&lt;Assumptions!$H$26),'S&amp;U'!$J44/ROUNDUP(Assumptions!$H$25/12,0),0))</f>
        <v>0</v>
      </c>
      <c r="O290" s="151">
        <f>+IF(AND(O$284&gt;=Assumptions!$H$22,O$284&lt;Assumptions!$H$24),'S&amp;U'!$J12/ROUNDUP(Assumptions!$H$23/12,0),IF(AND(O$284&gt;=Assumptions!$H$24,O$284&lt;Assumptions!$H$26),'S&amp;U'!$J44/ROUNDUP(Assumptions!$H$25/12,0),0))</f>
        <v>0</v>
      </c>
      <c r="P290" s="151">
        <f>+IF(AND(P$284&gt;=Assumptions!$H$22,P$284&lt;Assumptions!$H$24),'S&amp;U'!$J12/ROUNDUP(Assumptions!$H$23/12,0),IF(AND(P$284&gt;=Assumptions!$H$24,P$284&lt;Assumptions!$H$26),'S&amp;U'!$J44/ROUNDUP(Assumptions!$H$25/12,0),0))</f>
        <v>0</v>
      </c>
      <c r="Q290" s="151">
        <f>+IF(AND(Q$284&gt;=Assumptions!$H$22,Q$284&lt;Assumptions!$H$24),'S&amp;U'!$J12/ROUNDUP(Assumptions!$H$23/12,0),IF(AND(Q$284&gt;=Assumptions!$H$24,Q$284&lt;Assumptions!$H$26),'S&amp;U'!$J44/ROUNDUP(Assumptions!$H$25/12,0),0))</f>
        <v>0</v>
      </c>
      <c r="R290" s="151">
        <f>+IF(AND(R$284&gt;=Assumptions!$H$22,R$284&lt;Assumptions!$H$24),'S&amp;U'!$J12/ROUNDUP(Assumptions!$H$23/12,0),IF(AND(R$284&gt;=Assumptions!$H$24,R$284&lt;Assumptions!$H$26),'S&amp;U'!$J44/ROUNDUP(Assumptions!$H$25/12,0),0))</f>
        <v>0</v>
      </c>
      <c r="S290" s="151">
        <f>+IF(AND(S$284&gt;=Assumptions!$H$22,S$284&lt;Assumptions!$H$24),'S&amp;U'!$J12/ROUNDUP(Assumptions!$H$23/12,0),IF(AND(S$284&gt;=Assumptions!$H$24,S$284&lt;Assumptions!$H$26),'S&amp;U'!$J44/ROUNDUP(Assumptions!$H$25/12,0),0))</f>
        <v>0</v>
      </c>
      <c r="T290" s="151">
        <f>+IF(AND(T$284&gt;=Assumptions!$H$22,T$284&lt;Assumptions!$H$24),'S&amp;U'!$J12/ROUNDUP(Assumptions!$H$23/12,0),IF(AND(T$284&gt;=Assumptions!$H$24,T$284&lt;Assumptions!$H$26),'S&amp;U'!$J44/ROUNDUP(Assumptions!$H$25/12,0),0))</f>
        <v>0</v>
      </c>
      <c r="U290" s="151">
        <f>+IF(AND(U$284&gt;=Assumptions!$H$22,U$284&lt;Assumptions!$H$24),'S&amp;U'!$J12/ROUNDUP(Assumptions!$H$23/12,0),IF(AND(U$284&gt;=Assumptions!$H$24,U$284&lt;Assumptions!$H$26),'S&amp;U'!$J44/ROUNDUP(Assumptions!$H$25/12,0),0))</f>
        <v>0</v>
      </c>
      <c r="V290" s="151">
        <f>+IF(AND(V$284&gt;=Assumptions!$H$22,V$284&lt;Assumptions!$H$24),'S&amp;U'!$J12/ROUNDUP(Assumptions!$H$23/12,0),IF(AND(V$284&gt;=Assumptions!$H$24,V$284&lt;Assumptions!$H$26),'S&amp;U'!$J44/ROUNDUP(Assumptions!$H$25/12,0),0))</f>
        <v>0</v>
      </c>
      <c r="W290" s="151">
        <f>+IF(AND(W$284&gt;=Assumptions!$H$22,W$284&lt;Assumptions!$H$24),'S&amp;U'!$J12/ROUNDUP(Assumptions!$H$23/12,0),IF(AND(W$284&gt;=Assumptions!$H$24,W$284&lt;Assumptions!$H$26),'S&amp;U'!$J44/ROUNDUP(Assumptions!$H$25/12,0),0))</f>
        <v>0</v>
      </c>
      <c r="X290" s="151">
        <f>+IF(AND(X$284&gt;=Assumptions!$H$22,X$284&lt;Assumptions!$H$24),'S&amp;U'!$J12/ROUNDUP(Assumptions!$H$23/12,0),IF(AND(X$284&gt;=Assumptions!$H$24,X$284&lt;Assumptions!$H$26),'S&amp;U'!$J44/ROUNDUP(Assumptions!$H$25/12,0),0))</f>
        <v>0</v>
      </c>
      <c r="Y290" s="151">
        <f>+IF(AND(Y$284&gt;=Assumptions!$H$22,Y$284&lt;Assumptions!$H$24),'S&amp;U'!$J12/ROUNDUP(Assumptions!$H$23/12,0),IF(AND(Y$284&gt;=Assumptions!$H$24,Y$284&lt;Assumptions!$H$26),'S&amp;U'!$J44/ROUNDUP(Assumptions!$H$25/12,0),0))</f>
        <v>0</v>
      </c>
      <c r="Z290" s="151">
        <f>+IF(AND(Z$284&gt;=Assumptions!$H$22,Z$284&lt;Assumptions!$H$24),'S&amp;U'!$J12/ROUNDUP(Assumptions!$H$23/12,0),IF(AND(Z$284&gt;=Assumptions!$H$24,Z$284&lt;Assumptions!$H$26),'S&amp;U'!$J44/ROUNDUP(Assumptions!$H$25/12,0),0))</f>
        <v>0</v>
      </c>
    </row>
    <row r="291" spans="2:26" ht="15.5">
      <c r="B291" s="33" t="s">
        <v>59</v>
      </c>
      <c r="D291" s="48">
        <f t="shared" si="115"/>
        <v>9736264.9191355519</v>
      </c>
      <c r="E291" s="48"/>
      <c r="F291" s="151">
        <f>+IF(AND(F$284&gt;=Assumptions!$H$22,F$284&lt;Assumptions!$H$24),'S&amp;U'!$J13/ROUNDUP(Assumptions!$H$23/12,0),IF(AND(F$284&gt;=Assumptions!$H$24,F$284&lt;Assumptions!$H$28),'S&amp;U'!$J45/ROUNDUP((Assumptions!$H$25+Assumptions!$H$27)/12,0),0))</f>
        <v>292087.94757406652</v>
      </c>
      <c r="G291" s="151">
        <f>+IF(AND(G$284&gt;=Assumptions!$H$22,G$284&lt;Assumptions!$H$24),'S&amp;U'!$J13/ROUNDUP(Assumptions!$H$23/12,0),IF(AND(G$284&gt;=Assumptions!$H$24,G$284&lt;Assumptions!$H$28),'S&amp;U'!$J45/ROUNDUP((Assumptions!$H$25+Assumptions!$H$27)/12,0),0))</f>
        <v>1888835.3943122972</v>
      </c>
      <c r="H291" s="151">
        <f>+IF(AND(H$284&gt;=Assumptions!$H$22,H$284&lt;Assumptions!$H$24),'S&amp;U'!$J13/ROUNDUP(Assumptions!$H$23/12,0),IF(AND(H$284&gt;=Assumptions!$H$24,H$284&lt;Assumptions!$H$28),'S&amp;U'!$J45/ROUNDUP((Assumptions!$H$25+Assumptions!$H$27)/12,0),0))</f>
        <v>1888835.3943122972</v>
      </c>
      <c r="I291" s="151">
        <f>+IF(AND(I$284&gt;=Assumptions!$H$22,I$284&lt;Assumptions!$H$24),'S&amp;U'!$J13/ROUNDUP(Assumptions!$H$23/12,0),IF(AND(I$284&gt;=Assumptions!$H$24,I$284&lt;Assumptions!$H$28),'S&amp;U'!$J45/ROUNDUP((Assumptions!$H$25+Assumptions!$H$27)/12,0),0))</f>
        <v>1888835.3943122972</v>
      </c>
      <c r="J291" s="151">
        <f>+IF(AND(J$284&gt;=Assumptions!$H$22,J$284&lt;Assumptions!$H$24),'S&amp;U'!$J13/ROUNDUP(Assumptions!$H$23/12,0),IF(AND(J$284&gt;=Assumptions!$H$24,J$284&lt;Assumptions!$H$28),'S&amp;U'!$J45/ROUNDUP((Assumptions!$H$25+Assumptions!$H$27)/12,0),0))</f>
        <v>1888835.3943122972</v>
      </c>
      <c r="K291" s="151">
        <f>+IF(AND(K$284&gt;=Assumptions!$H$22,K$284&lt;Assumptions!$H$24),'S&amp;U'!$J13/ROUNDUP(Assumptions!$H$23/12,0),IF(AND(K$284&gt;=Assumptions!$H$24,K$284&lt;Assumptions!$H$28),'S&amp;U'!$J45/ROUNDUP((Assumptions!$H$25+Assumptions!$H$27)/12,0),0))</f>
        <v>1888835.3943122972</v>
      </c>
      <c r="L291" s="151">
        <f>+IF(AND(L$284&gt;=Assumptions!$H$22,L$284&lt;Assumptions!$H$24),'S&amp;U'!$J13/ROUNDUP(Assumptions!$H$23/12,0),IF(AND(L$284&gt;=Assumptions!$H$24,L$284&lt;Assumptions!$H$28),'S&amp;U'!$J45/ROUNDUP((Assumptions!$H$25+Assumptions!$H$27)/12,0),0))</f>
        <v>0</v>
      </c>
      <c r="M291" s="151">
        <f>+IF(AND(M$284&gt;=Assumptions!$H$22,M$284&lt;Assumptions!$H$24),'S&amp;U'!$J13/ROUNDUP(Assumptions!$H$23/12,0),IF(AND(M$284&gt;=Assumptions!$H$24,M$284&lt;Assumptions!$H$28),'S&amp;U'!$J45/ROUNDUP((Assumptions!$H$25+Assumptions!$H$27)/12,0),0))</f>
        <v>0</v>
      </c>
      <c r="N291" s="151">
        <f>+IF(AND(N$284&gt;=Assumptions!$H$22,N$284&lt;Assumptions!$H$24),'S&amp;U'!$J13/ROUNDUP(Assumptions!$H$23/12,0),IF(AND(N$284&gt;=Assumptions!$H$24,N$284&lt;Assumptions!$H$28),'S&amp;U'!$J45/ROUNDUP((Assumptions!$H$25+Assumptions!$H$27)/12,0),0))</f>
        <v>0</v>
      </c>
      <c r="O291" s="151">
        <f>+IF(AND(O$284&gt;=Assumptions!$H$22,O$284&lt;Assumptions!$H$24),'S&amp;U'!$J13/ROUNDUP(Assumptions!$H$23/12,0),IF(AND(O$284&gt;=Assumptions!$H$24,O$284&lt;Assumptions!$H$28),'S&amp;U'!$J45/ROUNDUP((Assumptions!$H$25+Assumptions!$H$27)/12,0),0))</f>
        <v>0</v>
      </c>
      <c r="P291" s="151">
        <f>+IF(AND(P$284&gt;=Assumptions!$H$22,P$284&lt;Assumptions!$H$24),'S&amp;U'!$J13/ROUNDUP(Assumptions!$H$23/12,0),IF(AND(P$284&gt;=Assumptions!$H$24,P$284&lt;Assumptions!$H$28),'S&amp;U'!$J45/ROUNDUP((Assumptions!$H$25+Assumptions!$H$27)/12,0),0))</f>
        <v>0</v>
      </c>
      <c r="Q291" s="151">
        <f>+IF(AND(Q$284&gt;=Assumptions!$H$22,Q$284&lt;Assumptions!$H$24),'S&amp;U'!$J13/ROUNDUP(Assumptions!$H$23/12,0),IF(AND(Q$284&gt;=Assumptions!$H$24,Q$284&lt;Assumptions!$H$28),'S&amp;U'!$J45/ROUNDUP((Assumptions!$H$25+Assumptions!$H$27)/12,0),0))</f>
        <v>0</v>
      </c>
      <c r="R291" s="151">
        <f>+IF(AND(R$284&gt;=Assumptions!$H$22,R$284&lt;Assumptions!$H$24),'S&amp;U'!$J13/ROUNDUP(Assumptions!$H$23/12,0),IF(AND(R$284&gt;=Assumptions!$H$24,R$284&lt;Assumptions!$H$28),'S&amp;U'!$J45/ROUNDUP((Assumptions!$H$25+Assumptions!$H$27)/12,0),0))</f>
        <v>0</v>
      </c>
      <c r="S291" s="151">
        <f>+IF(AND(S$284&gt;=Assumptions!$H$22,S$284&lt;Assumptions!$H$24),'S&amp;U'!$J13/ROUNDUP(Assumptions!$H$23/12,0),IF(AND(S$284&gt;=Assumptions!$H$24,S$284&lt;Assumptions!$H$28),'S&amp;U'!$J45/ROUNDUP((Assumptions!$H$25+Assumptions!$H$27)/12,0),0))</f>
        <v>0</v>
      </c>
      <c r="T291" s="151">
        <f>+IF(AND(T$284&gt;=Assumptions!$H$22,T$284&lt;Assumptions!$H$24),'S&amp;U'!$J13/ROUNDUP(Assumptions!$H$23/12,0),IF(AND(T$284&gt;=Assumptions!$H$24,T$284&lt;Assumptions!$H$28),'S&amp;U'!$J45/ROUNDUP((Assumptions!$H$25+Assumptions!$H$27)/12,0),0))</f>
        <v>0</v>
      </c>
      <c r="U291" s="151">
        <f>+IF(AND(U$284&gt;=Assumptions!$H$22,U$284&lt;Assumptions!$H$24),'S&amp;U'!$J13/ROUNDUP(Assumptions!$H$23/12,0),IF(AND(U$284&gt;=Assumptions!$H$24,U$284&lt;Assumptions!$H$28),'S&amp;U'!$J45/ROUNDUP((Assumptions!$H$25+Assumptions!$H$27)/12,0),0))</f>
        <v>0</v>
      </c>
      <c r="V291" s="151">
        <f>+IF(AND(V$284&gt;=Assumptions!$H$22,V$284&lt;Assumptions!$H$24),'S&amp;U'!$J13/ROUNDUP(Assumptions!$H$23/12,0),IF(AND(V$284&gt;=Assumptions!$H$24,V$284&lt;Assumptions!$H$28),'S&amp;U'!$J45/ROUNDUP((Assumptions!$H$25+Assumptions!$H$27)/12,0),0))</f>
        <v>0</v>
      </c>
      <c r="W291" s="151">
        <f>+IF(AND(W$284&gt;=Assumptions!$H$22,W$284&lt;Assumptions!$H$24),'S&amp;U'!$J13/ROUNDUP(Assumptions!$H$23/12,0),IF(AND(W$284&gt;=Assumptions!$H$24,W$284&lt;Assumptions!$H$28),'S&amp;U'!$J45/ROUNDUP((Assumptions!$H$25+Assumptions!$H$27)/12,0),0))</f>
        <v>0</v>
      </c>
      <c r="X291" s="151">
        <f>+IF(AND(X$284&gt;=Assumptions!$H$22,X$284&lt;Assumptions!$H$24),'S&amp;U'!$J13/ROUNDUP(Assumptions!$H$23/12,0),IF(AND(X$284&gt;=Assumptions!$H$24,X$284&lt;Assumptions!$H$28),'S&amp;U'!$J45/ROUNDUP((Assumptions!$H$25+Assumptions!$H$27)/12,0),0))</f>
        <v>0</v>
      </c>
      <c r="Y291" s="151">
        <f>+IF(AND(Y$284&gt;=Assumptions!$H$22,Y$284&lt;Assumptions!$H$24),'S&amp;U'!$J13/ROUNDUP(Assumptions!$H$23/12,0),IF(AND(Y$284&gt;=Assumptions!$H$24,Y$284&lt;Assumptions!$H$28),'S&amp;U'!$J45/ROUNDUP((Assumptions!$H$25+Assumptions!$H$27)/12,0),0))</f>
        <v>0</v>
      </c>
      <c r="Z291" s="151">
        <f>+IF(AND(Z$284&gt;=Assumptions!$H$22,Z$284&lt;Assumptions!$H$24),'S&amp;U'!$J13/ROUNDUP(Assumptions!$H$23/12,0),IF(AND(Z$284&gt;=Assumptions!$H$24,Z$284&lt;Assumptions!$H$28),'S&amp;U'!$J45/ROUNDUP((Assumptions!$H$25+Assumptions!$H$27)/12,0),0))</f>
        <v>0</v>
      </c>
    </row>
    <row r="292" spans="2:26" ht="15.5">
      <c r="B292" s="138" t="s">
        <v>20</v>
      </c>
      <c r="C292" s="138"/>
      <c r="D292" s="139">
        <f ca="1">+SUM(F292:Z292)</f>
        <v>429368473.07774824</v>
      </c>
      <c r="E292" s="139"/>
      <c r="F292" s="139">
        <f>+SUM(F285:F291)</f>
        <v>79919439.518322229</v>
      </c>
      <c r="G292" s="139">
        <f t="shared" ref="G292:Z292" ca="1" si="116">+SUM(G285:G291)</f>
        <v>115223787.59026714</v>
      </c>
      <c r="H292" s="139">
        <f t="shared" ca="1" si="116"/>
        <v>115223787.59026714</v>
      </c>
      <c r="I292" s="139">
        <f t="shared" ca="1" si="116"/>
        <v>115223787.59026714</v>
      </c>
      <c r="J292" s="139">
        <f t="shared" si="116"/>
        <v>1888835.3943122972</v>
      </c>
      <c r="K292" s="139">
        <f t="shared" si="116"/>
        <v>1888835.3943122972</v>
      </c>
      <c r="L292" s="139">
        <f t="shared" si="116"/>
        <v>0</v>
      </c>
      <c r="M292" s="139">
        <f t="shared" si="116"/>
        <v>0</v>
      </c>
      <c r="N292" s="139">
        <f t="shared" si="116"/>
        <v>0</v>
      </c>
      <c r="O292" s="139">
        <f t="shared" si="116"/>
        <v>0</v>
      </c>
      <c r="P292" s="139">
        <f t="shared" si="116"/>
        <v>0</v>
      </c>
      <c r="Q292" s="139">
        <f t="shared" si="116"/>
        <v>0</v>
      </c>
      <c r="R292" s="139">
        <f t="shared" si="116"/>
        <v>0</v>
      </c>
      <c r="S292" s="139">
        <f t="shared" si="116"/>
        <v>0</v>
      </c>
      <c r="T292" s="139">
        <f t="shared" si="116"/>
        <v>0</v>
      </c>
      <c r="U292" s="139">
        <f t="shared" si="116"/>
        <v>0</v>
      </c>
      <c r="V292" s="139">
        <f t="shared" si="116"/>
        <v>0</v>
      </c>
      <c r="W292" s="139">
        <f t="shared" si="116"/>
        <v>0</v>
      </c>
      <c r="X292" s="139">
        <f t="shared" si="116"/>
        <v>0</v>
      </c>
      <c r="Y292" s="139">
        <f t="shared" si="116"/>
        <v>0</v>
      </c>
      <c r="Z292" s="139">
        <f t="shared" si="116"/>
        <v>0</v>
      </c>
    </row>
    <row r="294" spans="2:26" ht="15.5">
      <c r="B294" s="148" t="s">
        <v>329</v>
      </c>
      <c r="F294" s="150">
        <f>+Assumptions!$H$22</f>
        <v>46022</v>
      </c>
      <c r="G294" s="150">
        <f>+EOMONTH(F294,12)</f>
        <v>46387</v>
      </c>
      <c r="H294" s="150">
        <f t="shared" ref="H294:Z294" si="117">+EOMONTH(G294,12)</f>
        <v>46752</v>
      </c>
      <c r="I294" s="150">
        <f t="shared" si="117"/>
        <v>47118</v>
      </c>
      <c r="J294" s="150">
        <f t="shared" si="117"/>
        <v>47483</v>
      </c>
      <c r="K294" s="150">
        <f t="shared" si="117"/>
        <v>47848</v>
      </c>
      <c r="L294" s="150">
        <f t="shared" si="117"/>
        <v>48213</v>
      </c>
      <c r="M294" s="150">
        <f t="shared" si="117"/>
        <v>48579</v>
      </c>
      <c r="N294" s="150">
        <f t="shared" si="117"/>
        <v>48944</v>
      </c>
      <c r="O294" s="150">
        <f t="shared" si="117"/>
        <v>49309</v>
      </c>
      <c r="P294" s="150">
        <f t="shared" si="117"/>
        <v>49674</v>
      </c>
      <c r="Q294" s="150">
        <f t="shared" si="117"/>
        <v>50040</v>
      </c>
      <c r="R294" s="150">
        <f t="shared" si="117"/>
        <v>50405</v>
      </c>
      <c r="S294" s="150">
        <f t="shared" si="117"/>
        <v>50770</v>
      </c>
      <c r="T294" s="150">
        <f t="shared" si="117"/>
        <v>51135</v>
      </c>
      <c r="U294" s="150">
        <f t="shared" si="117"/>
        <v>51501</v>
      </c>
      <c r="V294" s="150">
        <f t="shared" si="117"/>
        <v>51866</v>
      </c>
      <c r="W294" s="150">
        <f t="shared" si="117"/>
        <v>52231</v>
      </c>
      <c r="X294" s="150">
        <f t="shared" si="117"/>
        <v>52596</v>
      </c>
      <c r="Y294" s="150">
        <f t="shared" si="117"/>
        <v>52962</v>
      </c>
      <c r="Z294" s="150">
        <f t="shared" si="117"/>
        <v>53327</v>
      </c>
    </row>
    <row r="295" spans="2:26" ht="15.5">
      <c r="B295" s="33" t="s">
        <v>29</v>
      </c>
      <c r="D295" s="48">
        <f t="shared" ref="D295:D302" ca="1" si="118">+SUM(F295:Z295)</f>
        <v>77608593.110894859</v>
      </c>
      <c r="E295" s="48"/>
      <c r="F295" s="34">
        <f ca="1">+MIN('S&amp;U'!$J23-SUM('Phase III Pro Forma'!$E295:E295),'Phase III Pro Forma'!F$292)</f>
        <v>77608593.110894859</v>
      </c>
      <c r="G295" s="34">
        <f ca="1">+MIN('S&amp;U'!$J23-SUM('Phase III Pro Forma'!$E295:F295),'Phase III Pro Forma'!G$292)</f>
        <v>0</v>
      </c>
      <c r="H295" s="34">
        <f ca="1">+MIN('S&amp;U'!$J23-SUM('Phase III Pro Forma'!$E295:G295),'Phase III Pro Forma'!H$292)</f>
        <v>0</v>
      </c>
      <c r="I295" s="34">
        <f ca="1">+MIN('S&amp;U'!$J23-SUM('Phase III Pro Forma'!$E295:H295),'Phase III Pro Forma'!I$292)</f>
        <v>0</v>
      </c>
      <c r="J295" s="34">
        <f ca="1">+MIN('S&amp;U'!$J23-SUM('Phase III Pro Forma'!$E295:I295),'Phase III Pro Forma'!J$292)</f>
        <v>0</v>
      </c>
      <c r="K295" s="34">
        <f ca="1">+MIN('S&amp;U'!$J23-SUM('Phase III Pro Forma'!$E295:J295),'Phase III Pro Forma'!K$292)</f>
        <v>0</v>
      </c>
      <c r="L295" s="34">
        <f ca="1">+MIN('S&amp;U'!$J23-SUM('Phase III Pro Forma'!$E295:K295),'Phase III Pro Forma'!L$292)</f>
        <v>0</v>
      </c>
      <c r="M295" s="34">
        <f ca="1">+MIN('S&amp;U'!$J23-SUM('Phase III Pro Forma'!$E295:L295),'Phase III Pro Forma'!M$292)</f>
        <v>0</v>
      </c>
      <c r="N295" s="34">
        <f ca="1">+MIN('S&amp;U'!$J23-SUM('Phase III Pro Forma'!$E295:M295),'Phase III Pro Forma'!N$292)</f>
        <v>0</v>
      </c>
      <c r="O295" s="34">
        <f ca="1">+MIN('S&amp;U'!$J23-SUM('Phase III Pro Forma'!$E295:N295),'Phase III Pro Forma'!O$292)</f>
        <v>0</v>
      </c>
      <c r="P295" s="34">
        <f ca="1">+MIN('S&amp;U'!$J23-SUM('Phase III Pro Forma'!$E295:O295),'Phase III Pro Forma'!P$292)</f>
        <v>0</v>
      </c>
      <c r="Q295" s="34">
        <f ca="1">+MIN('S&amp;U'!$J23-SUM('Phase III Pro Forma'!$E295:P295),'Phase III Pro Forma'!Q$292)</f>
        <v>0</v>
      </c>
      <c r="R295" s="34">
        <f ca="1">+MIN('S&amp;U'!$J23-SUM('Phase III Pro Forma'!$E295:Q295),'Phase III Pro Forma'!R$292)</f>
        <v>0</v>
      </c>
      <c r="S295" s="34">
        <f ca="1">+MIN('S&amp;U'!$J23-SUM('Phase III Pro Forma'!$E295:R295),'Phase III Pro Forma'!S$292)</f>
        <v>0</v>
      </c>
      <c r="T295" s="34">
        <f ca="1">+MIN('S&amp;U'!$J23-SUM('Phase III Pro Forma'!$E295:S295),'Phase III Pro Forma'!T$292)</f>
        <v>0</v>
      </c>
      <c r="U295" s="34">
        <f ca="1">+MIN('S&amp;U'!$J23-SUM('Phase III Pro Forma'!$E295:T295),'Phase III Pro Forma'!U$292)</f>
        <v>0</v>
      </c>
      <c r="V295" s="34">
        <f ca="1">+MIN('S&amp;U'!$J23-SUM('Phase III Pro Forma'!$E295:U295),'Phase III Pro Forma'!V$292)</f>
        <v>0</v>
      </c>
      <c r="W295" s="34">
        <f ca="1">+MIN('S&amp;U'!$J23-SUM('Phase III Pro Forma'!$E295:V295),'Phase III Pro Forma'!W$292)</f>
        <v>0</v>
      </c>
      <c r="X295" s="34">
        <f ca="1">+MIN('S&amp;U'!$J23-SUM('Phase III Pro Forma'!$E295:W295),'Phase III Pro Forma'!X$292)</f>
        <v>0</v>
      </c>
      <c r="Y295" s="34">
        <f ca="1">+MIN('S&amp;U'!$J23-SUM('Phase III Pro Forma'!$E295:X295),'Phase III Pro Forma'!Y$292)</f>
        <v>0</v>
      </c>
      <c r="Z295" s="34">
        <f ca="1">+MIN('S&amp;U'!$J23-SUM('Phase III Pro Forma'!$E295:Y295),'Phase III Pro Forma'!Z$292)</f>
        <v>0</v>
      </c>
    </row>
    <row r="296" spans="2:26" ht="15.5">
      <c r="B296" s="33" t="s">
        <v>840</v>
      </c>
      <c r="D296" s="48">
        <f t="shared" ca="1" si="118"/>
        <v>0</v>
      </c>
      <c r="E296" s="48"/>
      <c r="F296" s="151">
        <f ca="1">+MIN('S&amp;U'!$J19-SUM('Phase III Pro Forma'!$E296:E296),'Phase III Pro Forma'!F$292-SUM(F$295:F295))</f>
        <v>0</v>
      </c>
      <c r="G296" s="151">
        <f ca="1">+MIN('S&amp;U'!$J19-SUM('Phase III Pro Forma'!$E296:F296),'Phase III Pro Forma'!G$292-SUM(G$295:G295))</f>
        <v>0</v>
      </c>
      <c r="H296" s="151">
        <f ca="1">+MIN('S&amp;U'!$J19-SUM('Phase III Pro Forma'!$E296:G296),'Phase III Pro Forma'!H$292-SUM(H$295:H295))</f>
        <v>0</v>
      </c>
      <c r="I296" s="151">
        <f ca="1">+MIN('S&amp;U'!$J19-SUM('Phase III Pro Forma'!$E296:H296),'Phase III Pro Forma'!I$292-SUM(I$295:I295))</f>
        <v>0</v>
      </c>
      <c r="J296" s="151">
        <f ca="1">+MIN('S&amp;U'!$J19-SUM('Phase III Pro Forma'!$E296:I296),'Phase III Pro Forma'!J$292-SUM(J$295:J295))</f>
        <v>0</v>
      </c>
      <c r="K296" s="151">
        <f ca="1">+MIN('S&amp;U'!$J19-SUM('Phase III Pro Forma'!$E296:J296),'Phase III Pro Forma'!K$292-SUM(K$295:K295))</f>
        <v>0</v>
      </c>
      <c r="L296" s="151">
        <f ca="1">+MIN('S&amp;U'!$J19-SUM('Phase III Pro Forma'!$E296:K296),'Phase III Pro Forma'!L$292-SUM(L$295:L295))</f>
        <v>0</v>
      </c>
      <c r="M296" s="151">
        <f ca="1">+MIN('S&amp;U'!$J19-SUM('Phase III Pro Forma'!$E296:L296),'Phase III Pro Forma'!M$292-SUM(M$295:M295))</f>
        <v>0</v>
      </c>
      <c r="N296" s="151">
        <f ca="1">+MIN('S&amp;U'!$J19-SUM('Phase III Pro Forma'!$E296:M296),'Phase III Pro Forma'!N$292-SUM(N$295:N295))</f>
        <v>0</v>
      </c>
      <c r="O296" s="151">
        <f ca="1">+MIN('S&amp;U'!$J19-SUM('Phase III Pro Forma'!$E296:N296),'Phase III Pro Forma'!O$292-SUM(O$295:O295))</f>
        <v>0</v>
      </c>
      <c r="P296" s="151">
        <f ca="1">+MIN('S&amp;U'!$J19-SUM('Phase III Pro Forma'!$E296:O296),'Phase III Pro Forma'!P$292-SUM(P$295:P295))</f>
        <v>0</v>
      </c>
      <c r="Q296" s="151">
        <f ca="1">+MIN('S&amp;U'!$J19-SUM('Phase III Pro Forma'!$E296:P296),'Phase III Pro Forma'!Q$292-SUM(Q$295:Q295))</f>
        <v>0</v>
      </c>
      <c r="R296" s="151">
        <f ca="1">+MIN('S&amp;U'!$J19-SUM('Phase III Pro Forma'!$E296:Q296),'Phase III Pro Forma'!R$292-SUM(R$295:R295))</f>
        <v>0</v>
      </c>
      <c r="S296" s="151">
        <f ca="1">+MIN('S&amp;U'!$J19-SUM('Phase III Pro Forma'!$E296:R296),'Phase III Pro Forma'!S$292-SUM(S$295:S295))</f>
        <v>0</v>
      </c>
      <c r="T296" s="151">
        <f ca="1">+MIN('S&amp;U'!$J19-SUM('Phase III Pro Forma'!$E296:S296),'Phase III Pro Forma'!T$292-SUM(T$295:T295))</f>
        <v>0</v>
      </c>
      <c r="U296" s="151">
        <f ca="1">+MIN('S&amp;U'!$J19-SUM('Phase III Pro Forma'!$E296:T296),'Phase III Pro Forma'!U$292-SUM(U$295:U295))</f>
        <v>0</v>
      </c>
      <c r="V296" s="151">
        <f ca="1">+MIN('S&amp;U'!$J19-SUM('Phase III Pro Forma'!$E296:U296),'Phase III Pro Forma'!V$292-SUM(V$295:V295))</f>
        <v>0</v>
      </c>
      <c r="W296" s="151">
        <f ca="1">+MIN('S&amp;U'!$J19-SUM('Phase III Pro Forma'!$E296:V296),'Phase III Pro Forma'!W$292-SUM(W$295:W295))</f>
        <v>0</v>
      </c>
      <c r="X296" s="151">
        <f ca="1">+MIN('S&amp;U'!$J19-SUM('Phase III Pro Forma'!$E296:W296),'Phase III Pro Forma'!X$292-SUM(X$295:X295))</f>
        <v>0</v>
      </c>
      <c r="Y296" s="151">
        <f ca="1">+MIN('S&amp;U'!$J19-SUM('Phase III Pro Forma'!$E296:X296),'Phase III Pro Forma'!Y$292-SUM(Y$295:Y295))</f>
        <v>0</v>
      </c>
      <c r="Z296" s="151">
        <f ca="1">+MIN('S&amp;U'!$J19-SUM('Phase III Pro Forma'!$E296:Y296),'Phase III Pro Forma'!Z$292-SUM(Z$295:Z295))</f>
        <v>0</v>
      </c>
    </row>
    <row r="297" spans="2:26" ht="15.5">
      <c r="B297" s="33" t="s">
        <v>98</v>
      </c>
      <c r="D297" s="48">
        <f t="shared" ca="1" si="118"/>
        <v>32087500</v>
      </c>
      <c r="E297" s="48"/>
      <c r="F297" s="151">
        <f ca="1">+MIN('S&amp;U'!$J20-SUM('Phase III Pro Forma'!$E297:E297),'Phase III Pro Forma'!F$292-SUM(F$295:F296))</f>
        <v>2310846.4074273705</v>
      </c>
      <c r="G297" s="151">
        <f ca="1">+MIN('S&amp;U'!$J20-SUM('Phase III Pro Forma'!$E297:F297),'Phase III Pro Forma'!G$292-SUM(G$295:G296))</f>
        <v>29776653.592572629</v>
      </c>
      <c r="H297" s="151">
        <f ca="1">+MIN('S&amp;U'!$J20-SUM('Phase III Pro Forma'!$E297:G297),'Phase III Pro Forma'!H$292-SUM(H$295:H296))</f>
        <v>0</v>
      </c>
      <c r="I297" s="151">
        <f ca="1">+MIN('S&amp;U'!$J20-SUM('Phase III Pro Forma'!$E297:H297),'Phase III Pro Forma'!I$292-SUM(I$295:I296))</f>
        <v>0</v>
      </c>
      <c r="J297" s="151">
        <f ca="1">+MIN('S&amp;U'!$J20-SUM('Phase III Pro Forma'!$E297:I297),'Phase III Pro Forma'!J$292-SUM(J$295:J296))</f>
        <v>0</v>
      </c>
      <c r="K297" s="151">
        <f ca="1">+MIN('S&amp;U'!$J20-SUM('Phase III Pro Forma'!$E297:J297),'Phase III Pro Forma'!K$292-SUM(K$295:K296))</f>
        <v>0</v>
      </c>
      <c r="L297" s="151">
        <f ca="1">+MIN('S&amp;U'!$J20-SUM('Phase III Pro Forma'!$E297:K297),'Phase III Pro Forma'!L$292-SUM(L$295:L296))</f>
        <v>0</v>
      </c>
      <c r="M297" s="151">
        <f ca="1">+MIN('S&amp;U'!$J20-SUM('Phase III Pro Forma'!$E297:L297),'Phase III Pro Forma'!M$292-SUM(M$295:M296))</f>
        <v>0</v>
      </c>
      <c r="N297" s="151">
        <f ca="1">+MIN('S&amp;U'!$J20-SUM('Phase III Pro Forma'!$E297:M297),'Phase III Pro Forma'!N$292-SUM(N$295:N296))</f>
        <v>0</v>
      </c>
      <c r="O297" s="151">
        <f ca="1">+MIN('S&amp;U'!$J20-SUM('Phase III Pro Forma'!$E297:N297),'Phase III Pro Forma'!O$292-SUM(O$295:O296))</f>
        <v>0</v>
      </c>
      <c r="P297" s="151">
        <f ca="1">+MIN('S&amp;U'!$J20-SUM('Phase III Pro Forma'!$E297:O297),'Phase III Pro Forma'!P$292-SUM(P$295:P296))</f>
        <v>0</v>
      </c>
      <c r="Q297" s="151">
        <f ca="1">+MIN('S&amp;U'!$J20-SUM('Phase III Pro Forma'!$E297:P297),'Phase III Pro Forma'!Q$292-SUM(Q$295:Q296))</f>
        <v>0</v>
      </c>
      <c r="R297" s="151">
        <f ca="1">+MIN('S&amp;U'!$J20-SUM('Phase III Pro Forma'!$E297:Q297),'Phase III Pro Forma'!R$292-SUM(R$295:R296))</f>
        <v>0</v>
      </c>
      <c r="S297" s="151">
        <f ca="1">+MIN('S&amp;U'!$J20-SUM('Phase III Pro Forma'!$E297:R297),'Phase III Pro Forma'!S$292-SUM(S$295:S296))</f>
        <v>0</v>
      </c>
      <c r="T297" s="151">
        <f ca="1">+MIN('S&amp;U'!$J20-SUM('Phase III Pro Forma'!$E297:S297),'Phase III Pro Forma'!T$292-SUM(T$295:T296))</f>
        <v>0</v>
      </c>
      <c r="U297" s="151">
        <f ca="1">+MIN('S&amp;U'!$J20-SUM('Phase III Pro Forma'!$E297:T297),'Phase III Pro Forma'!U$292-SUM(U$295:U296))</f>
        <v>0</v>
      </c>
      <c r="V297" s="151">
        <f ca="1">+MIN('S&amp;U'!$J20-SUM('Phase III Pro Forma'!$E297:U297),'Phase III Pro Forma'!V$292-SUM(V$295:V296))</f>
        <v>0</v>
      </c>
      <c r="W297" s="151">
        <f ca="1">+MIN('S&amp;U'!$J20-SUM('Phase III Pro Forma'!$E297:V297),'Phase III Pro Forma'!W$292-SUM(W$295:W296))</f>
        <v>0</v>
      </c>
      <c r="X297" s="151">
        <f ca="1">+MIN('S&amp;U'!$J20-SUM('Phase III Pro Forma'!$E297:W297),'Phase III Pro Forma'!X$292-SUM(X$295:X296))</f>
        <v>0</v>
      </c>
      <c r="Y297" s="151">
        <f ca="1">+MIN('S&amp;U'!$J20-SUM('Phase III Pro Forma'!$E297:X297),'Phase III Pro Forma'!Y$292-SUM(Y$295:Y296))</f>
        <v>0</v>
      </c>
      <c r="Z297" s="151">
        <f ca="1">+MIN('S&amp;U'!$J20-SUM('Phase III Pro Forma'!$E297:Y297),'Phase III Pro Forma'!Z$292-SUM(Z$295:Z296))</f>
        <v>0</v>
      </c>
    </row>
    <row r="298" spans="2:26" ht="15.5">
      <c r="B298" s="33" t="s">
        <v>99</v>
      </c>
      <c r="D298" s="48">
        <f t="shared" ca="1" si="118"/>
        <v>287994.08700256317</v>
      </c>
      <c r="E298" s="48"/>
      <c r="F298" s="151">
        <f ca="1">+MIN('S&amp;U'!$J21-SUM('Phase III Pro Forma'!$E298:E298),'Phase III Pro Forma'!F$292-SUM(F$295:F297))</f>
        <v>0</v>
      </c>
      <c r="G298" s="151">
        <f ca="1">+MIN('S&amp;U'!$J21-SUM('Phase III Pro Forma'!$E298:F298),'Phase III Pro Forma'!G$292-SUM(G$295:G297))</f>
        <v>287994.08700256317</v>
      </c>
      <c r="H298" s="151">
        <f ca="1">+MIN('S&amp;U'!$J21-SUM('Phase III Pro Forma'!$E298:G298),'Phase III Pro Forma'!H$292-SUM(H$295:H297))</f>
        <v>0</v>
      </c>
      <c r="I298" s="151">
        <f ca="1">+MIN('S&amp;U'!$J21-SUM('Phase III Pro Forma'!$E298:H298),'Phase III Pro Forma'!I$292-SUM(I$295:I297))</f>
        <v>0</v>
      </c>
      <c r="J298" s="151">
        <f ca="1">+MIN('S&amp;U'!$J21-SUM('Phase III Pro Forma'!$E298:I298),'Phase III Pro Forma'!J$292-SUM(J$295:J297))</f>
        <v>0</v>
      </c>
      <c r="K298" s="151">
        <f ca="1">+MIN('S&amp;U'!$J21-SUM('Phase III Pro Forma'!$E298:J298),'Phase III Pro Forma'!K$292-SUM(K$295:K297))</f>
        <v>0</v>
      </c>
      <c r="L298" s="151">
        <f ca="1">+MIN('S&amp;U'!$J21-SUM('Phase III Pro Forma'!$E298:K298),'Phase III Pro Forma'!L$292-SUM(L$295:L297))</f>
        <v>0</v>
      </c>
      <c r="M298" s="151">
        <f ca="1">+MIN('S&amp;U'!$J21-SUM('Phase III Pro Forma'!$E298:L298),'Phase III Pro Forma'!M$292-SUM(M$295:M297))</f>
        <v>0</v>
      </c>
      <c r="N298" s="151">
        <f ca="1">+MIN('S&amp;U'!$J21-SUM('Phase III Pro Forma'!$E298:M298),'Phase III Pro Forma'!N$292-SUM(N$295:N297))</f>
        <v>0</v>
      </c>
      <c r="O298" s="151">
        <f ca="1">+MIN('S&amp;U'!$J21-SUM('Phase III Pro Forma'!$E298:N298),'Phase III Pro Forma'!O$292-SUM(O$295:O297))</f>
        <v>0</v>
      </c>
      <c r="P298" s="151">
        <f ca="1">+MIN('S&amp;U'!$J21-SUM('Phase III Pro Forma'!$E298:O298),'Phase III Pro Forma'!P$292-SUM(P$295:P297))</f>
        <v>0</v>
      </c>
      <c r="Q298" s="151">
        <f ca="1">+MIN('S&amp;U'!$J21-SUM('Phase III Pro Forma'!$E298:P298),'Phase III Pro Forma'!Q$292-SUM(Q$295:Q297))</f>
        <v>0</v>
      </c>
      <c r="R298" s="151">
        <f ca="1">+MIN('S&amp;U'!$J21-SUM('Phase III Pro Forma'!$E298:Q298),'Phase III Pro Forma'!R$292-SUM(R$295:R297))</f>
        <v>0</v>
      </c>
      <c r="S298" s="151">
        <f ca="1">+MIN('S&amp;U'!$J21-SUM('Phase III Pro Forma'!$E298:R298),'Phase III Pro Forma'!S$292-SUM(S$295:S297))</f>
        <v>0</v>
      </c>
      <c r="T298" s="151">
        <f ca="1">+MIN('S&amp;U'!$J21-SUM('Phase III Pro Forma'!$E298:S298),'Phase III Pro Forma'!T$292-SUM(T$295:T297))</f>
        <v>0</v>
      </c>
      <c r="U298" s="151">
        <f ca="1">+MIN('S&amp;U'!$J21-SUM('Phase III Pro Forma'!$E298:T298),'Phase III Pro Forma'!U$292-SUM(U$295:U297))</f>
        <v>0</v>
      </c>
      <c r="V298" s="151">
        <f ca="1">+MIN('S&amp;U'!$J21-SUM('Phase III Pro Forma'!$E298:U298),'Phase III Pro Forma'!V$292-SUM(V$295:V297))</f>
        <v>0</v>
      </c>
      <c r="W298" s="151">
        <f ca="1">+MIN('S&amp;U'!$J21-SUM('Phase III Pro Forma'!$E298:V298),'Phase III Pro Forma'!W$292-SUM(W$295:W297))</f>
        <v>0</v>
      </c>
      <c r="X298" s="151">
        <f ca="1">+MIN('S&amp;U'!$J21-SUM('Phase III Pro Forma'!$E298:W298),'Phase III Pro Forma'!X$292-SUM(X$295:X297))</f>
        <v>0</v>
      </c>
      <c r="Y298" s="151">
        <f ca="1">+MIN('S&amp;U'!$J21-SUM('Phase III Pro Forma'!$E298:X298),'Phase III Pro Forma'!Y$292-SUM(Y$295:Y297))</f>
        <v>0</v>
      </c>
      <c r="Z298" s="151">
        <f ca="1">+MIN('S&amp;U'!$J21-SUM('Phase III Pro Forma'!$E298:Y298),'Phase III Pro Forma'!Z$292-SUM(Z$295:Z297))</f>
        <v>0</v>
      </c>
    </row>
    <row r="299" spans="2:26" ht="15.5">
      <c r="B299" s="33" t="s">
        <v>564</v>
      </c>
      <c r="D299" s="48">
        <f t="shared" ref="D299" ca="1" si="119">+SUM(F299:Z299)</f>
        <v>0</v>
      </c>
      <c r="E299" s="48"/>
      <c r="F299" s="151">
        <f ca="1">+MIN('S&amp;U'!$J22-SUM('Phase III Pro Forma'!$E299:E299),'Phase III Pro Forma'!F$292-SUM(F$295:F298))</f>
        <v>0</v>
      </c>
      <c r="G299" s="151">
        <f ca="1">+MIN('S&amp;U'!$J22-SUM('Phase III Pro Forma'!$E299:F299),'Phase III Pro Forma'!G$292-SUM(G$295:G298))</f>
        <v>0</v>
      </c>
      <c r="H299" s="151">
        <f ca="1">+MIN('S&amp;U'!$J22-SUM('Phase III Pro Forma'!$E299:G299),'Phase III Pro Forma'!H$292-SUM(H$295:H298))</f>
        <v>0</v>
      </c>
      <c r="I299" s="151">
        <f ca="1">+MIN('S&amp;U'!$J22-SUM('Phase III Pro Forma'!$E299:H299),'Phase III Pro Forma'!I$292-SUM(I$295:I298))</f>
        <v>0</v>
      </c>
      <c r="J299" s="151">
        <f ca="1">+MIN('S&amp;U'!$J22-SUM('Phase III Pro Forma'!$E299:I299),'Phase III Pro Forma'!J$292-SUM(J$295:J298))</f>
        <v>0</v>
      </c>
      <c r="K299" s="151">
        <f ca="1">+MIN('S&amp;U'!$J22-SUM('Phase III Pro Forma'!$E299:J299),'Phase III Pro Forma'!K$292-SUM(K$295:K298))</f>
        <v>0</v>
      </c>
      <c r="L299" s="151">
        <f ca="1">+MIN('S&amp;U'!$J22-SUM('Phase III Pro Forma'!$E299:K299),'Phase III Pro Forma'!L$292-SUM(L$295:L298))</f>
        <v>0</v>
      </c>
      <c r="M299" s="151">
        <f ca="1">+MIN('S&amp;U'!$J22-SUM('Phase III Pro Forma'!$E299:L299),'Phase III Pro Forma'!M$292-SUM(M$295:M298))</f>
        <v>0</v>
      </c>
      <c r="N299" s="151">
        <f ca="1">+MIN('S&amp;U'!$J22-SUM('Phase III Pro Forma'!$E299:M299),'Phase III Pro Forma'!N$292-SUM(N$295:N298))</f>
        <v>0</v>
      </c>
      <c r="O299" s="151">
        <f ca="1">+MIN('S&amp;U'!$J22-SUM('Phase III Pro Forma'!$E299:N299),'Phase III Pro Forma'!O$292-SUM(O$295:O298))</f>
        <v>0</v>
      </c>
      <c r="P299" s="151">
        <f ca="1">+MIN('S&amp;U'!$J22-SUM('Phase III Pro Forma'!$E299:O299),'Phase III Pro Forma'!P$292-SUM(P$295:P298))</f>
        <v>0</v>
      </c>
      <c r="Q299" s="151">
        <f ca="1">+MIN('S&amp;U'!$J22-SUM('Phase III Pro Forma'!$E299:P299),'Phase III Pro Forma'!Q$292-SUM(Q$295:Q298))</f>
        <v>0</v>
      </c>
      <c r="R299" s="151">
        <f ca="1">+MIN('S&amp;U'!$J22-SUM('Phase III Pro Forma'!$E299:Q299),'Phase III Pro Forma'!R$292-SUM(R$295:R298))</f>
        <v>0</v>
      </c>
      <c r="S299" s="151">
        <f ca="1">+MIN('S&amp;U'!$J22-SUM('Phase III Pro Forma'!$E299:R299),'Phase III Pro Forma'!S$292-SUM(S$295:S298))</f>
        <v>0</v>
      </c>
      <c r="T299" s="151">
        <f ca="1">+MIN('S&amp;U'!$J22-SUM('Phase III Pro Forma'!$E299:S299),'Phase III Pro Forma'!T$292-SUM(T$295:T298))</f>
        <v>0</v>
      </c>
      <c r="U299" s="151">
        <f ca="1">+MIN('S&amp;U'!$J22-SUM('Phase III Pro Forma'!$E299:T299),'Phase III Pro Forma'!U$292-SUM(U$295:U298))</f>
        <v>0</v>
      </c>
      <c r="V299" s="151">
        <f ca="1">+MIN('S&amp;U'!$J22-SUM('Phase III Pro Forma'!$E299:U299),'Phase III Pro Forma'!V$292-SUM(V$295:V298))</f>
        <v>0</v>
      </c>
      <c r="W299" s="151">
        <f ca="1">+MIN('S&amp;U'!$J22-SUM('Phase III Pro Forma'!$E299:V299),'Phase III Pro Forma'!W$292-SUM(W$295:W298))</f>
        <v>0</v>
      </c>
      <c r="X299" s="151">
        <f ca="1">+MIN('S&amp;U'!$J22-SUM('Phase III Pro Forma'!$E299:W299),'Phase III Pro Forma'!X$292-SUM(X$295:X298))</f>
        <v>0</v>
      </c>
      <c r="Y299" s="151">
        <f ca="1">+MIN('S&amp;U'!$J22-SUM('Phase III Pro Forma'!$E299:X299),'Phase III Pro Forma'!Y$292-SUM(Y$295:Y298))</f>
        <v>0</v>
      </c>
      <c r="Z299" s="151">
        <f ca="1">+MIN('S&amp;U'!$J22-SUM('Phase III Pro Forma'!$E299:Y299),'Phase III Pro Forma'!Z$292-SUM(Z$295:Z298))</f>
        <v>0</v>
      </c>
    </row>
    <row r="300" spans="2:26" ht="15.5">
      <c r="B300" s="33" t="s">
        <v>312</v>
      </c>
      <c r="D300" s="48">
        <f t="shared" ca="1" si="118"/>
        <v>235466710.66699639</v>
      </c>
      <c r="E300" s="48"/>
      <c r="F300" s="151">
        <f ca="1">+MIN('S&amp;U'!$J17-SUM('Phase III Pro Forma'!$E300:E300),'Phase III Pro Forma'!F$292-SUM(F$295:F299))</f>
        <v>0</v>
      </c>
      <c r="G300" s="151">
        <f ca="1">+MIN('S&amp;U'!$J17-SUM('Phase III Pro Forma'!$E300:F300),'Phase III Pro Forma'!G$292-SUM(G$295:G299))</f>
        <v>85159139.910691947</v>
      </c>
      <c r="H300" s="151">
        <f ca="1">+MIN('S&amp;U'!$J17-SUM('Phase III Pro Forma'!$E300:G300),'Phase III Pro Forma'!H$292-SUM(H$295:H299))</f>
        <v>115223787.59026714</v>
      </c>
      <c r="I300" s="151">
        <f ca="1">+MIN('S&amp;U'!$J17-SUM('Phase III Pro Forma'!$E300:H300),'Phase III Pro Forma'!I$292-SUM(I$295:I299))</f>
        <v>35083783.166037291</v>
      </c>
      <c r="J300" s="151">
        <f ca="1">+MIN('S&amp;U'!$J17-SUM('Phase III Pro Forma'!$E300:I300),'Phase III Pro Forma'!J$292-SUM(J$295:J299))</f>
        <v>0</v>
      </c>
      <c r="K300" s="151">
        <f ca="1">+MIN('S&amp;U'!$J17-SUM('Phase III Pro Forma'!$E300:J300),'Phase III Pro Forma'!K$292-SUM(K$295:K299))</f>
        <v>0</v>
      </c>
      <c r="L300" s="151">
        <f ca="1">+MIN('S&amp;U'!$J17-SUM('Phase III Pro Forma'!$E300:K300),'Phase III Pro Forma'!L$292-SUM(L$295:L299))</f>
        <v>0</v>
      </c>
      <c r="M300" s="151">
        <f ca="1">+MIN('S&amp;U'!$J17-SUM('Phase III Pro Forma'!$E300:L300),'Phase III Pro Forma'!M$292-SUM(M$295:M299))</f>
        <v>0</v>
      </c>
      <c r="N300" s="151">
        <f ca="1">+MIN('S&amp;U'!$J17-SUM('Phase III Pro Forma'!$E300:M300),'Phase III Pro Forma'!N$292-SUM(N$295:N299))</f>
        <v>0</v>
      </c>
      <c r="O300" s="151">
        <f ca="1">+MIN('S&amp;U'!$J17-SUM('Phase III Pro Forma'!$E300:N300),'Phase III Pro Forma'!O$292-SUM(O$295:O299))</f>
        <v>0</v>
      </c>
      <c r="P300" s="151">
        <f ca="1">+MIN('S&amp;U'!$J17-SUM('Phase III Pro Forma'!$E300:O300),'Phase III Pro Forma'!P$292-SUM(P$295:P299))</f>
        <v>0</v>
      </c>
      <c r="Q300" s="151">
        <f ca="1">+MIN('S&amp;U'!$J17-SUM('Phase III Pro Forma'!$E300:P300),'Phase III Pro Forma'!Q$292-SUM(Q$295:Q299))</f>
        <v>0</v>
      </c>
      <c r="R300" s="151">
        <f ca="1">+MIN('S&amp;U'!$J17-SUM('Phase III Pro Forma'!$E300:Q300),'Phase III Pro Forma'!R$292-SUM(R$295:R299))</f>
        <v>0</v>
      </c>
      <c r="S300" s="151">
        <f ca="1">+MIN('S&amp;U'!$J17-SUM('Phase III Pro Forma'!$E300:R300),'Phase III Pro Forma'!S$292-SUM(S$295:S299))</f>
        <v>0</v>
      </c>
      <c r="T300" s="151">
        <f ca="1">+MIN('S&amp;U'!$J17-SUM('Phase III Pro Forma'!$E300:S300),'Phase III Pro Forma'!T$292-SUM(T$295:T299))</f>
        <v>0</v>
      </c>
      <c r="U300" s="151">
        <f ca="1">+MIN('S&amp;U'!$J17-SUM('Phase III Pro Forma'!$E300:T300),'Phase III Pro Forma'!U$292-SUM(U$295:U299))</f>
        <v>0</v>
      </c>
      <c r="V300" s="151">
        <f ca="1">+MIN('S&amp;U'!$J17-SUM('Phase III Pro Forma'!$E300:U300),'Phase III Pro Forma'!V$292-SUM(V$295:V299))</f>
        <v>0</v>
      </c>
      <c r="W300" s="151">
        <f ca="1">+MIN('S&amp;U'!$J17-SUM('Phase III Pro Forma'!$E300:V300),'Phase III Pro Forma'!W$292-SUM(W$295:W299))</f>
        <v>0</v>
      </c>
      <c r="X300" s="151">
        <f ca="1">+MIN('S&amp;U'!$J17-SUM('Phase III Pro Forma'!$E300:W300),'Phase III Pro Forma'!X$292-SUM(X$295:X299))</f>
        <v>0</v>
      </c>
      <c r="Y300" s="151">
        <f ca="1">+MIN('S&amp;U'!$J17-SUM('Phase III Pro Forma'!$E300:X300),'Phase III Pro Forma'!Y$292-SUM(Y$295:Y299))</f>
        <v>0</v>
      </c>
      <c r="Z300" s="151">
        <f ca="1">+MIN('S&amp;U'!$J17-SUM('Phase III Pro Forma'!$E300:Y300),'Phase III Pro Forma'!Z$292-SUM(Z$295:Z299))</f>
        <v>0</v>
      </c>
    </row>
    <row r="301" spans="2:26" ht="15.5">
      <c r="B301" s="33" t="s">
        <v>97</v>
      </c>
      <c r="D301" s="48">
        <f t="shared" ca="1" si="118"/>
        <v>83917675.21285443</v>
      </c>
      <c r="E301" s="48"/>
      <c r="F301" s="151">
        <f ca="1">+MIN('S&amp;U'!$J18-SUM('Phase III Pro Forma'!$E301:E301),'Phase III Pro Forma'!F$292-SUM(F$295:F300))</f>
        <v>0</v>
      </c>
      <c r="G301" s="151">
        <f ca="1">+MIN('S&amp;U'!$J18-SUM('Phase III Pro Forma'!$E301:F301),'Phase III Pro Forma'!G$292-SUM(G$295:G300))</f>
        <v>0</v>
      </c>
      <c r="H301" s="151">
        <f ca="1">+MIN('S&amp;U'!$J18-SUM('Phase III Pro Forma'!$E301:G301),'Phase III Pro Forma'!H$292-SUM(H$295:H300))</f>
        <v>0</v>
      </c>
      <c r="I301" s="151">
        <f ca="1">+MIN('S&amp;U'!$J18-SUM('Phase III Pro Forma'!$E301:H301),'Phase III Pro Forma'!I$292-SUM(I$295:I300))</f>
        <v>80140004.424229845</v>
      </c>
      <c r="J301" s="151">
        <f ca="1">+MIN('S&amp;U'!$J18-SUM('Phase III Pro Forma'!$E301:I301),'Phase III Pro Forma'!J$292-SUM(J$295:J300))</f>
        <v>1888835.3943122972</v>
      </c>
      <c r="K301" s="151">
        <f ca="1">+MIN('S&amp;U'!$J18-SUM('Phase III Pro Forma'!$E301:J301),'Phase III Pro Forma'!K$292-SUM(K$295:K300))</f>
        <v>1888835.3943122972</v>
      </c>
      <c r="L301" s="151">
        <f ca="1">+MIN('S&amp;U'!$J18-SUM('Phase III Pro Forma'!$E301:K301),'Phase III Pro Forma'!L$292-SUM(L$295:L300))</f>
        <v>0</v>
      </c>
      <c r="M301" s="151">
        <f ca="1">+MIN('S&amp;U'!$J18-SUM('Phase III Pro Forma'!$E301:L301),'Phase III Pro Forma'!M$292-SUM(M$295:M300))</f>
        <v>0</v>
      </c>
      <c r="N301" s="151">
        <f ca="1">+MIN('S&amp;U'!$J18-SUM('Phase III Pro Forma'!$E301:M301),'Phase III Pro Forma'!N$292-SUM(N$295:N300))</f>
        <v>0</v>
      </c>
      <c r="O301" s="151">
        <f ca="1">+MIN('S&amp;U'!$J18-SUM('Phase III Pro Forma'!$E301:N301),'Phase III Pro Forma'!O$292-SUM(O$295:O300))</f>
        <v>0</v>
      </c>
      <c r="P301" s="151">
        <f ca="1">+MIN('S&amp;U'!$J18-SUM('Phase III Pro Forma'!$E301:O301),'Phase III Pro Forma'!P$292-SUM(P$295:P300))</f>
        <v>0</v>
      </c>
      <c r="Q301" s="151">
        <f ca="1">+MIN('S&amp;U'!$J18-SUM('Phase III Pro Forma'!$E301:P301),'Phase III Pro Forma'!Q$292-SUM(Q$295:Q300))</f>
        <v>0</v>
      </c>
      <c r="R301" s="151">
        <f ca="1">+MIN('S&amp;U'!$J18-SUM('Phase III Pro Forma'!$E301:Q301),'Phase III Pro Forma'!R$292-SUM(R$295:R300))</f>
        <v>0</v>
      </c>
      <c r="S301" s="151">
        <f ca="1">+MIN('S&amp;U'!$J18-SUM('Phase III Pro Forma'!$E301:R301),'Phase III Pro Forma'!S$292-SUM(S$295:S300))</f>
        <v>0</v>
      </c>
      <c r="T301" s="151">
        <f ca="1">+MIN('S&amp;U'!$J18-SUM('Phase III Pro Forma'!$E301:S301),'Phase III Pro Forma'!T$292-SUM(T$295:T300))</f>
        <v>0</v>
      </c>
      <c r="U301" s="151">
        <f ca="1">+MIN('S&amp;U'!$J18-SUM('Phase III Pro Forma'!$E301:T301),'Phase III Pro Forma'!U$292-SUM(U$295:U300))</f>
        <v>0</v>
      </c>
      <c r="V301" s="151">
        <f ca="1">+MIN('S&amp;U'!$J18-SUM('Phase III Pro Forma'!$E301:U301),'Phase III Pro Forma'!V$292-SUM(V$295:V300))</f>
        <v>0</v>
      </c>
      <c r="W301" s="151">
        <f ca="1">+MIN('S&amp;U'!$J18-SUM('Phase III Pro Forma'!$E301:V301),'Phase III Pro Forma'!W$292-SUM(W$295:W300))</f>
        <v>0</v>
      </c>
      <c r="X301" s="151">
        <f ca="1">+MIN('S&amp;U'!$J18-SUM('Phase III Pro Forma'!$E301:W301),'Phase III Pro Forma'!X$292-SUM(X$295:X300))</f>
        <v>0</v>
      </c>
      <c r="Y301" s="151">
        <f ca="1">+MIN('S&amp;U'!$J18-SUM('Phase III Pro Forma'!$E301:X301),'Phase III Pro Forma'!Y$292-SUM(Y$295:Y300))</f>
        <v>0</v>
      </c>
      <c r="Z301" s="151">
        <f ca="1">+MIN('S&amp;U'!$J18-SUM('Phase III Pro Forma'!$E301:Y301),'Phase III Pro Forma'!Z$292-SUM(Z$295:Z300))</f>
        <v>0</v>
      </c>
    </row>
    <row r="302" spans="2:26" ht="15.5">
      <c r="B302" s="138" t="s">
        <v>359</v>
      </c>
      <c r="C302" s="138"/>
      <c r="D302" s="139">
        <f t="shared" ca="1" si="118"/>
        <v>429368473.07774824</v>
      </c>
      <c r="E302" s="139"/>
      <c r="F302" s="139">
        <f t="shared" ref="F302:Z302" ca="1" si="120">+SUM(F295:F301)</f>
        <v>79919439.518322229</v>
      </c>
      <c r="G302" s="139">
        <f t="shared" ca="1" si="120"/>
        <v>115223787.59026714</v>
      </c>
      <c r="H302" s="139">
        <f t="shared" ca="1" si="120"/>
        <v>115223787.59026714</v>
      </c>
      <c r="I302" s="139">
        <f t="shared" ca="1" si="120"/>
        <v>115223787.59026714</v>
      </c>
      <c r="J302" s="139">
        <f t="shared" ca="1" si="120"/>
        <v>1888835.3943122972</v>
      </c>
      <c r="K302" s="139">
        <f t="shared" ca="1" si="120"/>
        <v>1888835.3943122972</v>
      </c>
      <c r="L302" s="139">
        <f t="shared" ca="1" si="120"/>
        <v>0</v>
      </c>
      <c r="M302" s="139">
        <f t="shared" ca="1" si="120"/>
        <v>0</v>
      </c>
      <c r="N302" s="139">
        <f t="shared" ca="1" si="120"/>
        <v>0</v>
      </c>
      <c r="O302" s="139">
        <f t="shared" ca="1" si="120"/>
        <v>0</v>
      </c>
      <c r="P302" s="139">
        <f t="shared" ca="1" si="120"/>
        <v>0</v>
      </c>
      <c r="Q302" s="139">
        <f t="shared" ca="1" si="120"/>
        <v>0</v>
      </c>
      <c r="R302" s="139">
        <f t="shared" ca="1" si="120"/>
        <v>0</v>
      </c>
      <c r="S302" s="139">
        <f t="shared" ca="1" si="120"/>
        <v>0</v>
      </c>
      <c r="T302" s="139">
        <f t="shared" ca="1" si="120"/>
        <v>0</v>
      </c>
      <c r="U302" s="139">
        <f t="shared" ca="1" si="120"/>
        <v>0</v>
      </c>
      <c r="V302" s="139">
        <f t="shared" ca="1" si="120"/>
        <v>0</v>
      </c>
      <c r="W302" s="139">
        <f t="shared" ca="1" si="120"/>
        <v>0</v>
      </c>
      <c r="X302" s="139">
        <f t="shared" ca="1" si="120"/>
        <v>0</v>
      </c>
      <c r="Y302" s="139">
        <f t="shared" ca="1" si="120"/>
        <v>0</v>
      </c>
      <c r="Z302" s="139">
        <f t="shared" ca="1" si="120"/>
        <v>0</v>
      </c>
    </row>
    <row r="304" spans="2:26" ht="15.5">
      <c r="B304" s="33" t="s">
        <v>419</v>
      </c>
      <c r="D304" s="48">
        <f t="shared" ref="D304" ca="1" si="121">+SUM(F304:Z304)</f>
        <v>116293169.29985699</v>
      </c>
      <c r="F304" s="42">
        <f ca="1">+SUM(F296:F298,F301)</f>
        <v>2310846.4074273705</v>
      </c>
      <c r="G304" s="42">
        <f t="shared" ref="G304:Z304" ca="1" si="122">+SUM(G296:G298,G301)</f>
        <v>30064647.679575194</v>
      </c>
      <c r="H304" s="42">
        <f t="shared" ca="1" si="122"/>
        <v>0</v>
      </c>
      <c r="I304" s="42">
        <f t="shared" ca="1" si="122"/>
        <v>80140004.424229845</v>
      </c>
      <c r="J304" s="42">
        <f t="shared" ca="1" si="122"/>
        <v>1888835.3943122972</v>
      </c>
      <c r="K304" s="42">
        <f t="shared" ca="1" si="122"/>
        <v>1888835.3943122972</v>
      </c>
      <c r="L304" s="42">
        <f t="shared" ca="1" si="122"/>
        <v>0</v>
      </c>
      <c r="M304" s="42">
        <f t="shared" ca="1" si="122"/>
        <v>0</v>
      </c>
      <c r="N304" s="42">
        <f t="shared" ca="1" si="122"/>
        <v>0</v>
      </c>
      <c r="O304" s="42">
        <f t="shared" ca="1" si="122"/>
        <v>0</v>
      </c>
      <c r="P304" s="42">
        <f t="shared" ca="1" si="122"/>
        <v>0</v>
      </c>
      <c r="Q304" s="42">
        <f t="shared" ca="1" si="122"/>
        <v>0</v>
      </c>
      <c r="R304" s="42">
        <f t="shared" ca="1" si="122"/>
        <v>0</v>
      </c>
      <c r="S304" s="42">
        <f t="shared" ca="1" si="122"/>
        <v>0</v>
      </c>
      <c r="T304" s="42">
        <f t="shared" ca="1" si="122"/>
        <v>0</v>
      </c>
      <c r="U304" s="42">
        <f t="shared" ca="1" si="122"/>
        <v>0</v>
      </c>
      <c r="V304" s="42">
        <f t="shared" ca="1" si="122"/>
        <v>0</v>
      </c>
      <c r="W304" s="42">
        <f t="shared" ca="1" si="122"/>
        <v>0</v>
      </c>
      <c r="X304" s="42">
        <f t="shared" ca="1" si="122"/>
        <v>0</v>
      </c>
      <c r="Y304" s="42">
        <f t="shared" ca="1" si="122"/>
        <v>0</v>
      </c>
      <c r="Z304" s="42">
        <f t="shared" ca="1" si="122"/>
        <v>0</v>
      </c>
    </row>
    <row r="306" spans="2:26" ht="15.5">
      <c r="B306" s="148" t="s">
        <v>330</v>
      </c>
    </row>
    <row r="307" spans="2:26" ht="15.5">
      <c r="B307" s="33" t="s">
        <v>331</v>
      </c>
      <c r="D307" s="48">
        <f ca="1">+SUM(F307:Z307)</f>
        <v>-77608593.110894859</v>
      </c>
      <c r="E307" s="48"/>
      <c r="F307" s="34">
        <f t="shared" ref="F307:Z307" ca="1" si="123">-F295</f>
        <v>-77608593.110894859</v>
      </c>
      <c r="G307" s="34">
        <f t="shared" ca="1" si="123"/>
        <v>0</v>
      </c>
      <c r="H307" s="34">
        <f t="shared" ca="1" si="123"/>
        <v>0</v>
      </c>
      <c r="I307" s="34">
        <f t="shared" ca="1" si="123"/>
        <v>0</v>
      </c>
      <c r="J307" s="34">
        <f t="shared" ca="1" si="123"/>
        <v>0</v>
      </c>
      <c r="K307" s="34">
        <f t="shared" ca="1" si="123"/>
        <v>0</v>
      </c>
      <c r="L307" s="34">
        <f t="shared" ca="1" si="123"/>
        <v>0</v>
      </c>
      <c r="M307" s="34">
        <f t="shared" ca="1" si="123"/>
        <v>0</v>
      </c>
      <c r="N307" s="34">
        <f t="shared" ca="1" si="123"/>
        <v>0</v>
      </c>
      <c r="O307" s="34">
        <f t="shared" ca="1" si="123"/>
        <v>0</v>
      </c>
      <c r="P307" s="34">
        <f t="shared" ca="1" si="123"/>
        <v>0</v>
      </c>
      <c r="Q307" s="34">
        <f t="shared" ca="1" si="123"/>
        <v>0</v>
      </c>
      <c r="R307" s="34">
        <f t="shared" ca="1" si="123"/>
        <v>0</v>
      </c>
      <c r="S307" s="34">
        <f t="shared" ca="1" si="123"/>
        <v>0</v>
      </c>
      <c r="T307" s="34">
        <f t="shared" ca="1" si="123"/>
        <v>0</v>
      </c>
      <c r="U307" s="34">
        <f t="shared" ca="1" si="123"/>
        <v>0</v>
      </c>
      <c r="V307" s="34">
        <f t="shared" ca="1" si="123"/>
        <v>0</v>
      </c>
      <c r="W307" s="34">
        <f t="shared" ca="1" si="123"/>
        <v>0</v>
      </c>
      <c r="X307" s="34">
        <f t="shared" ca="1" si="123"/>
        <v>0</v>
      </c>
      <c r="Y307" s="34">
        <f t="shared" ca="1" si="123"/>
        <v>0</v>
      </c>
      <c r="Z307" s="34">
        <f t="shared" ca="1" si="123"/>
        <v>0</v>
      </c>
    </row>
    <row r="308" spans="2:26" ht="15.5">
      <c r="B308" s="33" t="s">
        <v>332</v>
      </c>
      <c r="D308" s="48">
        <f t="shared" ref="D308" ca="1" si="124">+SUM(F308:Z308)</f>
        <v>330566492.3528834</v>
      </c>
      <c r="E308" s="48"/>
      <c r="F308" s="151">
        <f ca="1">+F277</f>
        <v>0</v>
      </c>
      <c r="G308" s="151">
        <f t="shared" ref="G308:Z308" ca="1" si="125">+G277</f>
        <v>0</v>
      </c>
      <c r="H308" s="151">
        <f t="shared" ca="1" si="125"/>
        <v>0</v>
      </c>
      <c r="I308" s="151">
        <f t="shared" ca="1" si="125"/>
        <v>0</v>
      </c>
      <c r="J308" s="151">
        <f t="shared" ca="1" si="125"/>
        <v>86431448.332486138</v>
      </c>
      <c r="K308" s="151">
        <f t="shared" ca="1" si="125"/>
        <v>10251709.94885575</v>
      </c>
      <c r="L308" s="151">
        <f t="shared" ca="1" si="125"/>
        <v>233883334.07154188</v>
      </c>
      <c r="M308" s="151">
        <f t="shared" si="125"/>
        <v>0</v>
      </c>
      <c r="N308" s="151">
        <f t="shared" si="125"/>
        <v>0</v>
      </c>
      <c r="O308" s="151">
        <f t="shared" si="125"/>
        <v>0</v>
      </c>
      <c r="P308" s="151">
        <f t="shared" si="125"/>
        <v>0</v>
      </c>
      <c r="Q308" s="151">
        <f t="shared" si="125"/>
        <v>0</v>
      </c>
      <c r="R308" s="151">
        <f t="shared" si="125"/>
        <v>0</v>
      </c>
      <c r="S308" s="151">
        <f t="shared" si="125"/>
        <v>0</v>
      </c>
      <c r="T308" s="151">
        <f t="shared" si="125"/>
        <v>0</v>
      </c>
      <c r="U308" s="151">
        <f t="shared" si="125"/>
        <v>0</v>
      </c>
      <c r="V308" s="151">
        <f t="shared" si="125"/>
        <v>0</v>
      </c>
      <c r="W308" s="151">
        <f t="shared" si="125"/>
        <v>0</v>
      </c>
      <c r="X308" s="151">
        <f t="shared" si="125"/>
        <v>0</v>
      </c>
      <c r="Y308" s="151">
        <f t="shared" si="125"/>
        <v>0</v>
      </c>
      <c r="Z308" s="151">
        <f t="shared" si="125"/>
        <v>0</v>
      </c>
    </row>
    <row r="309" spans="2:26" ht="15.5">
      <c r="B309" s="138" t="s">
        <v>333</v>
      </c>
      <c r="C309" s="138"/>
      <c r="D309" s="139">
        <f ca="1">+SUM(F309:Z309)</f>
        <v>252957899.24198854</v>
      </c>
      <c r="E309" s="139"/>
      <c r="F309" s="139">
        <f ca="1">+SUM(F307:F308)</f>
        <v>-77608593.110894859</v>
      </c>
      <c r="G309" s="139">
        <f t="shared" ref="G309:Z309" ca="1" si="126">+SUM(G307:G308)</f>
        <v>0</v>
      </c>
      <c r="H309" s="139">
        <f t="shared" ca="1" si="126"/>
        <v>0</v>
      </c>
      <c r="I309" s="139">
        <f t="shared" ca="1" si="126"/>
        <v>0</v>
      </c>
      <c r="J309" s="139">
        <f t="shared" ca="1" si="126"/>
        <v>86431448.332486138</v>
      </c>
      <c r="K309" s="139">
        <f t="shared" ca="1" si="126"/>
        <v>10251709.94885575</v>
      </c>
      <c r="L309" s="139">
        <f t="shared" ca="1" si="126"/>
        <v>233883334.07154188</v>
      </c>
      <c r="M309" s="139">
        <f t="shared" ca="1" si="126"/>
        <v>0</v>
      </c>
      <c r="N309" s="139">
        <f t="shared" ca="1" si="126"/>
        <v>0</v>
      </c>
      <c r="O309" s="139">
        <f t="shared" ca="1" si="126"/>
        <v>0</v>
      </c>
      <c r="P309" s="139">
        <f t="shared" ca="1" si="126"/>
        <v>0</v>
      </c>
      <c r="Q309" s="139">
        <f t="shared" ca="1" si="126"/>
        <v>0</v>
      </c>
      <c r="R309" s="139">
        <f t="shared" ca="1" si="126"/>
        <v>0</v>
      </c>
      <c r="S309" s="139">
        <f t="shared" ca="1" si="126"/>
        <v>0</v>
      </c>
      <c r="T309" s="139">
        <f t="shared" ca="1" si="126"/>
        <v>0</v>
      </c>
      <c r="U309" s="139">
        <f t="shared" ca="1" si="126"/>
        <v>0</v>
      </c>
      <c r="V309" s="139">
        <f t="shared" ca="1" si="126"/>
        <v>0</v>
      </c>
      <c r="W309" s="139">
        <f t="shared" ca="1" si="126"/>
        <v>0</v>
      </c>
      <c r="X309" s="139">
        <f t="shared" ca="1" si="126"/>
        <v>0</v>
      </c>
      <c r="Y309" s="139">
        <f t="shared" ca="1" si="126"/>
        <v>0</v>
      </c>
      <c r="Z309" s="139">
        <f t="shared" ca="1" si="126"/>
        <v>0</v>
      </c>
    </row>
    <row r="311" spans="2:26" ht="15.5">
      <c r="B311" s="190" t="s">
        <v>337</v>
      </c>
      <c r="C311" s="190"/>
      <c r="D311" s="191">
        <f ca="1">+IRR(F309:Z309)</f>
        <v>0.31217669917177315</v>
      </c>
    </row>
    <row r="312" spans="2:26" ht="15.5">
      <c r="B312" s="141" t="s">
        <v>335</v>
      </c>
      <c r="C312" s="192"/>
      <c r="D312" s="142">
        <f ca="1">+SUM(F309:Z309)</f>
        <v>252957899.2419889</v>
      </c>
    </row>
    <row r="313" spans="2:26" ht="15.5">
      <c r="B313" s="194" t="s">
        <v>336</v>
      </c>
      <c r="C313" s="193"/>
      <c r="D313" s="195">
        <f ca="1">+D308/-D307</f>
        <v>4.2594058093610485</v>
      </c>
    </row>
    <row r="315" spans="2:26" ht="15.5">
      <c r="B315" s="37" t="s">
        <v>373</v>
      </c>
      <c r="C315" s="38"/>
      <c r="D315" s="38"/>
      <c r="E315" s="38"/>
      <c r="F315" s="136"/>
      <c r="G315" s="136"/>
      <c r="H315" s="136"/>
      <c r="I315" s="136"/>
      <c r="J315" s="136"/>
      <c r="K315" s="136"/>
      <c r="L315" s="136"/>
      <c r="M315" s="136"/>
      <c r="N315" s="136"/>
      <c r="O315" s="136"/>
      <c r="P315" s="136"/>
      <c r="Q315" s="136"/>
      <c r="R315" s="136"/>
      <c r="S315" s="136"/>
      <c r="T315" s="136"/>
      <c r="U315" s="136"/>
      <c r="V315" s="136"/>
      <c r="W315" s="136"/>
      <c r="X315" s="136"/>
      <c r="Y315" s="136"/>
      <c r="Z315" s="136"/>
    </row>
    <row r="317" spans="2:26" ht="15.5">
      <c r="B317" s="148" t="s">
        <v>233</v>
      </c>
      <c r="F317" s="150">
        <f>+F$294</f>
        <v>46022</v>
      </c>
      <c r="G317" s="150">
        <f t="shared" ref="G317:Z317" si="127">+G$294</f>
        <v>46387</v>
      </c>
      <c r="H317" s="150">
        <f t="shared" si="127"/>
        <v>46752</v>
      </c>
      <c r="I317" s="150">
        <f t="shared" si="127"/>
        <v>47118</v>
      </c>
      <c r="J317" s="150">
        <f t="shared" si="127"/>
        <v>47483</v>
      </c>
      <c r="K317" s="150">
        <f t="shared" si="127"/>
        <v>47848</v>
      </c>
      <c r="L317" s="150">
        <f t="shared" si="127"/>
        <v>48213</v>
      </c>
      <c r="M317" s="150">
        <f t="shared" si="127"/>
        <v>48579</v>
      </c>
      <c r="N317" s="150">
        <f t="shared" si="127"/>
        <v>48944</v>
      </c>
      <c r="O317" s="150">
        <f t="shared" si="127"/>
        <v>49309</v>
      </c>
      <c r="P317" s="150">
        <f t="shared" si="127"/>
        <v>49674</v>
      </c>
      <c r="Q317" s="150">
        <f t="shared" si="127"/>
        <v>50040</v>
      </c>
      <c r="R317" s="150">
        <f t="shared" si="127"/>
        <v>50405</v>
      </c>
      <c r="S317" s="150">
        <f t="shared" si="127"/>
        <v>50770</v>
      </c>
      <c r="T317" s="150">
        <f t="shared" si="127"/>
        <v>51135</v>
      </c>
      <c r="U317" s="150">
        <f t="shared" si="127"/>
        <v>51501</v>
      </c>
      <c r="V317" s="150">
        <f t="shared" si="127"/>
        <v>51866</v>
      </c>
      <c r="W317" s="150">
        <f t="shared" si="127"/>
        <v>52231</v>
      </c>
      <c r="X317" s="150">
        <f t="shared" si="127"/>
        <v>52596</v>
      </c>
      <c r="Y317" s="150">
        <f t="shared" si="127"/>
        <v>52962</v>
      </c>
      <c r="Z317" s="150">
        <f t="shared" si="127"/>
        <v>53327</v>
      </c>
    </row>
    <row r="318" spans="2:26">
      <c r="B318" s="33" t="s">
        <v>697</v>
      </c>
      <c r="C318"/>
      <c r="D318"/>
      <c r="E318"/>
      <c r="F318" s="34">
        <f ca="1">+F$138</f>
        <v>0</v>
      </c>
      <c r="G318" s="34">
        <f t="shared" ref="G318:Z318" ca="1" si="128">+G$138</f>
        <v>0</v>
      </c>
      <c r="H318" s="34">
        <f t="shared" ca="1" si="128"/>
        <v>0</v>
      </c>
      <c r="I318" s="34">
        <f t="shared" ca="1" si="128"/>
        <v>0</v>
      </c>
      <c r="J318" s="34">
        <f t="shared" ca="1" si="128"/>
        <v>17695780.225437015</v>
      </c>
      <c r="K318" s="34">
        <f t="shared" ca="1" si="128"/>
        <v>35754736.869227603</v>
      </c>
      <c r="L318" s="34">
        <f t="shared" ca="1" si="128"/>
        <v>36128451.462820411</v>
      </c>
      <c r="M318" s="34">
        <f t="shared" ca="1" si="128"/>
        <v>39134741.580764815</v>
      </c>
      <c r="N318" s="34">
        <f t="shared" ca="1" si="128"/>
        <v>39530468.660809331</v>
      </c>
      <c r="O318" s="34">
        <f t="shared" ca="1" si="128"/>
        <v>39937688.577507399</v>
      </c>
      <c r="P318" s="34">
        <f t="shared" ca="1" si="128"/>
        <v>40259582.732104376</v>
      </c>
      <c r="Q318" s="34">
        <f t="shared" ca="1" si="128"/>
        <v>40690809.903440759</v>
      </c>
      <c r="R318" s="34">
        <f t="shared" ca="1" si="128"/>
        <v>44123248.766067222</v>
      </c>
      <c r="S318" s="34">
        <f t="shared" ca="1" si="128"/>
        <v>44480814.298916437</v>
      </c>
      <c r="T318" s="34">
        <f t="shared" ca="1" si="128"/>
        <v>44950760.265942037</v>
      </c>
      <c r="U318" s="34">
        <f t="shared" ca="1" si="128"/>
        <v>45434377.823733427</v>
      </c>
      <c r="V318" s="34">
        <f t="shared" ca="1" si="128"/>
        <v>45830987.685414076</v>
      </c>
      <c r="W318" s="34">
        <f t="shared" ca="1" si="128"/>
        <v>49630709.891323589</v>
      </c>
      <c r="X318" s="34">
        <f t="shared" ca="1" si="128"/>
        <v>50157799.756649643</v>
      </c>
      <c r="Y318" s="34">
        <f t="shared" ca="1" si="128"/>
        <v>50597137.831802323</v>
      </c>
      <c r="Z318" s="34">
        <f t="shared" ca="1" si="128"/>
        <v>51155380.432816945</v>
      </c>
    </row>
    <row r="319" spans="2:26">
      <c r="B319" s="33" t="s">
        <v>698</v>
      </c>
      <c r="C319"/>
      <c r="D319"/>
      <c r="E319"/>
      <c r="F319" s="151">
        <f ca="1">+F$206</f>
        <v>0</v>
      </c>
      <c r="G319" s="151">
        <f t="shared" ref="G319:Z319" ca="1" si="129">+G$206</f>
        <v>0</v>
      </c>
      <c r="H319" s="151">
        <f t="shared" ca="1" si="129"/>
        <v>0</v>
      </c>
      <c r="I319" s="151">
        <f t="shared" ca="1" si="129"/>
        <v>0</v>
      </c>
      <c r="J319" s="151">
        <f t="shared" ca="1" si="129"/>
        <v>5.2445403217292411E-3</v>
      </c>
      <c r="K319" s="151">
        <f t="shared" ca="1" si="129"/>
        <v>1.2216713143458482E-2</v>
      </c>
      <c r="L319" s="151">
        <f t="shared" ca="1" si="129"/>
        <v>1.2766414393458473E-2</v>
      </c>
      <c r="M319" s="151">
        <f t="shared" ca="1" si="129"/>
        <v>1.2673807981327648E-2</v>
      </c>
      <c r="N319" s="151">
        <f t="shared" ca="1" si="129"/>
        <v>1.2673807981327648E-2</v>
      </c>
      <c r="O319" s="151">
        <f t="shared" ca="1" si="129"/>
        <v>1.2673807981327648E-2</v>
      </c>
      <c r="P319" s="151">
        <f t="shared" ca="1" si="129"/>
        <v>1.2579349440954202E-2</v>
      </c>
      <c r="Q319" s="151">
        <f t="shared" ca="1" si="129"/>
        <v>1.2579349440954202E-2</v>
      </c>
      <c r="R319" s="151">
        <f t="shared" ca="1" si="129"/>
        <v>1.2579349440954202E-2</v>
      </c>
      <c r="S319" s="151">
        <f t="shared" ca="1" si="129"/>
        <v>1.2483001729773286E-2</v>
      </c>
      <c r="T319" s="151">
        <f t="shared" ca="1" si="129"/>
        <v>1.2483001729773286E-2</v>
      </c>
      <c r="U319" s="151">
        <f t="shared" ca="1" si="129"/>
        <v>1.2483001729773286E-2</v>
      </c>
      <c r="V319" s="151">
        <f t="shared" ca="1" si="129"/>
        <v>1.2384727064368746E-2</v>
      </c>
      <c r="W319" s="151">
        <f t="shared" ca="1" si="129"/>
        <v>1.2384727064368746E-2</v>
      </c>
      <c r="X319" s="151">
        <f t="shared" ca="1" si="129"/>
        <v>1.2384727064368746E-2</v>
      </c>
      <c r="Y319" s="151">
        <f t="shared" ca="1" si="129"/>
        <v>1.2284486905656125E-2</v>
      </c>
      <c r="Z319" s="151">
        <f t="shared" ca="1" si="129"/>
        <v>1.2284486905656125E-2</v>
      </c>
    </row>
    <row r="320" spans="2:26">
      <c r="B320" s="33" t="s">
        <v>826</v>
      </c>
      <c r="C320"/>
      <c r="D320"/>
      <c r="E320"/>
      <c r="F320" s="151">
        <f ca="1">+F$251</f>
        <v>0</v>
      </c>
      <c r="G320" s="151">
        <f t="shared" ref="G320:Z320" ca="1" si="130">+G$251</f>
        <v>0</v>
      </c>
      <c r="H320" s="151">
        <f t="shared" ca="1" si="130"/>
        <v>0</v>
      </c>
      <c r="I320" s="151">
        <f t="shared" ca="1" si="130"/>
        <v>0</v>
      </c>
      <c r="J320" s="151">
        <f t="shared" ca="1" si="130"/>
        <v>0</v>
      </c>
      <c r="K320" s="151">
        <f t="shared" ca="1" si="130"/>
        <v>0</v>
      </c>
      <c r="L320" s="151">
        <f t="shared" ca="1" si="130"/>
        <v>0</v>
      </c>
      <c r="M320" s="151">
        <f t="shared" ca="1" si="130"/>
        <v>0</v>
      </c>
      <c r="N320" s="151">
        <f t="shared" ca="1" si="130"/>
        <v>0</v>
      </c>
      <c r="O320" s="151">
        <f t="shared" ca="1" si="130"/>
        <v>0</v>
      </c>
      <c r="P320" s="151">
        <f t="shared" ca="1" si="130"/>
        <v>0</v>
      </c>
      <c r="Q320" s="151">
        <f t="shared" ca="1" si="130"/>
        <v>0</v>
      </c>
      <c r="R320" s="151">
        <f t="shared" ca="1" si="130"/>
        <v>0</v>
      </c>
      <c r="S320" s="151">
        <f t="shared" ca="1" si="130"/>
        <v>0</v>
      </c>
      <c r="T320" s="151">
        <f t="shared" ca="1" si="130"/>
        <v>0</v>
      </c>
      <c r="U320" s="151">
        <f t="shared" ca="1" si="130"/>
        <v>0</v>
      </c>
      <c r="V320" s="151">
        <f t="shared" ca="1" si="130"/>
        <v>0</v>
      </c>
      <c r="W320" s="151">
        <f t="shared" ca="1" si="130"/>
        <v>0</v>
      </c>
      <c r="X320" s="151">
        <f t="shared" ca="1" si="130"/>
        <v>0</v>
      </c>
      <c r="Y320" s="151">
        <f t="shared" ca="1" si="130"/>
        <v>0</v>
      </c>
      <c r="Z320" s="151">
        <f t="shared" ca="1" si="130"/>
        <v>0</v>
      </c>
    </row>
    <row r="321" spans="2:26" ht="15.5">
      <c r="B321" s="138" t="s">
        <v>233</v>
      </c>
      <c r="C321" s="138"/>
      <c r="D321" s="139"/>
      <c r="E321" s="139"/>
      <c r="F321" s="139">
        <f t="shared" ref="F321:Z321" ca="1" si="131">+SUM(F318:F320)</f>
        <v>0</v>
      </c>
      <c r="G321" s="139">
        <f t="shared" ca="1" si="131"/>
        <v>0</v>
      </c>
      <c r="H321" s="139">
        <f t="shared" ca="1" si="131"/>
        <v>0</v>
      </c>
      <c r="I321" s="139">
        <f t="shared" ca="1" si="131"/>
        <v>0</v>
      </c>
      <c r="J321" s="139">
        <f t="shared" ca="1" si="131"/>
        <v>17695780.230681557</v>
      </c>
      <c r="K321" s="139">
        <f t="shared" ca="1" si="131"/>
        <v>35754736.881444313</v>
      </c>
      <c r="L321" s="139">
        <f t="shared" ca="1" si="131"/>
        <v>36128451.475586824</v>
      </c>
      <c r="M321" s="139">
        <f t="shared" ca="1" si="131"/>
        <v>39134741.593438625</v>
      </c>
      <c r="N321" s="139">
        <f t="shared" ca="1" si="131"/>
        <v>39530468.673483141</v>
      </c>
      <c r="O321" s="139">
        <f t="shared" ca="1" si="131"/>
        <v>39937688.590181209</v>
      </c>
      <c r="P321" s="139">
        <f t="shared" ca="1" si="131"/>
        <v>40259582.744683728</v>
      </c>
      <c r="Q321" s="139">
        <f t="shared" ca="1" si="131"/>
        <v>40690809.91602011</v>
      </c>
      <c r="R321" s="139">
        <f t="shared" ca="1" si="131"/>
        <v>44123248.778646573</v>
      </c>
      <c r="S321" s="139">
        <f t="shared" ca="1" si="131"/>
        <v>44480814.311399437</v>
      </c>
      <c r="T321" s="139">
        <f t="shared" ca="1" si="131"/>
        <v>44950760.278425038</v>
      </c>
      <c r="U321" s="139">
        <f t="shared" ca="1" si="131"/>
        <v>45434377.836216427</v>
      </c>
      <c r="V321" s="139">
        <f t="shared" ca="1" si="131"/>
        <v>45830987.697798803</v>
      </c>
      <c r="W321" s="139">
        <f t="shared" ca="1" si="131"/>
        <v>49630709.903708316</v>
      </c>
      <c r="X321" s="139">
        <f t="shared" ca="1" si="131"/>
        <v>50157799.769034371</v>
      </c>
      <c r="Y321" s="139">
        <f t="shared" ca="1" si="131"/>
        <v>50597137.844086811</v>
      </c>
      <c r="Z321" s="139">
        <f t="shared" ca="1" si="131"/>
        <v>51155380.445101433</v>
      </c>
    </row>
    <row r="323" spans="2:26" ht="15.5">
      <c r="B323" s="148" t="s">
        <v>143</v>
      </c>
      <c r="F323" s="150">
        <f>+F$294</f>
        <v>46022</v>
      </c>
      <c r="G323" s="150">
        <f t="shared" ref="G323:Z323" si="132">+G$294</f>
        <v>46387</v>
      </c>
      <c r="H323" s="150">
        <f t="shared" si="132"/>
        <v>46752</v>
      </c>
      <c r="I323" s="150">
        <f t="shared" si="132"/>
        <v>47118</v>
      </c>
      <c r="J323" s="150">
        <f t="shared" si="132"/>
        <v>47483</v>
      </c>
      <c r="K323" s="150">
        <f t="shared" si="132"/>
        <v>47848</v>
      </c>
      <c r="L323" s="150">
        <f t="shared" si="132"/>
        <v>48213</v>
      </c>
      <c r="M323" s="150">
        <f t="shared" si="132"/>
        <v>48579</v>
      </c>
      <c r="N323" s="150">
        <f t="shared" si="132"/>
        <v>48944</v>
      </c>
      <c r="O323" s="150">
        <f t="shared" si="132"/>
        <v>49309</v>
      </c>
      <c r="P323" s="150">
        <f t="shared" si="132"/>
        <v>49674</v>
      </c>
      <c r="Q323" s="150">
        <f t="shared" si="132"/>
        <v>50040</v>
      </c>
      <c r="R323" s="150">
        <f t="shared" si="132"/>
        <v>50405</v>
      </c>
      <c r="S323" s="150">
        <f t="shared" si="132"/>
        <v>50770</v>
      </c>
      <c r="T323" s="150">
        <f t="shared" si="132"/>
        <v>51135</v>
      </c>
      <c r="U323" s="150">
        <f t="shared" si="132"/>
        <v>51501</v>
      </c>
      <c r="V323" s="150">
        <f t="shared" si="132"/>
        <v>51866</v>
      </c>
      <c r="W323" s="150">
        <f t="shared" si="132"/>
        <v>52231</v>
      </c>
      <c r="X323" s="150">
        <f t="shared" si="132"/>
        <v>52596</v>
      </c>
      <c r="Y323" s="150">
        <f t="shared" si="132"/>
        <v>52962</v>
      </c>
      <c r="Z323" s="150">
        <f t="shared" si="132"/>
        <v>53327</v>
      </c>
    </row>
    <row r="324" spans="2:26">
      <c r="B324" s="33" t="s">
        <v>318</v>
      </c>
      <c r="C324"/>
      <c r="D324"/>
      <c r="E324"/>
      <c r="F324" s="34">
        <f t="shared" ref="F324:Z324" si="133">+F270+F225+F155</f>
        <v>0</v>
      </c>
      <c r="G324" s="34">
        <f t="shared" si="133"/>
        <v>0</v>
      </c>
      <c r="H324" s="34">
        <f t="shared" si="133"/>
        <v>0</v>
      </c>
      <c r="I324" s="34">
        <f t="shared" si="133"/>
        <v>0</v>
      </c>
      <c r="J324" s="34">
        <f t="shared" si="133"/>
        <v>0</v>
      </c>
      <c r="K324" s="34">
        <f t="shared" si="133"/>
        <v>0</v>
      </c>
      <c r="L324" s="34">
        <f t="shared" ca="1" si="133"/>
        <v>555059605.73665011</v>
      </c>
      <c r="M324" s="34">
        <f t="shared" si="133"/>
        <v>0</v>
      </c>
      <c r="N324" s="34">
        <f t="shared" si="133"/>
        <v>0</v>
      </c>
      <c r="O324" s="34">
        <f t="shared" si="133"/>
        <v>0</v>
      </c>
      <c r="P324" s="34">
        <f t="shared" si="133"/>
        <v>0</v>
      </c>
      <c r="Q324" s="34">
        <f t="shared" si="133"/>
        <v>0</v>
      </c>
      <c r="R324" s="34">
        <f t="shared" si="133"/>
        <v>0</v>
      </c>
      <c r="S324" s="34">
        <f t="shared" si="133"/>
        <v>0</v>
      </c>
      <c r="T324" s="34">
        <f t="shared" si="133"/>
        <v>0</v>
      </c>
      <c r="U324" s="34">
        <f t="shared" si="133"/>
        <v>0</v>
      </c>
      <c r="V324" s="34">
        <f t="shared" si="133"/>
        <v>0</v>
      </c>
      <c r="W324" s="34">
        <f t="shared" si="133"/>
        <v>0</v>
      </c>
      <c r="X324" s="34">
        <f t="shared" si="133"/>
        <v>0</v>
      </c>
      <c r="Y324" s="34">
        <f t="shared" si="133"/>
        <v>0</v>
      </c>
      <c r="Z324" s="34">
        <f t="shared" si="133"/>
        <v>0</v>
      </c>
    </row>
    <row r="325" spans="2:26">
      <c r="B325" s="33" t="s">
        <v>319</v>
      </c>
      <c r="F325" s="151">
        <f t="shared" ref="F325:Z325" si="134">+F271+F226+F157</f>
        <v>0</v>
      </c>
      <c r="G325" s="151">
        <f t="shared" si="134"/>
        <v>0</v>
      </c>
      <c r="H325" s="151">
        <f t="shared" si="134"/>
        <v>0</v>
      </c>
      <c r="I325" s="151">
        <f t="shared" si="134"/>
        <v>0</v>
      </c>
      <c r="J325" s="151">
        <f t="shared" si="134"/>
        <v>0</v>
      </c>
      <c r="K325" s="151">
        <f t="shared" si="134"/>
        <v>0</v>
      </c>
      <c r="L325" s="151">
        <f t="shared" ca="1" si="134"/>
        <v>-11101192.114733003</v>
      </c>
      <c r="M325" s="151">
        <f t="shared" si="134"/>
        <v>0</v>
      </c>
      <c r="N325" s="151">
        <f t="shared" si="134"/>
        <v>0</v>
      </c>
      <c r="O325" s="151">
        <f t="shared" si="134"/>
        <v>0</v>
      </c>
      <c r="P325" s="151">
        <f t="shared" si="134"/>
        <v>0</v>
      </c>
      <c r="Q325" s="151">
        <f t="shared" si="134"/>
        <v>0</v>
      </c>
      <c r="R325" s="151">
        <f t="shared" si="134"/>
        <v>0</v>
      </c>
      <c r="S325" s="151">
        <f t="shared" si="134"/>
        <v>0</v>
      </c>
      <c r="T325" s="151">
        <f t="shared" si="134"/>
        <v>0</v>
      </c>
      <c r="U325" s="151">
        <f t="shared" si="134"/>
        <v>0</v>
      </c>
      <c r="V325" s="151">
        <f t="shared" si="134"/>
        <v>0</v>
      </c>
      <c r="W325" s="151">
        <f t="shared" si="134"/>
        <v>0</v>
      </c>
      <c r="X325" s="151">
        <f t="shared" si="134"/>
        <v>0</v>
      </c>
      <c r="Y325" s="151">
        <f t="shared" si="134"/>
        <v>0</v>
      </c>
      <c r="Z325" s="151">
        <f t="shared" si="134"/>
        <v>0</v>
      </c>
    </row>
    <row r="326" spans="2:26" ht="15.5">
      <c r="B326" s="138" t="s">
        <v>321</v>
      </c>
      <c r="C326" s="138"/>
      <c r="D326" s="139"/>
      <c r="E326" s="139"/>
      <c r="F326" s="139">
        <f>+SUM(F324:F325)</f>
        <v>0</v>
      </c>
      <c r="G326" s="139">
        <f t="shared" ref="G326:Z326" si="135">+SUM(G324:G325)</f>
        <v>0</v>
      </c>
      <c r="H326" s="139">
        <f t="shared" si="135"/>
        <v>0</v>
      </c>
      <c r="I326" s="139">
        <f t="shared" si="135"/>
        <v>0</v>
      </c>
      <c r="J326" s="139">
        <f t="shared" si="135"/>
        <v>0</v>
      </c>
      <c r="K326" s="139">
        <f t="shared" si="135"/>
        <v>0</v>
      </c>
      <c r="L326" s="139">
        <f t="shared" ca="1" si="135"/>
        <v>543958413.62191713</v>
      </c>
      <c r="M326" s="139">
        <f t="shared" si="135"/>
        <v>0</v>
      </c>
      <c r="N326" s="139">
        <f t="shared" si="135"/>
        <v>0</v>
      </c>
      <c r="O326" s="139">
        <f t="shared" si="135"/>
        <v>0</v>
      </c>
      <c r="P326" s="139">
        <f t="shared" si="135"/>
        <v>0</v>
      </c>
      <c r="Q326" s="139">
        <f t="shared" si="135"/>
        <v>0</v>
      </c>
      <c r="R326" s="139">
        <f t="shared" si="135"/>
        <v>0</v>
      </c>
      <c r="S326" s="139">
        <f t="shared" si="135"/>
        <v>0</v>
      </c>
      <c r="T326" s="139">
        <f t="shared" si="135"/>
        <v>0</v>
      </c>
      <c r="U326" s="139">
        <f t="shared" si="135"/>
        <v>0</v>
      </c>
      <c r="V326" s="139">
        <f t="shared" si="135"/>
        <v>0</v>
      </c>
      <c r="W326" s="139">
        <f t="shared" si="135"/>
        <v>0</v>
      </c>
      <c r="X326" s="139">
        <f t="shared" si="135"/>
        <v>0</v>
      </c>
      <c r="Y326" s="139">
        <f t="shared" si="135"/>
        <v>0</v>
      </c>
      <c r="Z326" s="139">
        <f t="shared" si="135"/>
        <v>0</v>
      </c>
    </row>
    <row r="328" spans="2:26" ht="15.5">
      <c r="B328" s="148" t="s">
        <v>374</v>
      </c>
      <c r="F328" s="150">
        <f t="shared" ref="F328:Z328" si="136">+F$294</f>
        <v>46022</v>
      </c>
      <c r="G328" s="150">
        <f t="shared" si="136"/>
        <v>46387</v>
      </c>
      <c r="H328" s="150">
        <f t="shared" si="136"/>
        <v>46752</v>
      </c>
      <c r="I328" s="150">
        <f t="shared" si="136"/>
        <v>47118</v>
      </c>
      <c r="J328" s="150">
        <f t="shared" si="136"/>
        <v>47483</v>
      </c>
      <c r="K328" s="150">
        <f t="shared" si="136"/>
        <v>47848</v>
      </c>
      <c r="L328" s="150">
        <f t="shared" si="136"/>
        <v>48213</v>
      </c>
      <c r="M328" s="150">
        <f t="shared" si="136"/>
        <v>48579</v>
      </c>
      <c r="N328" s="150">
        <f t="shared" si="136"/>
        <v>48944</v>
      </c>
      <c r="O328" s="150">
        <f t="shared" si="136"/>
        <v>49309</v>
      </c>
      <c r="P328" s="150">
        <f t="shared" si="136"/>
        <v>49674</v>
      </c>
      <c r="Q328" s="150">
        <f t="shared" si="136"/>
        <v>50040</v>
      </c>
      <c r="R328" s="150">
        <f t="shared" si="136"/>
        <v>50405</v>
      </c>
      <c r="S328" s="150">
        <f t="shared" si="136"/>
        <v>50770</v>
      </c>
      <c r="T328" s="150">
        <f t="shared" si="136"/>
        <v>51135</v>
      </c>
      <c r="U328" s="150">
        <f t="shared" si="136"/>
        <v>51501</v>
      </c>
      <c r="V328" s="150">
        <f t="shared" si="136"/>
        <v>51866</v>
      </c>
      <c r="W328" s="150">
        <f t="shared" si="136"/>
        <v>52231</v>
      </c>
      <c r="X328" s="150">
        <f t="shared" si="136"/>
        <v>52596</v>
      </c>
      <c r="Y328" s="150">
        <f t="shared" si="136"/>
        <v>52962</v>
      </c>
      <c r="Z328" s="150">
        <f t="shared" si="136"/>
        <v>53327</v>
      </c>
    </row>
    <row r="329" spans="2:26" ht="15.5">
      <c r="B329" s="33" t="s">
        <v>60</v>
      </c>
      <c r="D329" s="48">
        <f>+SUM(F329:Z329)</f>
        <v>58166088.88800668</v>
      </c>
      <c r="E329" s="48"/>
      <c r="F329" s="34">
        <f t="shared" ref="F329:Z329" si="137">+F285</f>
        <v>58166088.88800668</v>
      </c>
      <c r="G329" s="34">
        <f t="shared" si="137"/>
        <v>0</v>
      </c>
      <c r="H329" s="34">
        <f t="shared" si="137"/>
        <v>0</v>
      </c>
      <c r="I329" s="34">
        <f t="shared" si="137"/>
        <v>0</v>
      </c>
      <c r="J329" s="34">
        <f t="shared" si="137"/>
        <v>0</v>
      </c>
      <c r="K329" s="34">
        <f t="shared" si="137"/>
        <v>0</v>
      </c>
      <c r="L329" s="34">
        <f t="shared" si="137"/>
        <v>0</v>
      </c>
      <c r="M329" s="34">
        <f t="shared" si="137"/>
        <v>0</v>
      </c>
      <c r="N329" s="34">
        <f t="shared" si="137"/>
        <v>0</v>
      </c>
      <c r="O329" s="34">
        <f t="shared" si="137"/>
        <v>0</v>
      </c>
      <c r="P329" s="34">
        <f t="shared" si="137"/>
        <v>0</v>
      </c>
      <c r="Q329" s="34">
        <f t="shared" si="137"/>
        <v>0</v>
      </c>
      <c r="R329" s="34">
        <f t="shared" si="137"/>
        <v>0</v>
      </c>
      <c r="S329" s="34">
        <f t="shared" si="137"/>
        <v>0</v>
      </c>
      <c r="T329" s="34">
        <f t="shared" si="137"/>
        <v>0</v>
      </c>
      <c r="U329" s="34">
        <f t="shared" si="137"/>
        <v>0</v>
      </c>
      <c r="V329" s="34">
        <f t="shared" si="137"/>
        <v>0</v>
      </c>
      <c r="W329" s="34">
        <f t="shared" si="137"/>
        <v>0</v>
      </c>
      <c r="X329" s="34">
        <f t="shared" si="137"/>
        <v>0</v>
      </c>
      <c r="Y329" s="34">
        <f t="shared" si="137"/>
        <v>0</v>
      </c>
      <c r="Z329" s="34">
        <f t="shared" si="137"/>
        <v>0</v>
      </c>
    </row>
    <row r="330" spans="2:26" ht="15.5">
      <c r="B330" s="33" t="s">
        <v>8</v>
      </c>
      <c r="D330" s="48">
        <f t="shared" ref="D330:D335" si="138">+SUM(F330:Z330)</f>
        <v>7755425.4255319145</v>
      </c>
      <c r="E330" s="48"/>
      <c r="F330" s="151">
        <f t="shared" ref="F330:Z330" si="139">+F286</f>
        <v>7755425.4255319145</v>
      </c>
      <c r="G330" s="151">
        <f t="shared" si="139"/>
        <v>0</v>
      </c>
      <c r="H330" s="151">
        <f t="shared" si="139"/>
        <v>0</v>
      </c>
      <c r="I330" s="151">
        <f t="shared" si="139"/>
        <v>0</v>
      </c>
      <c r="J330" s="151">
        <f t="shared" si="139"/>
        <v>0</v>
      </c>
      <c r="K330" s="151">
        <f t="shared" si="139"/>
        <v>0</v>
      </c>
      <c r="L330" s="151">
        <f t="shared" si="139"/>
        <v>0</v>
      </c>
      <c r="M330" s="151">
        <f t="shared" si="139"/>
        <v>0</v>
      </c>
      <c r="N330" s="151">
        <f t="shared" si="139"/>
        <v>0</v>
      </c>
      <c r="O330" s="151">
        <f t="shared" si="139"/>
        <v>0</v>
      </c>
      <c r="P330" s="151">
        <f t="shared" si="139"/>
        <v>0</v>
      </c>
      <c r="Q330" s="151">
        <f t="shared" si="139"/>
        <v>0</v>
      </c>
      <c r="R330" s="151">
        <f t="shared" si="139"/>
        <v>0</v>
      </c>
      <c r="S330" s="151">
        <f t="shared" si="139"/>
        <v>0</v>
      </c>
      <c r="T330" s="151">
        <f t="shared" si="139"/>
        <v>0</v>
      </c>
      <c r="U330" s="151">
        <f t="shared" si="139"/>
        <v>0</v>
      </c>
      <c r="V330" s="151">
        <f t="shared" si="139"/>
        <v>0</v>
      </c>
      <c r="W330" s="151">
        <f t="shared" si="139"/>
        <v>0</v>
      </c>
      <c r="X330" s="151">
        <f t="shared" si="139"/>
        <v>0</v>
      </c>
      <c r="Y330" s="151">
        <f t="shared" si="139"/>
        <v>0</v>
      </c>
      <c r="Z330" s="151">
        <f t="shared" si="139"/>
        <v>0</v>
      </c>
    </row>
    <row r="331" spans="2:26" ht="15.5">
      <c r="B331" s="33" t="s">
        <v>56</v>
      </c>
      <c r="D331" s="48">
        <f t="shared" si="138"/>
        <v>286902962.88932848</v>
      </c>
      <c r="E331" s="48"/>
      <c r="F331" s="151">
        <f t="shared" ref="F331:Z331" si="140">+F287</f>
        <v>40000</v>
      </c>
      <c r="G331" s="151">
        <f t="shared" si="140"/>
        <v>95620987.629776165</v>
      </c>
      <c r="H331" s="151">
        <f t="shared" si="140"/>
        <v>95620987.629776165</v>
      </c>
      <c r="I331" s="151">
        <f t="shared" si="140"/>
        <v>95620987.629776165</v>
      </c>
      <c r="J331" s="151">
        <f t="shared" si="140"/>
        <v>0</v>
      </c>
      <c r="K331" s="151">
        <f t="shared" si="140"/>
        <v>0</v>
      </c>
      <c r="L331" s="151">
        <f t="shared" si="140"/>
        <v>0</v>
      </c>
      <c r="M331" s="151">
        <f t="shared" si="140"/>
        <v>0</v>
      </c>
      <c r="N331" s="151">
        <f t="shared" si="140"/>
        <v>0</v>
      </c>
      <c r="O331" s="151">
        <f t="shared" si="140"/>
        <v>0</v>
      </c>
      <c r="P331" s="151">
        <f t="shared" si="140"/>
        <v>0</v>
      </c>
      <c r="Q331" s="151">
        <f t="shared" si="140"/>
        <v>0</v>
      </c>
      <c r="R331" s="151">
        <f t="shared" si="140"/>
        <v>0</v>
      </c>
      <c r="S331" s="151">
        <f t="shared" si="140"/>
        <v>0</v>
      </c>
      <c r="T331" s="151">
        <f t="shared" si="140"/>
        <v>0</v>
      </c>
      <c r="U331" s="151">
        <f t="shared" si="140"/>
        <v>0</v>
      </c>
      <c r="V331" s="151">
        <f t="shared" si="140"/>
        <v>0</v>
      </c>
      <c r="W331" s="151">
        <f t="shared" si="140"/>
        <v>0</v>
      </c>
      <c r="X331" s="151">
        <f t="shared" si="140"/>
        <v>0</v>
      </c>
      <c r="Y331" s="151">
        <f t="shared" si="140"/>
        <v>0</v>
      </c>
      <c r="Z331" s="151">
        <f t="shared" si="140"/>
        <v>0</v>
      </c>
    </row>
    <row r="332" spans="2:26" ht="15.5">
      <c r="B332" s="33" t="s">
        <v>57</v>
      </c>
      <c r="D332" s="48">
        <f t="shared" si="138"/>
        <v>29031968.252512634</v>
      </c>
      <c r="E332" s="48"/>
      <c r="F332" s="151">
        <f t="shared" ref="F332:Z332" si="141">+F288</f>
        <v>13665837.257209564</v>
      </c>
      <c r="G332" s="151">
        <f t="shared" si="141"/>
        <v>5122043.6651010234</v>
      </c>
      <c r="H332" s="151">
        <f t="shared" si="141"/>
        <v>5122043.6651010234</v>
      </c>
      <c r="I332" s="151">
        <f t="shared" si="141"/>
        <v>5122043.6651010234</v>
      </c>
      <c r="J332" s="151">
        <f t="shared" si="141"/>
        <v>0</v>
      </c>
      <c r="K332" s="151">
        <f t="shared" si="141"/>
        <v>0</v>
      </c>
      <c r="L332" s="151">
        <f t="shared" si="141"/>
        <v>0</v>
      </c>
      <c r="M332" s="151">
        <f t="shared" si="141"/>
        <v>0</v>
      </c>
      <c r="N332" s="151">
        <f t="shared" si="141"/>
        <v>0</v>
      </c>
      <c r="O332" s="151">
        <f t="shared" si="141"/>
        <v>0</v>
      </c>
      <c r="P332" s="151">
        <f t="shared" si="141"/>
        <v>0</v>
      </c>
      <c r="Q332" s="151">
        <f t="shared" si="141"/>
        <v>0</v>
      </c>
      <c r="R332" s="151">
        <f t="shared" si="141"/>
        <v>0</v>
      </c>
      <c r="S332" s="151">
        <f t="shared" si="141"/>
        <v>0</v>
      </c>
      <c r="T332" s="151">
        <f t="shared" si="141"/>
        <v>0</v>
      </c>
      <c r="U332" s="151">
        <f t="shared" si="141"/>
        <v>0</v>
      </c>
      <c r="V332" s="151">
        <f t="shared" si="141"/>
        <v>0</v>
      </c>
      <c r="W332" s="151">
        <f t="shared" si="141"/>
        <v>0</v>
      </c>
      <c r="X332" s="151">
        <f t="shared" si="141"/>
        <v>0</v>
      </c>
      <c r="Y332" s="151">
        <f t="shared" si="141"/>
        <v>0</v>
      </c>
      <c r="Z332" s="151">
        <f t="shared" si="141"/>
        <v>0</v>
      </c>
    </row>
    <row r="333" spans="2:26" ht="15.5">
      <c r="B333" s="33" t="s">
        <v>79</v>
      </c>
      <c r="D333" s="48">
        <f t="shared" si="138"/>
        <v>0</v>
      </c>
      <c r="E333" s="48"/>
      <c r="F333" s="151">
        <v>0</v>
      </c>
      <c r="G333" s="151">
        <v>0</v>
      </c>
      <c r="H333" s="151">
        <v>0</v>
      </c>
      <c r="I333" s="151">
        <v>0</v>
      </c>
      <c r="J333" s="151">
        <v>0</v>
      </c>
      <c r="K333" s="151">
        <v>0</v>
      </c>
      <c r="L333" s="151">
        <v>0</v>
      </c>
      <c r="M333" s="151">
        <v>0</v>
      </c>
      <c r="N333" s="151">
        <v>0</v>
      </c>
      <c r="O333" s="151">
        <v>0</v>
      </c>
      <c r="P333" s="151">
        <v>0</v>
      </c>
      <c r="Q333" s="151">
        <v>0</v>
      </c>
      <c r="R333" s="151">
        <v>0</v>
      </c>
      <c r="S333" s="151">
        <v>0</v>
      </c>
      <c r="T333" s="151">
        <v>0</v>
      </c>
      <c r="U333" s="151">
        <v>0</v>
      </c>
      <c r="V333" s="151">
        <v>0</v>
      </c>
      <c r="W333" s="151">
        <v>0</v>
      </c>
      <c r="X333" s="151">
        <v>0</v>
      </c>
      <c r="Y333" s="151">
        <v>0</v>
      </c>
      <c r="Z333" s="151">
        <v>0</v>
      </c>
    </row>
    <row r="334" spans="2:26" ht="15.5">
      <c r="B334" s="33" t="s">
        <v>82</v>
      </c>
      <c r="D334" s="48">
        <f t="shared" si="138"/>
        <v>851807.40381203149</v>
      </c>
      <c r="E334" s="48"/>
      <c r="F334" s="151">
        <f t="shared" ref="F334:Z334" si="142">+F290</f>
        <v>0</v>
      </c>
      <c r="G334" s="151">
        <f t="shared" si="142"/>
        <v>283935.80127067718</v>
      </c>
      <c r="H334" s="151">
        <f t="shared" si="142"/>
        <v>283935.80127067718</v>
      </c>
      <c r="I334" s="151">
        <f t="shared" si="142"/>
        <v>283935.80127067718</v>
      </c>
      <c r="J334" s="151">
        <f t="shared" si="142"/>
        <v>0</v>
      </c>
      <c r="K334" s="151">
        <f t="shared" si="142"/>
        <v>0</v>
      </c>
      <c r="L334" s="151">
        <f t="shared" si="142"/>
        <v>0</v>
      </c>
      <c r="M334" s="151">
        <f t="shared" si="142"/>
        <v>0</v>
      </c>
      <c r="N334" s="151">
        <f t="shared" si="142"/>
        <v>0</v>
      </c>
      <c r="O334" s="151">
        <f t="shared" si="142"/>
        <v>0</v>
      </c>
      <c r="P334" s="151">
        <f t="shared" si="142"/>
        <v>0</v>
      </c>
      <c r="Q334" s="151">
        <f t="shared" si="142"/>
        <v>0</v>
      </c>
      <c r="R334" s="151">
        <f t="shared" si="142"/>
        <v>0</v>
      </c>
      <c r="S334" s="151">
        <f t="shared" si="142"/>
        <v>0</v>
      </c>
      <c r="T334" s="151">
        <f t="shared" si="142"/>
        <v>0</v>
      </c>
      <c r="U334" s="151">
        <f t="shared" si="142"/>
        <v>0</v>
      </c>
      <c r="V334" s="151">
        <f t="shared" si="142"/>
        <v>0</v>
      </c>
      <c r="W334" s="151">
        <f t="shared" si="142"/>
        <v>0</v>
      </c>
      <c r="X334" s="151">
        <f t="shared" si="142"/>
        <v>0</v>
      </c>
      <c r="Y334" s="151">
        <f t="shared" si="142"/>
        <v>0</v>
      </c>
      <c r="Z334" s="151">
        <f t="shared" si="142"/>
        <v>0</v>
      </c>
    </row>
    <row r="335" spans="2:26" ht="15.5">
      <c r="B335" s="33" t="s">
        <v>59</v>
      </c>
      <c r="D335" s="48">
        <f t="shared" si="138"/>
        <v>9736264.9191355519</v>
      </c>
      <c r="E335" s="48"/>
      <c r="F335" s="151">
        <f t="shared" ref="F335:Z335" si="143">+F291</f>
        <v>292087.94757406652</v>
      </c>
      <c r="G335" s="151">
        <f t="shared" si="143"/>
        <v>1888835.3943122972</v>
      </c>
      <c r="H335" s="151">
        <f t="shared" si="143"/>
        <v>1888835.3943122972</v>
      </c>
      <c r="I335" s="151">
        <f t="shared" si="143"/>
        <v>1888835.3943122972</v>
      </c>
      <c r="J335" s="151">
        <f t="shared" si="143"/>
        <v>1888835.3943122972</v>
      </c>
      <c r="K335" s="151">
        <f t="shared" si="143"/>
        <v>1888835.3943122972</v>
      </c>
      <c r="L335" s="151">
        <f t="shared" si="143"/>
        <v>0</v>
      </c>
      <c r="M335" s="151">
        <f t="shared" si="143"/>
        <v>0</v>
      </c>
      <c r="N335" s="151">
        <f t="shared" si="143"/>
        <v>0</v>
      </c>
      <c r="O335" s="151">
        <f t="shared" si="143"/>
        <v>0</v>
      </c>
      <c r="P335" s="151">
        <f t="shared" si="143"/>
        <v>0</v>
      </c>
      <c r="Q335" s="151">
        <f t="shared" si="143"/>
        <v>0</v>
      </c>
      <c r="R335" s="151">
        <f t="shared" si="143"/>
        <v>0</v>
      </c>
      <c r="S335" s="151">
        <f t="shared" si="143"/>
        <v>0</v>
      </c>
      <c r="T335" s="151">
        <f t="shared" si="143"/>
        <v>0</v>
      </c>
      <c r="U335" s="151">
        <f t="shared" si="143"/>
        <v>0</v>
      </c>
      <c r="V335" s="151">
        <f t="shared" si="143"/>
        <v>0</v>
      </c>
      <c r="W335" s="151">
        <f t="shared" si="143"/>
        <v>0</v>
      </c>
      <c r="X335" s="151">
        <f t="shared" si="143"/>
        <v>0</v>
      </c>
      <c r="Y335" s="151">
        <f t="shared" si="143"/>
        <v>0</v>
      </c>
      <c r="Z335" s="151">
        <f t="shared" si="143"/>
        <v>0</v>
      </c>
    </row>
    <row r="336" spans="2:26" ht="15.5">
      <c r="B336" s="138" t="s">
        <v>20</v>
      </c>
      <c r="C336" s="138"/>
      <c r="D336" s="139">
        <f>+SUM(F336:Z336)</f>
        <v>392444517.77832735</v>
      </c>
      <c r="E336" s="139"/>
      <c r="F336" s="139">
        <f>+SUM(F329:F335)</f>
        <v>79919439.518322229</v>
      </c>
      <c r="G336" s="139">
        <f t="shared" ref="G336:Z336" si="144">+SUM(G329:G335)</f>
        <v>102915802.49046016</v>
      </c>
      <c r="H336" s="139">
        <f t="shared" si="144"/>
        <v>102915802.49046016</v>
      </c>
      <c r="I336" s="139">
        <f t="shared" si="144"/>
        <v>102915802.49046016</v>
      </c>
      <c r="J336" s="139">
        <f t="shared" si="144"/>
        <v>1888835.3943122972</v>
      </c>
      <c r="K336" s="139">
        <f t="shared" si="144"/>
        <v>1888835.3943122972</v>
      </c>
      <c r="L336" s="139">
        <f t="shared" si="144"/>
        <v>0</v>
      </c>
      <c r="M336" s="139">
        <f t="shared" si="144"/>
        <v>0</v>
      </c>
      <c r="N336" s="139">
        <f t="shared" si="144"/>
        <v>0</v>
      </c>
      <c r="O336" s="139">
        <f t="shared" si="144"/>
        <v>0</v>
      </c>
      <c r="P336" s="139">
        <f t="shared" si="144"/>
        <v>0</v>
      </c>
      <c r="Q336" s="139">
        <f t="shared" si="144"/>
        <v>0</v>
      </c>
      <c r="R336" s="139">
        <f t="shared" si="144"/>
        <v>0</v>
      </c>
      <c r="S336" s="139">
        <f t="shared" si="144"/>
        <v>0</v>
      </c>
      <c r="T336" s="139">
        <f t="shared" si="144"/>
        <v>0</v>
      </c>
      <c r="U336" s="139">
        <f t="shared" si="144"/>
        <v>0</v>
      </c>
      <c r="V336" s="139">
        <f t="shared" si="144"/>
        <v>0</v>
      </c>
      <c r="W336" s="139">
        <f t="shared" si="144"/>
        <v>0</v>
      </c>
      <c r="X336" s="139">
        <f t="shared" si="144"/>
        <v>0</v>
      </c>
      <c r="Y336" s="139">
        <f t="shared" si="144"/>
        <v>0</v>
      </c>
      <c r="Z336" s="139">
        <f t="shared" si="144"/>
        <v>0</v>
      </c>
    </row>
    <row r="338" spans="2:26" ht="15.5">
      <c r="B338" s="148" t="s">
        <v>329</v>
      </c>
      <c r="F338" s="150">
        <f t="shared" ref="F338" si="145">+F$294</f>
        <v>46022</v>
      </c>
      <c r="G338" s="150">
        <f>+EOMONTH(F338,12)</f>
        <v>46387</v>
      </c>
      <c r="H338" s="150">
        <f t="shared" ref="H338:Z338" si="146">+EOMONTH(G338,12)</f>
        <v>46752</v>
      </c>
      <c r="I338" s="150">
        <f t="shared" si="146"/>
        <v>47118</v>
      </c>
      <c r="J338" s="150">
        <f t="shared" si="146"/>
        <v>47483</v>
      </c>
      <c r="K338" s="150">
        <f t="shared" si="146"/>
        <v>47848</v>
      </c>
      <c r="L338" s="150">
        <f t="shared" si="146"/>
        <v>48213</v>
      </c>
      <c r="M338" s="150">
        <f t="shared" si="146"/>
        <v>48579</v>
      </c>
      <c r="N338" s="150">
        <f t="shared" si="146"/>
        <v>48944</v>
      </c>
      <c r="O338" s="150">
        <f t="shared" si="146"/>
        <v>49309</v>
      </c>
      <c r="P338" s="150">
        <f t="shared" si="146"/>
        <v>49674</v>
      </c>
      <c r="Q338" s="150">
        <f t="shared" si="146"/>
        <v>50040</v>
      </c>
      <c r="R338" s="150">
        <f t="shared" si="146"/>
        <v>50405</v>
      </c>
      <c r="S338" s="150">
        <f t="shared" si="146"/>
        <v>50770</v>
      </c>
      <c r="T338" s="150">
        <f t="shared" si="146"/>
        <v>51135</v>
      </c>
      <c r="U338" s="150">
        <f t="shared" si="146"/>
        <v>51501</v>
      </c>
      <c r="V338" s="150">
        <f t="shared" si="146"/>
        <v>51866</v>
      </c>
      <c r="W338" s="150">
        <f t="shared" si="146"/>
        <v>52231</v>
      </c>
      <c r="X338" s="150">
        <f t="shared" si="146"/>
        <v>52596</v>
      </c>
      <c r="Y338" s="150">
        <f t="shared" si="146"/>
        <v>52962</v>
      </c>
      <c r="Z338" s="150">
        <f t="shared" si="146"/>
        <v>53327</v>
      </c>
    </row>
    <row r="339" spans="2:26" ht="15.5">
      <c r="B339" s="33" t="s">
        <v>29</v>
      </c>
      <c r="D339" s="48">
        <f ca="1">+D336-SUM(D296:D298,D301)</f>
        <v>276151348.47847033</v>
      </c>
      <c r="E339" s="48"/>
      <c r="F339" s="34">
        <f ca="1">+MIN($D$339-SUM('Phase III Pro Forma'!$E339:E339),'Phase III Pro Forma'!F$336)</f>
        <v>79919439.518322229</v>
      </c>
      <c r="G339" s="34">
        <f ca="1">+MIN($D$339-SUM('Phase III Pro Forma'!$E339:F339),'Phase III Pro Forma'!G$336)</f>
        <v>102915802.49046016</v>
      </c>
      <c r="H339" s="34">
        <f ca="1">+MIN($D$339-SUM('Phase III Pro Forma'!$E339:G339),'Phase III Pro Forma'!H$336)</f>
        <v>93316106.469687939</v>
      </c>
      <c r="I339" s="34">
        <f ca="1">+MIN($D$339-SUM('Phase III Pro Forma'!$E339:H339),'Phase III Pro Forma'!I$336)</f>
        <v>0</v>
      </c>
      <c r="J339" s="34">
        <f ca="1">+MIN($D$339-SUM('Phase III Pro Forma'!$E339:I339),'Phase III Pro Forma'!J$336)</f>
        <v>0</v>
      </c>
      <c r="K339" s="34">
        <f ca="1">+MIN($D$339-SUM('Phase III Pro Forma'!$E339:J339),'Phase III Pro Forma'!K$336)</f>
        <v>0</v>
      </c>
      <c r="L339" s="34">
        <f ca="1">+MIN($D$339-SUM('Phase III Pro Forma'!$E339:K339),'Phase III Pro Forma'!L$336)</f>
        <v>0</v>
      </c>
      <c r="M339" s="34">
        <f ca="1">+MIN($D$339-SUM('Phase III Pro Forma'!$E339:L339),'Phase III Pro Forma'!M$336)</f>
        <v>0</v>
      </c>
      <c r="N339" s="34">
        <f ca="1">+MIN($D$339-SUM('Phase III Pro Forma'!$E339:M339),'Phase III Pro Forma'!N$336)</f>
        <v>0</v>
      </c>
      <c r="O339" s="34">
        <f ca="1">+MIN($D$339-SUM('Phase III Pro Forma'!$E339:N339),'Phase III Pro Forma'!O$336)</f>
        <v>0</v>
      </c>
      <c r="P339" s="34">
        <f ca="1">+MIN($D$339-SUM('Phase III Pro Forma'!$E339:O339),'Phase III Pro Forma'!P$336)</f>
        <v>0</v>
      </c>
      <c r="Q339" s="34">
        <f ca="1">+MIN($D$339-SUM('Phase III Pro Forma'!$E339:P339),'Phase III Pro Forma'!Q$336)</f>
        <v>0</v>
      </c>
      <c r="R339" s="34">
        <f ca="1">+MIN($D$339-SUM('Phase III Pro Forma'!$E339:Q339),'Phase III Pro Forma'!R$336)</f>
        <v>0</v>
      </c>
      <c r="S339" s="34">
        <f ca="1">+MIN($D$339-SUM('Phase III Pro Forma'!$E339:R339),'Phase III Pro Forma'!S$336)</f>
        <v>0</v>
      </c>
      <c r="T339" s="34">
        <f ca="1">+MIN($D$339-SUM('Phase III Pro Forma'!$E339:S339),'Phase III Pro Forma'!T$336)</f>
        <v>0</v>
      </c>
      <c r="U339" s="34">
        <f ca="1">+MIN($D$339-SUM('Phase III Pro Forma'!$E339:T339),'Phase III Pro Forma'!U$336)</f>
        <v>0</v>
      </c>
      <c r="V339" s="34">
        <f ca="1">+MIN($D$339-SUM('Phase III Pro Forma'!$E339:U339),'Phase III Pro Forma'!V$336)</f>
        <v>0</v>
      </c>
      <c r="W339" s="34">
        <f ca="1">+MIN($D$339-SUM('Phase III Pro Forma'!$E339:V339),'Phase III Pro Forma'!W$336)</f>
        <v>0</v>
      </c>
      <c r="X339" s="34">
        <f ca="1">+MIN($D$339-SUM('Phase III Pro Forma'!$E339:W339),'Phase III Pro Forma'!X$336)</f>
        <v>0</v>
      </c>
      <c r="Y339" s="34">
        <f ca="1">+MIN($D$339-SUM('Phase III Pro Forma'!$E339:X339),'Phase III Pro Forma'!Y$336)</f>
        <v>0</v>
      </c>
      <c r="Z339" s="34">
        <f ca="1">+MIN($D$339-SUM('Phase III Pro Forma'!$E339:Y339),'Phase III Pro Forma'!Z$336)</f>
        <v>0</v>
      </c>
    </row>
    <row r="340" spans="2:26" ht="15.5">
      <c r="B340" s="33" t="s">
        <v>840</v>
      </c>
      <c r="D340" s="48">
        <f t="shared" ref="D340:D346" ca="1" si="147">+SUM(F340:Z340)</f>
        <v>0</v>
      </c>
      <c r="E340" s="48"/>
      <c r="F340" s="151">
        <f ca="1">+MIN('S&amp;U'!$J19-SUM('Phase III Pro Forma'!$E340:E340),'Phase III Pro Forma'!F$336-SUM(F$339:F339))</f>
        <v>0</v>
      </c>
      <c r="G340" s="151">
        <f ca="1">+MIN('S&amp;U'!$J19-SUM('Phase III Pro Forma'!$E340:F340),'Phase III Pro Forma'!G$336-SUM(G$339:G339))</f>
        <v>0</v>
      </c>
      <c r="H340" s="151">
        <f ca="1">+MIN('S&amp;U'!$J19-SUM('Phase III Pro Forma'!$E340:G340),'Phase III Pro Forma'!H$336-SUM(H$339:H339))</f>
        <v>0</v>
      </c>
      <c r="I340" s="151">
        <f ca="1">+MIN('S&amp;U'!$J19-SUM('Phase III Pro Forma'!$E340:H340),'Phase III Pro Forma'!I$336-SUM(I$339:I339))</f>
        <v>0</v>
      </c>
      <c r="J340" s="151">
        <f ca="1">+MIN('S&amp;U'!$J19-SUM('Phase III Pro Forma'!$E340:I340),'Phase III Pro Forma'!J$336-SUM(J$339:J339))</f>
        <v>0</v>
      </c>
      <c r="K340" s="151">
        <f ca="1">+MIN('S&amp;U'!$J19-SUM('Phase III Pro Forma'!$E340:J340),'Phase III Pro Forma'!K$336-SUM(K$339:K339))</f>
        <v>0</v>
      </c>
      <c r="L340" s="151">
        <f ca="1">+MIN('S&amp;U'!$J19-SUM('Phase III Pro Forma'!$E340:K340),'Phase III Pro Forma'!L$336-SUM(L$339:L339))</f>
        <v>0</v>
      </c>
      <c r="M340" s="151">
        <f ca="1">+MIN('S&amp;U'!$J19-SUM('Phase III Pro Forma'!$E340:L340),'Phase III Pro Forma'!M$336-SUM(M$339:M339))</f>
        <v>0</v>
      </c>
      <c r="N340" s="151">
        <f ca="1">+MIN('S&amp;U'!$J19-SUM('Phase III Pro Forma'!$E340:M340),'Phase III Pro Forma'!N$336-SUM(N$339:N339))</f>
        <v>0</v>
      </c>
      <c r="O340" s="151">
        <f ca="1">+MIN('S&amp;U'!$J19-SUM('Phase III Pro Forma'!$E340:N340),'Phase III Pro Forma'!O$336-SUM(O$339:O339))</f>
        <v>0</v>
      </c>
      <c r="P340" s="151">
        <f ca="1">+MIN('S&amp;U'!$J19-SUM('Phase III Pro Forma'!$E340:O340),'Phase III Pro Forma'!P$336-SUM(P$339:P339))</f>
        <v>0</v>
      </c>
      <c r="Q340" s="151">
        <f ca="1">+MIN('S&amp;U'!$J19-SUM('Phase III Pro Forma'!$E340:P340),'Phase III Pro Forma'!Q$336-SUM(Q$339:Q339))</f>
        <v>0</v>
      </c>
      <c r="R340" s="151">
        <f ca="1">+MIN('S&amp;U'!$J19-SUM('Phase III Pro Forma'!$E340:Q340),'Phase III Pro Forma'!R$336-SUM(R$339:R339))</f>
        <v>0</v>
      </c>
      <c r="S340" s="151">
        <f ca="1">+MIN('S&amp;U'!$J19-SUM('Phase III Pro Forma'!$E340:R340),'Phase III Pro Forma'!S$336-SUM(S$339:S339))</f>
        <v>0</v>
      </c>
      <c r="T340" s="151">
        <f ca="1">+MIN('S&amp;U'!$J19-SUM('Phase III Pro Forma'!$E340:S340),'Phase III Pro Forma'!T$336-SUM(T$339:T339))</f>
        <v>0</v>
      </c>
      <c r="U340" s="151">
        <f ca="1">+MIN('S&amp;U'!$J19-SUM('Phase III Pro Forma'!$E340:T340),'Phase III Pro Forma'!U$336-SUM(U$339:U339))</f>
        <v>0</v>
      </c>
      <c r="V340" s="151">
        <f ca="1">+MIN('S&amp;U'!$J19-SUM('Phase III Pro Forma'!$E340:U340),'Phase III Pro Forma'!V$336-SUM(V$339:V339))</f>
        <v>0</v>
      </c>
      <c r="W340" s="151">
        <f ca="1">+MIN('S&amp;U'!$J19-SUM('Phase III Pro Forma'!$E340:V340),'Phase III Pro Forma'!W$336-SUM(W$339:W339))</f>
        <v>0</v>
      </c>
      <c r="X340" s="151">
        <f ca="1">+MIN('S&amp;U'!$J19-SUM('Phase III Pro Forma'!$E340:W340),'Phase III Pro Forma'!X$336-SUM(X$339:X339))</f>
        <v>0</v>
      </c>
      <c r="Y340" s="151">
        <f ca="1">+MIN('S&amp;U'!$J19-SUM('Phase III Pro Forma'!$E340:X340),'Phase III Pro Forma'!Y$336-SUM(Y$339:Y339))</f>
        <v>0</v>
      </c>
      <c r="Z340" s="151">
        <f ca="1">+MIN('S&amp;U'!$J19-SUM('Phase III Pro Forma'!$E340:Y340),'Phase III Pro Forma'!Z$336-SUM(Z$339:Z339))</f>
        <v>0</v>
      </c>
    </row>
    <row r="341" spans="2:26" ht="15.5">
      <c r="B341" s="33" t="s">
        <v>98</v>
      </c>
      <c r="D341" s="48">
        <f t="shared" ca="1" si="147"/>
        <v>32087500</v>
      </c>
      <c r="E341" s="48"/>
      <c r="F341" s="151">
        <f ca="1">+MIN('S&amp;U'!$J20-SUM('Phase III Pro Forma'!$E341:E341),'Phase III Pro Forma'!F$336-SUM(F$339:F340))</f>
        <v>0</v>
      </c>
      <c r="G341" s="151">
        <f ca="1">+MIN('S&amp;U'!$J20-SUM('Phase III Pro Forma'!$E341:F341),'Phase III Pro Forma'!G$336-SUM(G$339:G340))</f>
        <v>0</v>
      </c>
      <c r="H341" s="151">
        <f ca="1">+MIN('S&amp;U'!$J20-SUM('Phase III Pro Forma'!$E341:G341),'Phase III Pro Forma'!H$336-SUM(H$339:H340))</f>
        <v>9599696.0207722187</v>
      </c>
      <c r="I341" s="151">
        <f ca="1">+MIN('S&amp;U'!$J20-SUM('Phase III Pro Forma'!$E341:H341),'Phase III Pro Forma'!I$336-SUM(I$339:I340))</f>
        <v>22487803.979227781</v>
      </c>
      <c r="J341" s="151">
        <f ca="1">+MIN('S&amp;U'!$J20-SUM('Phase III Pro Forma'!$E341:I341),'Phase III Pro Forma'!J$336-SUM(J$339:J340))</f>
        <v>0</v>
      </c>
      <c r="K341" s="151">
        <f ca="1">+MIN('S&amp;U'!$J20-SUM('Phase III Pro Forma'!$E341:J341),'Phase III Pro Forma'!K$336-SUM(K$339:K340))</f>
        <v>0</v>
      </c>
      <c r="L341" s="151">
        <f ca="1">+MIN('S&amp;U'!$J20-SUM('Phase III Pro Forma'!$E341:K341),'Phase III Pro Forma'!L$336-SUM(L$339:L340))</f>
        <v>0</v>
      </c>
      <c r="M341" s="151">
        <f ca="1">+MIN('S&amp;U'!$J20-SUM('Phase III Pro Forma'!$E341:L341),'Phase III Pro Forma'!M$336-SUM(M$339:M340))</f>
        <v>0</v>
      </c>
      <c r="N341" s="151">
        <f ca="1">+MIN('S&amp;U'!$J20-SUM('Phase III Pro Forma'!$E341:M341),'Phase III Pro Forma'!N$336-SUM(N$339:N340))</f>
        <v>0</v>
      </c>
      <c r="O341" s="151">
        <f ca="1">+MIN('S&amp;U'!$J20-SUM('Phase III Pro Forma'!$E341:N341),'Phase III Pro Forma'!O$336-SUM(O$339:O340))</f>
        <v>0</v>
      </c>
      <c r="P341" s="151">
        <f ca="1">+MIN('S&amp;U'!$J20-SUM('Phase III Pro Forma'!$E341:O341),'Phase III Pro Forma'!P$336-SUM(P$339:P340))</f>
        <v>0</v>
      </c>
      <c r="Q341" s="151">
        <f ca="1">+MIN('S&amp;U'!$J20-SUM('Phase III Pro Forma'!$E341:P341),'Phase III Pro Forma'!Q$336-SUM(Q$339:Q340))</f>
        <v>0</v>
      </c>
      <c r="R341" s="151">
        <f ca="1">+MIN('S&amp;U'!$J20-SUM('Phase III Pro Forma'!$E341:Q341),'Phase III Pro Forma'!R$336-SUM(R$339:R340))</f>
        <v>0</v>
      </c>
      <c r="S341" s="151">
        <f ca="1">+MIN('S&amp;U'!$J20-SUM('Phase III Pro Forma'!$E341:R341),'Phase III Pro Forma'!S$336-SUM(S$339:S340))</f>
        <v>0</v>
      </c>
      <c r="T341" s="151">
        <f ca="1">+MIN('S&amp;U'!$J20-SUM('Phase III Pro Forma'!$E341:S341),'Phase III Pro Forma'!T$336-SUM(T$339:T340))</f>
        <v>0</v>
      </c>
      <c r="U341" s="151">
        <f ca="1">+MIN('S&amp;U'!$J20-SUM('Phase III Pro Forma'!$E341:T341),'Phase III Pro Forma'!U$336-SUM(U$339:U340))</f>
        <v>0</v>
      </c>
      <c r="V341" s="151">
        <f ca="1">+MIN('S&amp;U'!$J20-SUM('Phase III Pro Forma'!$E341:U341),'Phase III Pro Forma'!V$336-SUM(V$339:V340))</f>
        <v>0</v>
      </c>
      <c r="W341" s="151">
        <f ca="1">+MIN('S&amp;U'!$J20-SUM('Phase III Pro Forma'!$E341:V341),'Phase III Pro Forma'!W$336-SUM(W$339:W340))</f>
        <v>0</v>
      </c>
      <c r="X341" s="151">
        <f ca="1">+MIN('S&amp;U'!$J20-SUM('Phase III Pro Forma'!$E341:W341),'Phase III Pro Forma'!X$336-SUM(X$339:X340))</f>
        <v>0</v>
      </c>
      <c r="Y341" s="151">
        <f ca="1">+MIN('S&amp;U'!$J20-SUM('Phase III Pro Forma'!$E341:X341),'Phase III Pro Forma'!Y$336-SUM(Y$339:Y340))</f>
        <v>0</v>
      </c>
      <c r="Z341" s="151">
        <f ca="1">+MIN('S&amp;U'!$J20-SUM('Phase III Pro Forma'!$E341:Y341),'Phase III Pro Forma'!Z$336-SUM(Z$339:Z340))</f>
        <v>0</v>
      </c>
    </row>
    <row r="342" spans="2:26" ht="15.5">
      <c r="B342" s="33" t="s">
        <v>99</v>
      </c>
      <c r="D342" s="48">
        <f t="shared" ca="1" si="147"/>
        <v>287994.08700256317</v>
      </c>
      <c r="E342" s="48"/>
      <c r="F342" s="151">
        <f ca="1">+MIN('S&amp;U'!$J21-SUM('Phase III Pro Forma'!$E342:E342),'Phase III Pro Forma'!F$336-SUM(F$339:F341))</f>
        <v>0</v>
      </c>
      <c r="G342" s="151">
        <f ca="1">+MIN('S&amp;U'!$J21-SUM('Phase III Pro Forma'!$E342:F342),'Phase III Pro Forma'!G$336-SUM(G$339:G341))</f>
        <v>0</v>
      </c>
      <c r="H342" s="151">
        <f ca="1">+MIN('S&amp;U'!$J21-SUM('Phase III Pro Forma'!$E342:G342),'Phase III Pro Forma'!H$336-SUM(H$339:H341))</f>
        <v>0</v>
      </c>
      <c r="I342" s="151">
        <f ca="1">+MIN('S&amp;U'!$J21-SUM('Phase III Pro Forma'!$E342:H342),'Phase III Pro Forma'!I$336-SUM(I$339:I341))</f>
        <v>287994.08700256317</v>
      </c>
      <c r="J342" s="151">
        <f ca="1">+MIN('S&amp;U'!$J21-SUM('Phase III Pro Forma'!$E342:I342),'Phase III Pro Forma'!J$336-SUM(J$339:J341))</f>
        <v>0</v>
      </c>
      <c r="K342" s="151">
        <f ca="1">+MIN('S&amp;U'!$J21-SUM('Phase III Pro Forma'!$E342:J342),'Phase III Pro Forma'!K$336-SUM(K$339:K341))</f>
        <v>0</v>
      </c>
      <c r="L342" s="151">
        <f ca="1">+MIN('S&amp;U'!$J21-SUM('Phase III Pro Forma'!$E342:K342),'Phase III Pro Forma'!L$336-SUM(L$339:L341))</f>
        <v>0</v>
      </c>
      <c r="M342" s="151">
        <f ca="1">+MIN('S&amp;U'!$J21-SUM('Phase III Pro Forma'!$E342:L342),'Phase III Pro Forma'!M$336-SUM(M$339:M341))</f>
        <v>0</v>
      </c>
      <c r="N342" s="151">
        <f ca="1">+MIN('S&amp;U'!$J21-SUM('Phase III Pro Forma'!$E342:M342),'Phase III Pro Forma'!N$336-SUM(N$339:N341))</f>
        <v>0</v>
      </c>
      <c r="O342" s="151">
        <f ca="1">+MIN('S&amp;U'!$J21-SUM('Phase III Pro Forma'!$E342:N342),'Phase III Pro Forma'!O$336-SUM(O$339:O341))</f>
        <v>0</v>
      </c>
      <c r="P342" s="151">
        <f ca="1">+MIN('S&amp;U'!$J21-SUM('Phase III Pro Forma'!$E342:O342),'Phase III Pro Forma'!P$336-SUM(P$339:P341))</f>
        <v>0</v>
      </c>
      <c r="Q342" s="151">
        <f ca="1">+MIN('S&amp;U'!$J21-SUM('Phase III Pro Forma'!$E342:P342),'Phase III Pro Forma'!Q$336-SUM(Q$339:Q341))</f>
        <v>0</v>
      </c>
      <c r="R342" s="151">
        <f ca="1">+MIN('S&amp;U'!$J21-SUM('Phase III Pro Forma'!$E342:Q342),'Phase III Pro Forma'!R$336-SUM(R$339:R341))</f>
        <v>0</v>
      </c>
      <c r="S342" s="151">
        <f ca="1">+MIN('S&amp;U'!$J21-SUM('Phase III Pro Forma'!$E342:R342),'Phase III Pro Forma'!S$336-SUM(S$339:S341))</f>
        <v>0</v>
      </c>
      <c r="T342" s="151">
        <f ca="1">+MIN('S&amp;U'!$J21-SUM('Phase III Pro Forma'!$E342:S342),'Phase III Pro Forma'!T$336-SUM(T$339:T341))</f>
        <v>0</v>
      </c>
      <c r="U342" s="151">
        <f ca="1">+MIN('S&amp;U'!$J21-SUM('Phase III Pro Forma'!$E342:T342),'Phase III Pro Forma'!U$336-SUM(U$339:U341))</f>
        <v>0</v>
      </c>
      <c r="V342" s="151">
        <f ca="1">+MIN('S&amp;U'!$J21-SUM('Phase III Pro Forma'!$E342:U342),'Phase III Pro Forma'!V$336-SUM(V$339:V341))</f>
        <v>0</v>
      </c>
      <c r="W342" s="151">
        <f ca="1">+MIN('S&amp;U'!$J21-SUM('Phase III Pro Forma'!$E342:V342),'Phase III Pro Forma'!W$336-SUM(W$339:W341))</f>
        <v>0</v>
      </c>
      <c r="X342" s="151">
        <f ca="1">+MIN('S&amp;U'!$J21-SUM('Phase III Pro Forma'!$E342:W342),'Phase III Pro Forma'!X$336-SUM(X$339:X341))</f>
        <v>0</v>
      </c>
      <c r="Y342" s="151">
        <f ca="1">+MIN('S&amp;U'!$J21-SUM('Phase III Pro Forma'!$E342:X342),'Phase III Pro Forma'!Y$336-SUM(Y$339:Y341))</f>
        <v>0</v>
      </c>
      <c r="Z342" s="151">
        <f ca="1">+MIN('S&amp;U'!$J21-SUM('Phase III Pro Forma'!$E342:Y342),'Phase III Pro Forma'!Z$336-SUM(Z$339:Z341))</f>
        <v>0</v>
      </c>
    </row>
    <row r="343" spans="2:26" ht="15.5">
      <c r="B343" s="33" t="s">
        <v>564</v>
      </c>
      <c r="D343" s="48">
        <f t="shared" ref="D343" ca="1" si="148">+SUM(F343:Z343)</f>
        <v>0</v>
      </c>
      <c r="E343" s="48"/>
      <c r="F343" s="151">
        <f ca="1">+MIN('S&amp;U'!$J22-SUM('Phase III Pro Forma'!$E343:E343),'Phase III Pro Forma'!F$336-SUM(F$339:F342))</f>
        <v>0</v>
      </c>
      <c r="G343" s="151">
        <f ca="1">+MIN('S&amp;U'!$J22-SUM('Phase III Pro Forma'!$E343:F343),'Phase III Pro Forma'!G$336-SUM(G$339:G342))</f>
        <v>0</v>
      </c>
      <c r="H343" s="151">
        <f ca="1">+MIN('S&amp;U'!$J22-SUM('Phase III Pro Forma'!$E343:G343),'Phase III Pro Forma'!H$336-SUM(H$339:H342))</f>
        <v>0</v>
      </c>
      <c r="I343" s="151">
        <f ca="1">+MIN('S&amp;U'!$J22-SUM('Phase III Pro Forma'!$E343:H343),'Phase III Pro Forma'!I$336-SUM(I$339:I342))</f>
        <v>0</v>
      </c>
      <c r="J343" s="151">
        <f ca="1">+MIN('S&amp;U'!$J22-SUM('Phase III Pro Forma'!$E343:I343),'Phase III Pro Forma'!J$336-SUM(J$339:J342))</f>
        <v>0</v>
      </c>
      <c r="K343" s="151">
        <f ca="1">+MIN('S&amp;U'!$J22-SUM('Phase III Pro Forma'!$E343:J343),'Phase III Pro Forma'!K$336-SUM(K$339:K342))</f>
        <v>0</v>
      </c>
      <c r="L343" s="151">
        <f ca="1">+MIN('S&amp;U'!$J22-SUM('Phase III Pro Forma'!$E343:K343),'Phase III Pro Forma'!L$336-SUM(L$339:L342))</f>
        <v>0</v>
      </c>
      <c r="M343" s="151">
        <f ca="1">+MIN('S&amp;U'!$J22-SUM('Phase III Pro Forma'!$E343:L343),'Phase III Pro Forma'!M$336-SUM(M$339:M342))</f>
        <v>0</v>
      </c>
      <c r="N343" s="151">
        <f ca="1">+MIN('S&amp;U'!$J22-SUM('Phase III Pro Forma'!$E343:M343),'Phase III Pro Forma'!N$336-SUM(N$339:N342))</f>
        <v>0</v>
      </c>
      <c r="O343" s="151">
        <f ca="1">+MIN('S&amp;U'!$J22-SUM('Phase III Pro Forma'!$E343:N343),'Phase III Pro Forma'!O$336-SUM(O$339:O342))</f>
        <v>0</v>
      </c>
      <c r="P343" s="151">
        <f ca="1">+MIN('S&amp;U'!$J22-SUM('Phase III Pro Forma'!$E343:O343),'Phase III Pro Forma'!P$336-SUM(P$339:P342))</f>
        <v>0</v>
      </c>
      <c r="Q343" s="151">
        <f ca="1">+MIN('S&amp;U'!$J22-SUM('Phase III Pro Forma'!$E343:P343),'Phase III Pro Forma'!Q$336-SUM(Q$339:Q342))</f>
        <v>0</v>
      </c>
      <c r="R343" s="151">
        <f ca="1">+MIN('S&amp;U'!$J22-SUM('Phase III Pro Forma'!$E343:Q343),'Phase III Pro Forma'!R$336-SUM(R$339:R342))</f>
        <v>0</v>
      </c>
      <c r="S343" s="151">
        <f ca="1">+MIN('S&amp;U'!$J22-SUM('Phase III Pro Forma'!$E343:R343),'Phase III Pro Forma'!S$336-SUM(S$339:S342))</f>
        <v>0</v>
      </c>
      <c r="T343" s="151">
        <f ca="1">+MIN('S&amp;U'!$J22-SUM('Phase III Pro Forma'!$E343:S343),'Phase III Pro Forma'!T$336-SUM(T$339:T342))</f>
        <v>0</v>
      </c>
      <c r="U343" s="151">
        <f ca="1">+MIN('S&amp;U'!$J22-SUM('Phase III Pro Forma'!$E343:T343),'Phase III Pro Forma'!U$336-SUM(U$339:U342))</f>
        <v>0</v>
      </c>
      <c r="V343" s="151">
        <f ca="1">+MIN('S&amp;U'!$J22-SUM('Phase III Pro Forma'!$E343:U343),'Phase III Pro Forma'!V$336-SUM(V$339:V342))</f>
        <v>0</v>
      </c>
      <c r="W343" s="151">
        <f ca="1">+MIN('S&amp;U'!$J22-SUM('Phase III Pro Forma'!$E343:V343),'Phase III Pro Forma'!W$336-SUM(W$339:W342))</f>
        <v>0</v>
      </c>
      <c r="X343" s="151">
        <f ca="1">+MIN('S&amp;U'!$J22-SUM('Phase III Pro Forma'!$E343:W343),'Phase III Pro Forma'!X$336-SUM(X$339:X342))</f>
        <v>0</v>
      </c>
      <c r="Y343" s="151">
        <f ca="1">+MIN('S&amp;U'!$J22-SUM('Phase III Pro Forma'!$E343:X343),'Phase III Pro Forma'!Y$336-SUM(Y$339:Y342))</f>
        <v>0</v>
      </c>
      <c r="Z343" s="151">
        <f ca="1">+MIN('S&amp;U'!$J22-SUM('Phase III Pro Forma'!$E343:Y343),'Phase III Pro Forma'!Z$336-SUM(Z$339:Z342))</f>
        <v>0</v>
      </c>
    </row>
    <row r="344" spans="2:26" ht="15.5">
      <c r="B344" s="33" t="s">
        <v>312</v>
      </c>
      <c r="D344" s="48">
        <f t="shared" si="147"/>
        <v>0</v>
      </c>
      <c r="E344" s="48"/>
      <c r="F344" s="151">
        <v>0</v>
      </c>
      <c r="G344" s="151">
        <v>0</v>
      </c>
      <c r="H344" s="151">
        <v>0</v>
      </c>
      <c r="I344" s="151">
        <v>0</v>
      </c>
      <c r="J344" s="151">
        <v>0</v>
      </c>
      <c r="K344" s="151">
        <v>0</v>
      </c>
      <c r="L344" s="151">
        <v>0</v>
      </c>
      <c r="M344" s="151">
        <v>0</v>
      </c>
      <c r="N344" s="151">
        <v>0</v>
      </c>
      <c r="O344" s="151">
        <v>0</v>
      </c>
      <c r="P344" s="151">
        <v>0</v>
      </c>
      <c r="Q344" s="151">
        <v>0</v>
      </c>
      <c r="R344" s="151">
        <v>0</v>
      </c>
      <c r="S344" s="151">
        <v>0</v>
      </c>
      <c r="T344" s="151">
        <v>0</v>
      </c>
      <c r="U344" s="151">
        <v>0</v>
      </c>
      <c r="V344" s="151">
        <v>0</v>
      </c>
      <c r="W344" s="151">
        <v>0</v>
      </c>
      <c r="X344" s="151">
        <v>0</v>
      </c>
      <c r="Y344" s="151">
        <v>0</v>
      </c>
      <c r="Z344" s="151">
        <v>0</v>
      </c>
    </row>
    <row r="345" spans="2:26" ht="15.5">
      <c r="B345" s="33" t="s">
        <v>97</v>
      </c>
      <c r="D345" s="48">
        <f t="shared" ca="1" si="147"/>
        <v>83917675.2128544</v>
      </c>
      <c r="E345" s="48"/>
      <c r="F345" s="151">
        <f ca="1">+MIN('S&amp;U'!$J26-SUM('Phase III Pro Forma'!$E345:E345),'Phase III Pro Forma'!F$336-SUM(F$339:F344))</f>
        <v>0</v>
      </c>
      <c r="G345" s="151">
        <f ca="1">+MIN('S&amp;U'!$J26-SUM('Phase III Pro Forma'!$E345:F345),'Phase III Pro Forma'!G$336-SUM(G$339:G344))</f>
        <v>0</v>
      </c>
      <c r="H345" s="151">
        <f ca="1">+MIN('S&amp;U'!$J26-SUM('Phase III Pro Forma'!$E345:G345),'Phase III Pro Forma'!H$336-SUM(H$339:H344))</f>
        <v>0</v>
      </c>
      <c r="I345" s="151">
        <f ca="1">+MIN('S&amp;U'!$J26-SUM('Phase III Pro Forma'!$E345:H345),'Phase III Pro Forma'!I$336-SUM(I$339:I344))</f>
        <v>80140004.424229816</v>
      </c>
      <c r="J345" s="151">
        <f ca="1">+MIN('S&amp;U'!$J26-SUM('Phase III Pro Forma'!$E345:I345),'Phase III Pro Forma'!J$336-SUM(J$339:J344))</f>
        <v>1888835.3943122972</v>
      </c>
      <c r="K345" s="151">
        <f ca="1">+MIN('S&amp;U'!$J26-SUM('Phase III Pro Forma'!$E345:J345),'Phase III Pro Forma'!K$336-SUM(K$339:K344))</f>
        <v>1888835.3943122972</v>
      </c>
      <c r="L345" s="151">
        <f ca="1">+MIN('S&amp;U'!$J26-SUM('Phase III Pro Forma'!$E345:K345),'Phase III Pro Forma'!L$336-SUM(L$339:L344))</f>
        <v>0</v>
      </c>
      <c r="M345" s="151">
        <f ca="1">+MIN('S&amp;U'!$J26-SUM('Phase III Pro Forma'!$E345:L345),'Phase III Pro Forma'!M$336-SUM(M$339:M344))</f>
        <v>0</v>
      </c>
      <c r="N345" s="151">
        <f ca="1">+MIN('S&amp;U'!$J26-SUM('Phase III Pro Forma'!$E345:M345),'Phase III Pro Forma'!N$336-SUM(N$339:N344))</f>
        <v>0</v>
      </c>
      <c r="O345" s="151">
        <f ca="1">+MIN('S&amp;U'!$J26-SUM('Phase III Pro Forma'!$E345:N345),'Phase III Pro Forma'!O$336-SUM(O$339:O344))</f>
        <v>0</v>
      </c>
      <c r="P345" s="151">
        <f ca="1">+MIN('S&amp;U'!$J26-SUM('Phase III Pro Forma'!$E345:O345),'Phase III Pro Forma'!P$336-SUM(P$339:P344))</f>
        <v>0</v>
      </c>
      <c r="Q345" s="151">
        <f ca="1">+MIN('S&amp;U'!$J26-SUM('Phase III Pro Forma'!$E345:P345),'Phase III Pro Forma'!Q$336-SUM(Q$339:Q344))</f>
        <v>0</v>
      </c>
      <c r="R345" s="151">
        <f ca="1">+MIN('S&amp;U'!$J26-SUM('Phase III Pro Forma'!$E345:Q345),'Phase III Pro Forma'!R$336-SUM(R$339:R344))</f>
        <v>0</v>
      </c>
      <c r="S345" s="151">
        <f ca="1">+MIN('S&amp;U'!$J26-SUM('Phase III Pro Forma'!$E345:R345),'Phase III Pro Forma'!S$336-SUM(S$339:S344))</f>
        <v>0</v>
      </c>
      <c r="T345" s="151">
        <f ca="1">+MIN('S&amp;U'!$J26-SUM('Phase III Pro Forma'!$E345:S345),'Phase III Pro Forma'!T$336-SUM(T$339:T344))</f>
        <v>0</v>
      </c>
      <c r="U345" s="151">
        <f ca="1">+MIN('S&amp;U'!$J26-SUM('Phase III Pro Forma'!$E345:T345),'Phase III Pro Forma'!U$336-SUM(U$339:U344))</f>
        <v>0</v>
      </c>
      <c r="V345" s="151">
        <f ca="1">+MIN('S&amp;U'!$J26-SUM('Phase III Pro Forma'!$E345:U345),'Phase III Pro Forma'!V$336-SUM(V$339:V344))</f>
        <v>0</v>
      </c>
      <c r="W345" s="151">
        <f ca="1">+MIN('S&amp;U'!$J26-SUM('Phase III Pro Forma'!$E345:V345),'Phase III Pro Forma'!W$336-SUM(W$339:W344))</f>
        <v>0</v>
      </c>
      <c r="X345" s="151">
        <f ca="1">+MIN('S&amp;U'!$J26-SUM('Phase III Pro Forma'!$E345:W345),'Phase III Pro Forma'!X$336-SUM(X$339:X344))</f>
        <v>0</v>
      </c>
      <c r="Y345" s="151">
        <f ca="1">+MIN('S&amp;U'!$J26-SUM('Phase III Pro Forma'!$E345:X345),'Phase III Pro Forma'!Y$336-SUM(Y$339:Y344))</f>
        <v>0</v>
      </c>
      <c r="Z345" s="151">
        <f ca="1">+MIN('S&amp;U'!$J26-SUM('Phase III Pro Forma'!$E345:Y345),'Phase III Pro Forma'!Z$336-SUM(Z$339:Z344))</f>
        <v>0</v>
      </c>
    </row>
    <row r="346" spans="2:26" ht="15.5">
      <c r="B346" s="138" t="s">
        <v>359</v>
      </c>
      <c r="C346" s="138"/>
      <c r="D346" s="139">
        <f t="shared" ca="1" si="147"/>
        <v>392444517.77832735</v>
      </c>
      <c r="E346" s="139"/>
      <c r="F346" s="139">
        <f t="shared" ref="F346:Z346" ca="1" si="149">+SUM(F339:F345)</f>
        <v>79919439.518322229</v>
      </c>
      <c r="G346" s="139">
        <f t="shared" ca="1" si="149"/>
        <v>102915802.49046016</v>
      </c>
      <c r="H346" s="139">
        <f t="shared" ca="1" si="149"/>
        <v>102915802.49046016</v>
      </c>
      <c r="I346" s="139">
        <f t="shared" ca="1" si="149"/>
        <v>102915802.49046016</v>
      </c>
      <c r="J346" s="139">
        <f t="shared" ca="1" si="149"/>
        <v>1888835.3943122972</v>
      </c>
      <c r="K346" s="139">
        <f t="shared" ca="1" si="149"/>
        <v>1888835.3943122972</v>
      </c>
      <c r="L346" s="139">
        <f t="shared" ca="1" si="149"/>
        <v>0</v>
      </c>
      <c r="M346" s="139">
        <f t="shared" ca="1" si="149"/>
        <v>0</v>
      </c>
      <c r="N346" s="139">
        <f t="shared" ca="1" si="149"/>
        <v>0</v>
      </c>
      <c r="O346" s="139">
        <f t="shared" ca="1" si="149"/>
        <v>0</v>
      </c>
      <c r="P346" s="139">
        <f t="shared" ca="1" si="149"/>
        <v>0</v>
      </c>
      <c r="Q346" s="139">
        <f t="shared" ca="1" si="149"/>
        <v>0</v>
      </c>
      <c r="R346" s="139">
        <f t="shared" ca="1" si="149"/>
        <v>0</v>
      </c>
      <c r="S346" s="139">
        <f t="shared" ca="1" si="149"/>
        <v>0</v>
      </c>
      <c r="T346" s="139">
        <f t="shared" ca="1" si="149"/>
        <v>0</v>
      </c>
      <c r="U346" s="139">
        <f t="shared" ca="1" si="149"/>
        <v>0</v>
      </c>
      <c r="V346" s="139">
        <f t="shared" ca="1" si="149"/>
        <v>0</v>
      </c>
      <c r="W346" s="139">
        <f t="shared" ca="1" si="149"/>
        <v>0</v>
      </c>
      <c r="X346" s="139">
        <f t="shared" ca="1" si="149"/>
        <v>0</v>
      </c>
      <c r="Y346" s="139">
        <f t="shared" ca="1" si="149"/>
        <v>0</v>
      </c>
      <c r="Z346" s="139">
        <f t="shared" ca="1" si="149"/>
        <v>0</v>
      </c>
    </row>
    <row r="348" spans="2:26" ht="15.5">
      <c r="B348" s="148" t="s">
        <v>330</v>
      </c>
    </row>
    <row r="349" spans="2:26" ht="15.5">
      <c r="B349" s="33" t="s">
        <v>331</v>
      </c>
      <c r="D349" s="48">
        <f ca="1">+SUM(F349:Z349)</f>
        <v>-276151348.47847033</v>
      </c>
      <c r="E349" s="48"/>
      <c r="F349" s="34">
        <f ca="1">-F339</f>
        <v>-79919439.518322229</v>
      </c>
      <c r="G349" s="34">
        <f t="shared" ref="G349:Z349" ca="1" si="150">-G339</f>
        <v>-102915802.49046016</v>
      </c>
      <c r="H349" s="34">
        <f t="shared" ca="1" si="150"/>
        <v>-93316106.469687939</v>
      </c>
      <c r="I349" s="34">
        <f t="shared" ca="1" si="150"/>
        <v>0</v>
      </c>
      <c r="J349" s="34">
        <f t="shared" ca="1" si="150"/>
        <v>0</v>
      </c>
      <c r="K349" s="34">
        <f t="shared" ca="1" si="150"/>
        <v>0</v>
      </c>
      <c r="L349" s="34">
        <f t="shared" ca="1" si="150"/>
        <v>0</v>
      </c>
      <c r="M349" s="34">
        <f t="shared" ca="1" si="150"/>
        <v>0</v>
      </c>
      <c r="N349" s="34">
        <f t="shared" ca="1" si="150"/>
        <v>0</v>
      </c>
      <c r="O349" s="34">
        <f t="shared" ca="1" si="150"/>
        <v>0</v>
      </c>
      <c r="P349" s="34">
        <f t="shared" ca="1" si="150"/>
        <v>0</v>
      </c>
      <c r="Q349" s="34">
        <f t="shared" ca="1" si="150"/>
        <v>0</v>
      </c>
      <c r="R349" s="34">
        <f t="shared" ca="1" si="150"/>
        <v>0</v>
      </c>
      <c r="S349" s="34">
        <f t="shared" ca="1" si="150"/>
        <v>0</v>
      </c>
      <c r="T349" s="34">
        <f t="shared" ca="1" si="150"/>
        <v>0</v>
      </c>
      <c r="U349" s="34">
        <f t="shared" ca="1" si="150"/>
        <v>0</v>
      </c>
      <c r="V349" s="34">
        <f t="shared" ca="1" si="150"/>
        <v>0</v>
      </c>
      <c r="W349" s="34">
        <f t="shared" ca="1" si="150"/>
        <v>0</v>
      </c>
      <c r="X349" s="34">
        <f t="shared" ca="1" si="150"/>
        <v>0</v>
      </c>
      <c r="Y349" s="34">
        <f t="shared" ca="1" si="150"/>
        <v>0</v>
      </c>
      <c r="Z349" s="34">
        <f t="shared" ca="1" si="150"/>
        <v>0</v>
      </c>
    </row>
    <row r="350" spans="2:26" ht="15.5">
      <c r="B350" s="33" t="s">
        <v>332</v>
      </c>
      <c r="D350" s="48">
        <f t="shared" ref="D350" ca="1" si="151">+SUM(F350:Z350)</f>
        <v>633537382.20962954</v>
      </c>
      <c r="E350" s="48"/>
      <c r="F350" s="151">
        <f ca="1">+IF(YEAR(F$140)&lt;=YEAR(Assumptions!$H$30),F321+F326,0)</f>
        <v>0</v>
      </c>
      <c r="G350" s="151">
        <f ca="1">+IF(YEAR(G$140)&lt;=YEAR(Assumptions!$H$30),G321+G326,0)</f>
        <v>0</v>
      </c>
      <c r="H350" s="151">
        <f ca="1">+IF(YEAR(H$140)&lt;=YEAR(Assumptions!$H$30),H321+H326,0)</f>
        <v>0</v>
      </c>
      <c r="I350" s="151">
        <f ca="1">+IF(YEAR(I$140)&lt;=YEAR(Assumptions!$H$30),I321+I326,0)</f>
        <v>0</v>
      </c>
      <c r="J350" s="151">
        <f ca="1">+IF(YEAR(J$140)&lt;=YEAR(Assumptions!$H$30),J321+J326,0)</f>
        <v>17695780.230681557</v>
      </c>
      <c r="K350" s="151">
        <f ca="1">+IF(YEAR(K$140)&lt;=YEAR(Assumptions!$H$30),K321+K326,0)</f>
        <v>35754736.881444313</v>
      </c>
      <c r="L350" s="151">
        <f ca="1">+IF(YEAR(L$140)&lt;=YEAR(Assumptions!$H$30),L321+L326,0)</f>
        <v>580086865.0975039</v>
      </c>
      <c r="M350" s="151">
        <f>+IF(YEAR(M$140)&lt;=YEAR(Assumptions!$H$30),M321+M326,0)</f>
        <v>0</v>
      </c>
      <c r="N350" s="151">
        <f>+IF(YEAR(N$140)&lt;=YEAR(Assumptions!$H$30),N321+N326,0)</f>
        <v>0</v>
      </c>
      <c r="O350" s="151">
        <f>+IF(YEAR(O$140)&lt;=YEAR(Assumptions!$H$30),O321+O326,0)</f>
        <v>0</v>
      </c>
      <c r="P350" s="151">
        <f>+IF(YEAR(P$140)&lt;=YEAR(Assumptions!$H$30),P321+P326,0)</f>
        <v>0</v>
      </c>
      <c r="Q350" s="151">
        <f>+IF(YEAR(Q$140)&lt;=YEAR(Assumptions!$H$30),Q321+Q326,0)</f>
        <v>0</v>
      </c>
      <c r="R350" s="151">
        <f>+IF(YEAR(R$140)&lt;=YEAR(Assumptions!$H$30),R321+R326,0)</f>
        <v>0</v>
      </c>
      <c r="S350" s="151">
        <f>+IF(YEAR(S$140)&lt;=YEAR(Assumptions!$H$30),S321+S326,0)</f>
        <v>0</v>
      </c>
      <c r="T350" s="151">
        <f>+IF(YEAR(T$140)&lt;=YEAR(Assumptions!$H$30),T321+T326,0)</f>
        <v>0</v>
      </c>
      <c r="U350" s="151">
        <f>+IF(YEAR(U$140)&lt;=YEAR(Assumptions!$H$30),U321+U326,0)</f>
        <v>0</v>
      </c>
      <c r="V350" s="151">
        <f>+IF(YEAR(V$140)&lt;=YEAR(Assumptions!$H$30),V321+V326,0)</f>
        <v>0</v>
      </c>
      <c r="W350" s="151">
        <f>+IF(YEAR(W$140)&lt;=YEAR(Assumptions!$H$30),W321+W326,0)</f>
        <v>0</v>
      </c>
      <c r="X350" s="151">
        <f>+IF(YEAR(X$140)&lt;=YEAR(Assumptions!$H$30),X321+X326,0)</f>
        <v>0</v>
      </c>
      <c r="Y350" s="151">
        <f>+IF(YEAR(Y$140)&lt;=YEAR(Assumptions!$H$30),Y321+Y326,0)</f>
        <v>0</v>
      </c>
      <c r="Z350" s="151">
        <f>+IF(YEAR(Z$140)&lt;=YEAR(Assumptions!$H$30),Z321+Z326,0)</f>
        <v>0</v>
      </c>
    </row>
    <row r="351" spans="2:26" ht="15.5">
      <c r="B351" s="138" t="s">
        <v>333</v>
      </c>
      <c r="C351" s="138"/>
      <c r="D351" s="139">
        <f ca="1">+SUM(F351:Z351)</f>
        <v>357386033.73115921</v>
      </c>
      <c r="E351" s="139"/>
      <c r="F351" s="139">
        <f ca="1">+SUM(F349:F350)</f>
        <v>-79919439.518322229</v>
      </c>
      <c r="G351" s="139">
        <f t="shared" ref="G351:Z351" ca="1" si="152">+SUM(G349:G350)</f>
        <v>-102915802.49046016</v>
      </c>
      <c r="H351" s="139">
        <f t="shared" ca="1" si="152"/>
        <v>-93316106.469687939</v>
      </c>
      <c r="I351" s="139">
        <f t="shared" ca="1" si="152"/>
        <v>0</v>
      </c>
      <c r="J351" s="139">
        <f t="shared" ca="1" si="152"/>
        <v>17695780.230681557</v>
      </c>
      <c r="K351" s="139">
        <f t="shared" ca="1" si="152"/>
        <v>35754736.881444313</v>
      </c>
      <c r="L351" s="139">
        <f t="shared" ca="1" si="152"/>
        <v>580086865.0975039</v>
      </c>
      <c r="M351" s="139">
        <f t="shared" ca="1" si="152"/>
        <v>0</v>
      </c>
      <c r="N351" s="139">
        <f t="shared" ca="1" si="152"/>
        <v>0</v>
      </c>
      <c r="O351" s="139">
        <f t="shared" ca="1" si="152"/>
        <v>0</v>
      </c>
      <c r="P351" s="139">
        <f t="shared" ca="1" si="152"/>
        <v>0</v>
      </c>
      <c r="Q351" s="139">
        <f t="shared" ca="1" si="152"/>
        <v>0</v>
      </c>
      <c r="R351" s="139">
        <f t="shared" ca="1" si="152"/>
        <v>0</v>
      </c>
      <c r="S351" s="139">
        <f t="shared" ca="1" si="152"/>
        <v>0</v>
      </c>
      <c r="T351" s="139">
        <f t="shared" ca="1" si="152"/>
        <v>0</v>
      </c>
      <c r="U351" s="139">
        <f t="shared" ca="1" si="152"/>
        <v>0</v>
      </c>
      <c r="V351" s="139">
        <f t="shared" ca="1" si="152"/>
        <v>0</v>
      </c>
      <c r="W351" s="139">
        <f t="shared" ca="1" si="152"/>
        <v>0</v>
      </c>
      <c r="X351" s="139">
        <f t="shared" ca="1" si="152"/>
        <v>0</v>
      </c>
      <c r="Y351" s="139">
        <f t="shared" ca="1" si="152"/>
        <v>0</v>
      </c>
      <c r="Z351" s="139">
        <f t="shared" ca="1" si="152"/>
        <v>0</v>
      </c>
    </row>
    <row r="353" spans="2:26" ht="15.5">
      <c r="B353" s="190" t="s">
        <v>375</v>
      </c>
      <c r="C353" s="190"/>
      <c r="D353" s="191">
        <f ca="1">+IRR(F351:Z351)</f>
        <v>0.1855715067764101</v>
      </c>
    </row>
    <row r="354" spans="2:26" ht="15.5">
      <c r="B354" s="141" t="s">
        <v>335</v>
      </c>
      <c r="C354" s="192"/>
      <c r="D354" s="142">
        <f ca="1">+SUM(F351:Z351)</f>
        <v>357386033.73115945</v>
      </c>
    </row>
    <row r="355" spans="2:26" ht="15.5">
      <c r="B355" s="194" t="s">
        <v>336</v>
      </c>
      <c r="C355" s="193"/>
      <c r="D355" s="195">
        <f ca="1">+D350/-D349</f>
        <v>2.2941672590058788</v>
      </c>
    </row>
    <row r="357" spans="2:26" ht="15.5">
      <c r="B357" s="37" t="s">
        <v>393</v>
      </c>
      <c r="C357" s="38"/>
      <c r="D357" s="38"/>
      <c r="E357" s="38"/>
      <c r="F357" s="136">
        <f>+F338</f>
        <v>46022</v>
      </c>
      <c r="G357" s="136">
        <f t="shared" ref="G357:Z357" si="153">+G338</f>
        <v>46387</v>
      </c>
      <c r="H357" s="136">
        <f t="shared" si="153"/>
        <v>46752</v>
      </c>
      <c r="I357" s="136">
        <f t="shared" si="153"/>
        <v>47118</v>
      </c>
      <c r="J357" s="136">
        <f t="shared" si="153"/>
        <v>47483</v>
      </c>
      <c r="K357" s="136">
        <f t="shared" si="153"/>
        <v>47848</v>
      </c>
      <c r="L357" s="136">
        <f t="shared" si="153"/>
        <v>48213</v>
      </c>
      <c r="M357" s="136">
        <f t="shared" si="153"/>
        <v>48579</v>
      </c>
      <c r="N357" s="136">
        <f t="shared" si="153"/>
        <v>48944</v>
      </c>
      <c r="O357" s="136">
        <f t="shared" si="153"/>
        <v>49309</v>
      </c>
      <c r="P357" s="136">
        <f t="shared" si="153"/>
        <v>49674</v>
      </c>
      <c r="Q357" s="136">
        <f t="shared" si="153"/>
        <v>50040</v>
      </c>
      <c r="R357" s="136">
        <f t="shared" si="153"/>
        <v>50405</v>
      </c>
      <c r="S357" s="136">
        <f t="shared" si="153"/>
        <v>50770</v>
      </c>
      <c r="T357" s="136">
        <f t="shared" si="153"/>
        <v>51135</v>
      </c>
      <c r="U357" s="136">
        <f t="shared" si="153"/>
        <v>51501</v>
      </c>
      <c r="V357" s="136">
        <f t="shared" si="153"/>
        <v>51866</v>
      </c>
      <c r="W357" s="136">
        <f t="shared" si="153"/>
        <v>52231</v>
      </c>
      <c r="X357" s="136">
        <f t="shared" si="153"/>
        <v>52596</v>
      </c>
      <c r="Y357" s="136">
        <f t="shared" si="153"/>
        <v>52962</v>
      </c>
      <c r="Z357" s="136">
        <f t="shared" si="153"/>
        <v>53327</v>
      </c>
    </row>
    <row r="358" spans="2:26" ht="15.5">
      <c r="B358" s="119"/>
    </row>
    <row r="359" spans="2:26" ht="15.5">
      <c r="B359" s="148" t="s">
        <v>389</v>
      </c>
      <c r="F359" s="148">
        <v>0</v>
      </c>
      <c r="G359" s="148">
        <f>+F359+1</f>
        <v>1</v>
      </c>
      <c r="H359" s="148">
        <f t="shared" ref="H359:Z359" si="154">+G359+1</f>
        <v>2</v>
      </c>
      <c r="I359" s="148">
        <f t="shared" si="154"/>
        <v>3</v>
      </c>
      <c r="J359" s="148">
        <f t="shared" si="154"/>
        <v>4</v>
      </c>
      <c r="K359" s="148">
        <f t="shared" si="154"/>
        <v>5</v>
      </c>
      <c r="L359" s="148">
        <f t="shared" si="154"/>
        <v>6</v>
      </c>
      <c r="M359" s="148">
        <f t="shared" si="154"/>
        <v>7</v>
      </c>
      <c r="N359" s="148">
        <f t="shared" si="154"/>
        <v>8</v>
      </c>
      <c r="O359" s="148">
        <f t="shared" si="154"/>
        <v>9</v>
      </c>
      <c r="P359" s="148">
        <f t="shared" si="154"/>
        <v>10</v>
      </c>
      <c r="Q359" s="148">
        <f t="shared" si="154"/>
        <v>11</v>
      </c>
      <c r="R359" s="148">
        <f t="shared" si="154"/>
        <v>12</v>
      </c>
      <c r="S359" s="148">
        <f t="shared" si="154"/>
        <v>13</v>
      </c>
      <c r="T359" s="148">
        <f t="shared" si="154"/>
        <v>14</v>
      </c>
      <c r="U359" s="148">
        <f t="shared" si="154"/>
        <v>15</v>
      </c>
      <c r="V359" s="148">
        <f t="shared" si="154"/>
        <v>16</v>
      </c>
      <c r="W359" s="148">
        <f t="shared" si="154"/>
        <v>17</v>
      </c>
      <c r="X359" s="148">
        <f t="shared" si="154"/>
        <v>18</v>
      </c>
      <c r="Y359" s="148">
        <f t="shared" si="154"/>
        <v>19</v>
      </c>
      <c r="Z359" s="148">
        <f t="shared" si="154"/>
        <v>20</v>
      </c>
    </row>
    <row r="360" spans="2:26" ht="15.5">
      <c r="B360" s="33" t="s">
        <v>380</v>
      </c>
      <c r="D360" s="48"/>
      <c r="E360" s="48"/>
      <c r="F360" s="34">
        <f ca="1">+F$349</f>
        <v>-79919439.518322229</v>
      </c>
      <c r="G360" s="34">
        <f t="shared" ref="G360:Z360" ca="1" si="155">+G$349</f>
        <v>-102915802.49046016</v>
      </c>
      <c r="H360" s="34">
        <f t="shared" ca="1" si="155"/>
        <v>-93316106.469687939</v>
      </c>
      <c r="I360" s="34">
        <f t="shared" ca="1" si="155"/>
        <v>0</v>
      </c>
      <c r="J360" s="34">
        <f t="shared" ca="1" si="155"/>
        <v>0</v>
      </c>
      <c r="K360" s="34">
        <f t="shared" ca="1" si="155"/>
        <v>0</v>
      </c>
      <c r="L360" s="34">
        <f t="shared" ca="1" si="155"/>
        <v>0</v>
      </c>
      <c r="M360" s="34">
        <f t="shared" ca="1" si="155"/>
        <v>0</v>
      </c>
      <c r="N360" s="34">
        <f t="shared" ca="1" si="155"/>
        <v>0</v>
      </c>
      <c r="O360" s="34">
        <f t="shared" ca="1" si="155"/>
        <v>0</v>
      </c>
      <c r="P360" s="34">
        <f t="shared" ca="1" si="155"/>
        <v>0</v>
      </c>
      <c r="Q360" s="34">
        <f t="shared" ca="1" si="155"/>
        <v>0</v>
      </c>
      <c r="R360" s="34">
        <f t="shared" ca="1" si="155"/>
        <v>0</v>
      </c>
      <c r="S360" s="34">
        <f t="shared" ca="1" si="155"/>
        <v>0</v>
      </c>
      <c r="T360" s="34">
        <f t="shared" ca="1" si="155"/>
        <v>0</v>
      </c>
      <c r="U360" s="34">
        <f t="shared" ca="1" si="155"/>
        <v>0</v>
      </c>
      <c r="V360" s="34">
        <f t="shared" ca="1" si="155"/>
        <v>0</v>
      </c>
      <c r="W360" s="34">
        <f t="shared" ca="1" si="155"/>
        <v>0</v>
      </c>
      <c r="X360" s="34">
        <f t="shared" ca="1" si="155"/>
        <v>0</v>
      </c>
      <c r="Y360" s="34">
        <f t="shared" ca="1" si="155"/>
        <v>0</v>
      </c>
      <c r="Z360" s="34">
        <f t="shared" ca="1" si="155"/>
        <v>0</v>
      </c>
    </row>
    <row r="361" spans="2:26" ht="15.5">
      <c r="B361" s="33" t="s">
        <v>398</v>
      </c>
      <c r="D361" s="48"/>
      <c r="E361" s="48"/>
      <c r="F361" s="151">
        <v>0</v>
      </c>
      <c r="G361" s="151">
        <v>0</v>
      </c>
      <c r="H361" s="151">
        <v>0</v>
      </c>
      <c r="I361" s="151">
        <v>0</v>
      </c>
      <c r="J361" s="151">
        <v>0</v>
      </c>
      <c r="K361" s="151">
        <v>0</v>
      </c>
      <c r="L361" s="151">
        <v>0</v>
      </c>
      <c r="M361" s="151">
        <v>0</v>
      </c>
      <c r="N361" s="151">
        <v>0</v>
      </c>
      <c r="O361" s="151">
        <v>0</v>
      </c>
      <c r="P361" s="151">
        <v>0</v>
      </c>
      <c r="Q361" s="151">
        <v>0</v>
      </c>
      <c r="R361" s="151">
        <v>0</v>
      </c>
      <c r="S361" s="151">
        <v>0</v>
      </c>
      <c r="T361" s="151">
        <v>0</v>
      </c>
      <c r="U361" s="151">
        <v>0</v>
      </c>
      <c r="V361" s="151">
        <v>0</v>
      </c>
      <c r="W361" s="151">
        <v>0</v>
      </c>
      <c r="X361" s="151">
        <v>0</v>
      </c>
      <c r="Y361" s="151">
        <v>0</v>
      </c>
      <c r="Z361" s="151">
        <v>0</v>
      </c>
    </row>
    <row r="362" spans="2:26" ht="15.5">
      <c r="B362" s="33" t="s">
        <v>399</v>
      </c>
      <c r="D362" s="48"/>
      <c r="E362" s="48"/>
      <c r="F362" s="151">
        <v>0</v>
      </c>
      <c r="G362" s="151">
        <v>0</v>
      </c>
      <c r="H362" s="151">
        <v>0</v>
      </c>
      <c r="I362" s="151">
        <v>0</v>
      </c>
      <c r="J362" s="151">
        <v>0</v>
      </c>
      <c r="K362" s="151">
        <v>0</v>
      </c>
      <c r="L362" s="151">
        <v>0</v>
      </c>
      <c r="M362" s="151">
        <v>0</v>
      </c>
      <c r="N362" s="151">
        <v>0</v>
      </c>
      <c r="O362" s="151">
        <v>0</v>
      </c>
      <c r="P362" s="151">
        <v>0</v>
      </c>
      <c r="Q362" s="151">
        <v>0</v>
      </c>
      <c r="R362" s="151">
        <v>0</v>
      </c>
      <c r="S362" s="151">
        <v>0</v>
      </c>
      <c r="T362" s="151">
        <v>0</v>
      </c>
      <c r="U362" s="151">
        <v>0</v>
      </c>
      <c r="V362" s="151">
        <v>0</v>
      </c>
      <c r="W362" s="151">
        <v>0</v>
      </c>
      <c r="X362" s="151">
        <v>0</v>
      </c>
      <c r="Y362" s="151">
        <v>0</v>
      </c>
      <c r="Z362" s="151">
        <v>0</v>
      </c>
    </row>
    <row r="363" spans="2:26" ht="15.5">
      <c r="B363" s="33" t="s">
        <v>390</v>
      </c>
      <c r="D363" s="48"/>
      <c r="E363" s="48"/>
      <c r="F363" s="151">
        <f ca="1">-SUM(F390:F391)*Assumptions!$M$192</f>
        <v>0</v>
      </c>
      <c r="G363" s="151">
        <f ca="1">-SUM(G390:G391)*Assumptions!$M$192</f>
        <v>0</v>
      </c>
      <c r="H363" s="151">
        <f ca="1">-SUM(H390:H391)*Assumptions!$M$192</f>
        <v>0</v>
      </c>
      <c r="I363" s="151">
        <f ca="1">-SUM(I390:I391)*Assumptions!$M$192</f>
        <v>0</v>
      </c>
      <c r="J363" s="151">
        <f ca="1">-SUM(J390:J391)*Assumptions!$M$192</f>
        <v>-3716113.8484431254</v>
      </c>
      <c r="K363" s="151">
        <f ca="1">-SUM(K390:K391)*Assumptions!$M$192</f>
        <v>-6297171.5020137234</v>
      </c>
      <c r="L363" s="151">
        <f ca="1">-SUM(L390:L391)*Assumptions!$M$192</f>
        <v>-6375651.5667836526</v>
      </c>
      <c r="M363" s="151">
        <f>-SUM(M390:M391)*Assumptions!$M$192</f>
        <v>0</v>
      </c>
      <c r="N363" s="151">
        <f>-SUM(N390:N391)*Assumptions!$M$192</f>
        <v>0</v>
      </c>
      <c r="O363" s="151">
        <f>-SUM(O390:O391)*Assumptions!$M$192</f>
        <v>0</v>
      </c>
      <c r="P363" s="151">
        <f>-SUM(P390:P391)*Assumptions!$M$192</f>
        <v>0</v>
      </c>
      <c r="Q363" s="151">
        <f>-SUM(Q390:Q391)*Assumptions!$M$192</f>
        <v>0</v>
      </c>
      <c r="R363" s="151">
        <f>-SUM(R390:R391)*Assumptions!$M$192</f>
        <v>0</v>
      </c>
      <c r="S363" s="151">
        <f>-SUM(S390:S391)*Assumptions!$M$192</f>
        <v>0</v>
      </c>
      <c r="T363" s="151">
        <f>-SUM(T390:T391)*Assumptions!$M$192</f>
        <v>0</v>
      </c>
      <c r="U363" s="151">
        <f>-SUM(U390:U391)*Assumptions!$M$192</f>
        <v>0</v>
      </c>
      <c r="V363" s="151">
        <f>-SUM(V390:V391)*Assumptions!$M$192</f>
        <v>0</v>
      </c>
      <c r="W363" s="151">
        <f>-SUM(W390:W391)*Assumptions!$M$192</f>
        <v>0</v>
      </c>
      <c r="X363" s="151">
        <f>-SUM(X390:X391)*Assumptions!$M$192</f>
        <v>0</v>
      </c>
      <c r="Y363" s="151">
        <f>-SUM(Y390:Y391)*Assumptions!$M$192</f>
        <v>0</v>
      </c>
      <c r="Z363" s="151">
        <f>-SUM(Z390:Z391)*Assumptions!$M$192</f>
        <v>0</v>
      </c>
    </row>
    <row r="364" spans="2:26" ht="15.5">
      <c r="B364" s="33" t="s">
        <v>391</v>
      </c>
      <c r="D364" s="48"/>
      <c r="E364" s="48"/>
      <c r="F364" s="151">
        <f ca="1">+IF(YEAR(F$140)&lt;=YEAR(Assumptions!$H$30),F321,0)</f>
        <v>0</v>
      </c>
      <c r="G364" s="151">
        <f ca="1">+IF(YEAR(G$140)&lt;=YEAR(Assumptions!$H$30),G321,0)</f>
        <v>0</v>
      </c>
      <c r="H364" s="151">
        <f ca="1">+IF(YEAR(H$140)&lt;=YEAR(Assumptions!$H$30),H321,0)</f>
        <v>0</v>
      </c>
      <c r="I364" s="151">
        <f ca="1">+IF(YEAR(I$140)&lt;=YEAR(Assumptions!$H$30),I321,0)</f>
        <v>0</v>
      </c>
      <c r="J364" s="151">
        <f ca="1">+IF(YEAR(J$140)&lt;=YEAR(Assumptions!$H$30),J321,0)</f>
        <v>17695780.230681557</v>
      </c>
      <c r="K364" s="151">
        <f ca="1">+IF(YEAR(K$140)&lt;=YEAR(Assumptions!$H$30),K321,0)</f>
        <v>35754736.881444313</v>
      </c>
      <c r="L364" s="151">
        <f ca="1">+IF(YEAR(L$140)&lt;=YEAR(Assumptions!$H$30),L321,0)</f>
        <v>36128451.475586824</v>
      </c>
      <c r="M364" s="151">
        <f>+IF(YEAR(M$140)&lt;=YEAR(Assumptions!$H$30),M321,0)</f>
        <v>0</v>
      </c>
      <c r="N364" s="151">
        <f>+IF(YEAR(N$140)&lt;=YEAR(Assumptions!$H$30),N321,0)</f>
        <v>0</v>
      </c>
      <c r="O364" s="151">
        <f>+IF(YEAR(O$140)&lt;=YEAR(Assumptions!$H$30),O321,0)</f>
        <v>0</v>
      </c>
      <c r="P364" s="151">
        <f>+IF(YEAR(P$140)&lt;=YEAR(Assumptions!$H$30),P321,0)</f>
        <v>0</v>
      </c>
      <c r="Q364" s="151">
        <f>+IF(YEAR(Q$140)&lt;=YEAR(Assumptions!$H$30),Q321,0)</f>
        <v>0</v>
      </c>
      <c r="R364" s="151">
        <f>+IF(YEAR(R$140)&lt;=YEAR(Assumptions!$H$30),R321,0)</f>
        <v>0</v>
      </c>
      <c r="S364" s="151">
        <f>+IF(YEAR(S$140)&lt;=YEAR(Assumptions!$H$30),S321,0)</f>
        <v>0</v>
      </c>
      <c r="T364" s="151">
        <f>+IF(YEAR(T$140)&lt;=YEAR(Assumptions!$H$30),T321,0)</f>
        <v>0</v>
      </c>
      <c r="U364" s="151">
        <f>+IF(YEAR(U$140)&lt;=YEAR(Assumptions!$H$30),U321,0)</f>
        <v>0</v>
      </c>
      <c r="V364" s="151">
        <f>+IF(YEAR(V$140)&lt;=YEAR(Assumptions!$H$30),V321,0)</f>
        <v>0</v>
      </c>
      <c r="W364" s="151">
        <f>+IF(YEAR(W$140)&lt;=YEAR(Assumptions!$H$30),W321,0)</f>
        <v>0</v>
      </c>
      <c r="X364" s="151">
        <f>+IF(YEAR(X$140)&lt;=YEAR(Assumptions!$H$30),X321,0)</f>
        <v>0</v>
      </c>
      <c r="Y364" s="151">
        <f>+IF(YEAR(Y$140)&lt;=YEAR(Assumptions!$H$30),Y321,0)</f>
        <v>0</v>
      </c>
      <c r="Z364" s="151">
        <f>+IF(YEAR(Z$140)&lt;=YEAR(Assumptions!$H$30),Z321,0)</f>
        <v>0</v>
      </c>
    </row>
    <row r="365" spans="2:26" ht="15.5">
      <c r="B365" s="33" t="s">
        <v>385</v>
      </c>
      <c r="D365" s="48"/>
      <c r="E365" s="48"/>
      <c r="F365" s="151">
        <f>+IF(YEAR(F$140)&lt;=YEAR(Assumptions!$H$30),F326,0)</f>
        <v>0</v>
      </c>
      <c r="G365" s="151">
        <f>+IF(YEAR(G$140)&lt;=YEAR(Assumptions!$H$30),G326,0)</f>
        <v>0</v>
      </c>
      <c r="H365" s="151">
        <f>+IF(YEAR(H$140)&lt;=YEAR(Assumptions!$H$30),H326,0)</f>
        <v>0</v>
      </c>
      <c r="I365" s="151">
        <f>+IF(YEAR(I$140)&lt;=YEAR(Assumptions!$H$30),I326,0)</f>
        <v>0</v>
      </c>
      <c r="J365" s="151">
        <f>+IF(YEAR(J$140)&lt;=YEAR(Assumptions!$H$30),J326,0)</f>
        <v>0</v>
      </c>
      <c r="K365" s="151">
        <f>+IF(YEAR(K$140)&lt;=YEAR(Assumptions!$H$30),K326,0)</f>
        <v>0</v>
      </c>
      <c r="L365" s="151">
        <f ca="1">+IF(YEAR(L$140)&lt;=YEAR(Assumptions!$H$30),L326,0)</f>
        <v>543958413.62191713</v>
      </c>
      <c r="M365" s="151">
        <f>+IF(YEAR(M$140)&lt;=YEAR(Assumptions!$H$30),M326,0)</f>
        <v>0</v>
      </c>
      <c r="N365" s="151">
        <f>+IF(YEAR(N$140)&lt;=YEAR(Assumptions!$H$30),N326,0)</f>
        <v>0</v>
      </c>
      <c r="O365" s="151">
        <f>+IF(YEAR(O$140)&lt;=YEAR(Assumptions!$H$30),O326,0)</f>
        <v>0</v>
      </c>
      <c r="P365" s="151">
        <f>+IF(YEAR(P$140)&lt;=YEAR(Assumptions!$H$30),P326,0)</f>
        <v>0</v>
      </c>
      <c r="Q365" s="151">
        <f>+IF(YEAR(Q$140)&lt;=YEAR(Assumptions!$H$30),Q326,0)</f>
        <v>0</v>
      </c>
      <c r="R365" s="151">
        <f>+IF(YEAR(R$140)&lt;=YEAR(Assumptions!$H$30),R326,0)</f>
        <v>0</v>
      </c>
      <c r="S365" s="151">
        <f>+IF(YEAR(S$140)&lt;=YEAR(Assumptions!$H$30),S326,0)</f>
        <v>0</v>
      </c>
      <c r="T365" s="151">
        <f>+IF(YEAR(T$140)&lt;=YEAR(Assumptions!$H$30),T326,0)</f>
        <v>0</v>
      </c>
      <c r="U365" s="151">
        <f>+IF(YEAR(U$140)&lt;=YEAR(Assumptions!$H$30),U326,0)</f>
        <v>0</v>
      </c>
      <c r="V365" s="151">
        <f>+IF(YEAR(V$140)&lt;=YEAR(Assumptions!$H$30),V326,0)</f>
        <v>0</v>
      </c>
      <c r="W365" s="151">
        <f>+IF(YEAR(W$140)&lt;=YEAR(Assumptions!$H$30),W326,0)</f>
        <v>0</v>
      </c>
      <c r="X365" s="151">
        <f>+IF(YEAR(X$140)&lt;=YEAR(Assumptions!$H$30),X326,0)</f>
        <v>0</v>
      </c>
      <c r="Y365" s="151">
        <f>+IF(YEAR(Y$140)&lt;=YEAR(Assumptions!$H$30),Y326,0)</f>
        <v>0</v>
      </c>
      <c r="Z365" s="151">
        <f>+IF(YEAR(Z$140)&lt;=YEAR(Assumptions!$H$30),Z326,0)</f>
        <v>0</v>
      </c>
    </row>
    <row r="366" spans="2:26" ht="15.5">
      <c r="B366" s="33" t="s">
        <v>397</v>
      </c>
      <c r="D366" s="48"/>
      <c r="E366" s="48"/>
      <c r="F366" s="151">
        <f>-F394*Assumptions!$M$192</f>
        <v>0</v>
      </c>
      <c r="G366" s="151">
        <f>-G394*Assumptions!$M$192</f>
        <v>0</v>
      </c>
      <c r="H366" s="151">
        <f>-H394*Assumptions!$M$192</f>
        <v>0</v>
      </c>
      <c r="I366" s="151">
        <f>-I394*Assumptions!$M$192</f>
        <v>0</v>
      </c>
      <c r="J366" s="151">
        <f>-J394*Assumptions!$M$192</f>
        <v>0</v>
      </c>
      <c r="K366" s="151">
        <f>-K394*Assumptions!$M$192</f>
        <v>0</v>
      </c>
      <c r="L366" s="151">
        <f ca="1">-L394*Assumptions!$M$192</f>
        <v>-58662130.166302934</v>
      </c>
      <c r="M366" s="151">
        <f>-M394*Assumptions!$M$192</f>
        <v>0</v>
      </c>
      <c r="N366" s="151">
        <f>-N394*Assumptions!$M$192</f>
        <v>0</v>
      </c>
      <c r="O366" s="151">
        <f>-O394*Assumptions!$M$192</f>
        <v>0</v>
      </c>
      <c r="P366" s="151">
        <f>-P394*Assumptions!$M$192</f>
        <v>0</v>
      </c>
      <c r="Q366" s="151">
        <f>-Q394*Assumptions!$M$192</f>
        <v>0</v>
      </c>
      <c r="R366" s="151">
        <f>-R394*Assumptions!$M$192</f>
        <v>0</v>
      </c>
      <c r="S366" s="151">
        <f>-S394*Assumptions!$M$192</f>
        <v>0</v>
      </c>
      <c r="T366" s="151">
        <f>-T394*Assumptions!$M$192</f>
        <v>0</v>
      </c>
      <c r="U366" s="151">
        <f>-U394*Assumptions!$M$192</f>
        <v>0</v>
      </c>
      <c r="V366" s="151">
        <f>-V394*Assumptions!$M$192</f>
        <v>0</v>
      </c>
      <c r="W366" s="151">
        <f>-W394*Assumptions!$M$192</f>
        <v>0</v>
      </c>
      <c r="X366" s="151">
        <f>-X394*Assumptions!$M$192</f>
        <v>0</v>
      </c>
      <c r="Y366" s="151">
        <f>-Y394*Assumptions!$M$192</f>
        <v>0</v>
      </c>
      <c r="Z366" s="151">
        <f>-Z394*Assumptions!$M$192</f>
        <v>0</v>
      </c>
    </row>
    <row r="367" spans="2:26" ht="15.5">
      <c r="B367" s="138" t="s">
        <v>389</v>
      </c>
      <c r="C367" s="138"/>
      <c r="D367" s="139">
        <f t="shared" ref="D367" ca="1" si="156">+SUM(F367:Z367)</f>
        <v>282334966.64761567</v>
      </c>
      <c r="E367" s="139"/>
      <c r="F367" s="139">
        <f t="shared" ref="F367:Z367" ca="1" si="157">+SUM(F360:F366)</f>
        <v>-79919439.518322229</v>
      </c>
      <c r="G367" s="139">
        <f t="shared" ca="1" si="157"/>
        <v>-102915802.49046016</v>
      </c>
      <c r="H367" s="139">
        <f t="shared" ca="1" si="157"/>
        <v>-93316106.469687939</v>
      </c>
      <c r="I367" s="139">
        <f t="shared" ca="1" si="157"/>
        <v>0</v>
      </c>
      <c r="J367" s="139">
        <f t="shared" ca="1" si="157"/>
        <v>13979666.382238433</v>
      </c>
      <c r="K367" s="139">
        <f t="shared" ca="1" si="157"/>
        <v>29457565.379430588</v>
      </c>
      <c r="L367" s="139">
        <f t="shared" ca="1" si="157"/>
        <v>515049083.36441743</v>
      </c>
      <c r="M367" s="139">
        <f t="shared" ca="1" si="157"/>
        <v>0</v>
      </c>
      <c r="N367" s="139">
        <f t="shared" ca="1" si="157"/>
        <v>0</v>
      </c>
      <c r="O367" s="139">
        <f t="shared" ca="1" si="157"/>
        <v>0</v>
      </c>
      <c r="P367" s="139">
        <f t="shared" ca="1" si="157"/>
        <v>0</v>
      </c>
      <c r="Q367" s="139">
        <f t="shared" ca="1" si="157"/>
        <v>0</v>
      </c>
      <c r="R367" s="139">
        <f t="shared" ca="1" si="157"/>
        <v>0</v>
      </c>
      <c r="S367" s="139">
        <f t="shared" ca="1" si="157"/>
        <v>0</v>
      </c>
      <c r="T367" s="139">
        <f t="shared" ca="1" si="157"/>
        <v>0</v>
      </c>
      <c r="U367" s="139">
        <f t="shared" ca="1" si="157"/>
        <v>0</v>
      </c>
      <c r="V367" s="139">
        <f t="shared" ca="1" si="157"/>
        <v>0</v>
      </c>
      <c r="W367" s="139">
        <f t="shared" ca="1" si="157"/>
        <v>0</v>
      </c>
      <c r="X367" s="139">
        <f t="shared" ca="1" si="157"/>
        <v>0</v>
      </c>
      <c r="Y367" s="139">
        <f t="shared" ca="1" si="157"/>
        <v>0</v>
      </c>
      <c r="Z367" s="139">
        <f t="shared" ca="1" si="157"/>
        <v>0</v>
      </c>
    </row>
    <row r="368" spans="2:26" ht="15.5">
      <c r="B368" s="119"/>
    </row>
    <row r="369" spans="2:26" ht="15.5">
      <c r="B369" s="226" t="s">
        <v>402</v>
      </c>
      <c r="C369" s="226"/>
      <c r="D369" s="227">
        <f ca="1">+IRR(F367:Z367)</f>
        <v>0.15515771157937097</v>
      </c>
    </row>
    <row r="370" spans="2:26" ht="15.5">
      <c r="B370" s="119"/>
    </row>
    <row r="371" spans="2:26" ht="15.5">
      <c r="B371" s="148" t="s">
        <v>388</v>
      </c>
      <c r="F371" s="148">
        <f>+F359</f>
        <v>0</v>
      </c>
      <c r="G371" s="148">
        <f t="shared" ref="G371:Z372" si="158">+G359</f>
        <v>1</v>
      </c>
      <c r="H371" s="148">
        <f t="shared" si="158"/>
        <v>2</v>
      </c>
      <c r="I371" s="148">
        <f t="shared" si="158"/>
        <v>3</v>
      </c>
      <c r="J371" s="148">
        <f t="shared" si="158"/>
        <v>4</v>
      </c>
      <c r="K371" s="148">
        <f t="shared" si="158"/>
        <v>5</v>
      </c>
      <c r="L371" s="148">
        <f t="shared" si="158"/>
        <v>6</v>
      </c>
      <c r="M371" s="148">
        <f t="shared" si="158"/>
        <v>7</v>
      </c>
      <c r="N371" s="148">
        <f t="shared" si="158"/>
        <v>8</v>
      </c>
      <c r="O371" s="148">
        <f t="shared" si="158"/>
        <v>9</v>
      </c>
      <c r="P371" s="148">
        <f t="shared" si="158"/>
        <v>10</v>
      </c>
      <c r="Q371" s="148">
        <f t="shared" si="158"/>
        <v>11</v>
      </c>
      <c r="R371" s="148">
        <f t="shared" si="158"/>
        <v>12</v>
      </c>
      <c r="S371" s="148">
        <f t="shared" si="158"/>
        <v>13</v>
      </c>
      <c r="T371" s="148">
        <f t="shared" si="158"/>
        <v>14</v>
      </c>
      <c r="U371" s="148">
        <f t="shared" si="158"/>
        <v>15</v>
      </c>
      <c r="V371" s="148">
        <f t="shared" si="158"/>
        <v>16</v>
      </c>
      <c r="W371" s="148">
        <f t="shared" si="158"/>
        <v>17</v>
      </c>
      <c r="X371" s="148">
        <f t="shared" si="158"/>
        <v>18</v>
      </c>
      <c r="Y371" s="148">
        <f t="shared" si="158"/>
        <v>19</v>
      </c>
      <c r="Z371" s="148">
        <f t="shared" si="158"/>
        <v>20</v>
      </c>
    </row>
    <row r="372" spans="2:26" ht="15.5">
      <c r="B372" s="33" t="s">
        <v>380</v>
      </c>
      <c r="D372" s="48"/>
      <c r="E372" s="48"/>
      <c r="F372" s="34">
        <f ca="1">+F360</f>
        <v>-79919439.518322229</v>
      </c>
      <c r="G372" s="34">
        <f t="shared" ca="1" si="158"/>
        <v>-102915802.49046016</v>
      </c>
      <c r="H372" s="34">
        <f t="shared" ca="1" si="158"/>
        <v>-93316106.469687939</v>
      </c>
      <c r="I372" s="34">
        <f t="shared" ca="1" si="158"/>
        <v>0</v>
      </c>
      <c r="J372" s="34">
        <f t="shared" ca="1" si="158"/>
        <v>0</v>
      </c>
      <c r="K372" s="34">
        <f t="shared" ca="1" si="158"/>
        <v>0</v>
      </c>
      <c r="L372" s="34">
        <f t="shared" ca="1" si="158"/>
        <v>0</v>
      </c>
      <c r="M372" s="34">
        <f t="shared" ca="1" si="158"/>
        <v>0</v>
      </c>
      <c r="N372" s="34">
        <f t="shared" ca="1" si="158"/>
        <v>0</v>
      </c>
      <c r="O372" s="34">
        <f t="shared" ca="1" si="158"/>
        <v>0</v>
      </c>
      <c r="P372" s="34">
        <f t="shared" ca="1" si="158"/>
        <v>0</v>
      </c>
      <c r="Q372" s="34">
        <f t="shared" ca="1" si="158"/>
        <v>0</v>
      </c>
      <c r="R372" s="34">
        <f t="shared" ca="1" si="158"/>
        <v>0</v>
      </c>
      <c r="S372" s="34">
        <f t="shared" ca="1" si="158"/>
        <v>0</v>
      </c>
      <c r="T372" s="34">
        <f t="shared" ca="1" si="158"/>
        <v>0</v>
      </c>
      <c r="U372" s="34">
        <f t="shared" ca="1" si="158"/>
        <v>0</v>
      </c>
      <c r="V372" s="34">
        <f t="shared" ca="1" si="158"/>
        <v>0</v>
      </c>
      <c r="W372" s="34">
        <f t="shared" ca="1" si="158"/>
        <v>0</v>
      </c>
      <c r="X372" s="34">
        <f t="shared" ca="1" si="158"/>
        <v>0</v>
      </c>
      <c r="Y372" s="34">
        <f t="shared" ca="1" si="158"/>
        <v>0</v>
      </c>
      <c r="Z372" s="34">
        <f t="shared" ca="1" si="158"/>
        <v>0</v>
      </c>
    </row>
    <row r="373" spans="2:26" ht="15.5">
      <c r="B373" s="33" t="s">
        <v>398</v>
      </c>
      <c r="D373" s="48"/>
      <c r="E373" s="48"/>
      <c r="F373" s="151">
        <f ca="1">-F372*Assumptions!$M$192</f>
        <v>16783082.298847668</v>
      </c>
      <c r="G373" s="151">
        <f ca="1">-G372*Assumptions!$M$192</f>
        <v>21612318.522996631</v>
      </c>
      <c r="H373" s="151">
        <f ca="1">-H372*Assumptions!$M$192</f>
        <v>19596382.358634468</v>
      </c>
      <c r="I373" s="151">
        <f ca="1">-I372*Assumptions!$M$192</f>
        <v>0</v>
      </c>
      <c r="J373" s="151">
        <f ca="1">-J372*Assumptions!$M$192</f>
        <v>0</v>
      </c>
      <c r="K373" s="151">
        <f ca="1">-K372*Assumptions!$M$192</f>
        <v>0</v>
      </c>
      <c r="L373" s="151">
        <f ca="1">-L372*Assumptions!$M$192</f>
        <v>0</v>
      </c>
      <c r="M373" s="151">
        <f ca="1">-M372*Assumptions!$M$192</f>
        <v>0</v>
      </c>
      <c r="N373" s="151">
        <f ca="1">-N372*Assumptions!$M$192</f>
        <v>0</v>
      </c>
      <c r="O373" s="151">
        <f ca="1">-O372*Assumptions!$M$192</f>
        <v>0</v>
      </c>
      <c r="P373" s="151">
        <f ca="1">-P372*Assumptions!$M$192</f>
        <v>0</v>
      </c>
      <c r="Q373" s="151">
        <f ca="1">-Q372*Assumptions!$M$192</f>
        <v>0</v>
      </c>
      <c r="R373" s="151">
        <f ca="1">-R372*Assumptions!$M$192</f>
        <v>0</v>
      </c>
      <c r="S373" s="151">
        <f ca="1">-S372*Assumptions!$M$192</f>
        <v>0</v>
      </c>
      <c r="T373" s="151">
        <f ca="1">-T372*Assumptions!$M$192</f>
        <v>0</v>
      </c>
      <c r="U373" s="151">
        <f ca="1">-U372*Assumptions!$M$192</f>
        <v>0</v>
      </c>
      <c r="V373" s="151">
        <f ca="1">-V372*Assumptions!$M$192</f>
        <v>0</v>
      </c>
      <c r="W373" s="151">
        <f ca="1">-W372*Assumptions!$M$192</f>
        <v>0</v>
      </c>
      <c r="X373" s="151">
        <f ca="1">-X372*Assumptions!$M$192</f>
        <v>0</v>
      </c>
      <c r="Y373" s="151">
        <f ca="1">-Y372*Assumptions!$M$192</f>
        <v>0</v>
      </c>
      <c r="Z373" s="151">
        <f ca="1">-Z372*Assumptions!$M$192</f>
        <v>0</v>
      </c>
    </row>
    <row r="374" spans="2:26" ht="15.5">
      <c r="B374" s="33" t="s">
        <v>399</v>
      </c>
      <c r="D374" s="48"/>
      <c r="E374" s="48"/>
      <c r="F374" s="151">
        <f ca="1">IFERROR(-IF(YEAR(F357)&lt;MIN(YEAR(Assumptions!$H$30),2026),(OFFSET(F373,0,-10)),IF(YEAR(F357)=MIN(YEAR(Assumptions!$H$30),2026),SUM($E$373:F$373)-SUM($E$374:E$374),0)),0)</f>
        <v>0</v>
      </c>
      <c r="G374" s="151">
        <f ca="1">IFERROR(-IF(YEAR(G357)&lt;MIN(YEAR(Assumptions!$H$30),2026),(OFFSET(G373,0,-10)),IF(YEAR(G357)=MIN(YEAR(Assumptions!$H$30),2026),SUM($E$373:G$373)-SUM($E$374:F$374),0)),0)</f>
        <v>-38395400.821844295</v>
      </c>
      <c r="H374" s="151">
        <f ca="1">IFERROR(-IF(YEAR(H357)&lt;MIN(YEAR(Assumptions!$H$30),2026),(OFFSET(H373,0,-10)),IF(YEAR(H357)=MIN(YEAR(Assumptions!$H$30),2026),SUM($E$373:H$373)-SUM($E$374:G$374),0)),0)</f>
        <v>0</v>
      </c>
      <c r="I374" s="151">
        <f ca="1">IFERROR(-IF(YEAR(I357)&lt;MIN(YEAR(Assumptions!$H$30),2026),(OFFSET(I373,0,-10)),IF(YEAR(I357)=MIN(YEAR(Assumptions!$H$30),2026),SUM($E$373:I$373)-SUM($E$374:H$374),0)),0)</f>
        <v>0</v>
      </c>
      <c r="J374" s="151">
        <f ca="1">IFERROR(-IF(YEAR(J357)&lt;MIN(YEAR(Assumptions!$H$30),2026),(OFFSET(J373,0,-10)),IF(YEAR(J357)=MIN(YEAR(Assumptions!$H$30),2026),SUM($E$373:J$373)-SUM($E$374:I$374),0)),0)</f>
        <v>0</v>
      </c>
      <c r="K374" s="151">
        <f ca="1">IFERROR(-IF(YEAR(K357)&lt;MIN(YEAR(Assumptions!$H$30),2026),(OFFSET(K373,0,-10)),IF(YEAR(K357)=MIN(YEAR(Assumptions!$H$30),2026),SUM($E$373:K$373)-SUM($E$374:J$374),0)),0)</f>
        <v>0</v>
      </c>
      <c r="L374" s="151">
        <f ca="1">IFERROR(-IF(YEAR(L357)&lt;MIN(YEAR(Assumptions!$H$30),2026),(OFFSET(L373,0,-10)),IF(YEAR(L357)=MIN(YEAR(Assumptions!$H$30),2026),SUM($E$373:L$373)-SUM($E$374:K$374),0)),0)</f>
        <v>0</v>
      </c>
      <c r="M374" s="151">
        <f ca="1">IFERROR(-IF(YEAR(M357)&lt;MIN(YEAR(Assumptions!$H$30),2026),(OFFSET(M373,0,-10)),IF(YEAR(M357)=MIN(YEAR(Assumptions!$H$30),2026),SUM($E$373:M$373)-SUM($E$374:L$374),0)),0)</f>
        <v>0</v>
      </c>
      <c r="N374" s="151">
        <f ca="1">IFERROR(-IF(YEAR(N357)&lt;MIN(YEAR(Assumptions!$H$30),2026),(OFFSET(N373,0,-10)),IF(YEAR(N357)=MIN(YEAR(Assumptions!$H$30),2026),SUM($E$373:N$373)-SUM($E$374:M$374),0)),0)</f>
        <v>0</v>
      </c>
      <c r="O374" s="151">
        <f ca="1">IFERROR(-IF(YEAR(O357)&lt;MIN(YEAR(Assumptions!$H$30),2026),(OFFSET(O373,0,-10)),IF(YEAR(O357)=MIN(YEAR(Assumptions!$H$30),2026),SUM($E$373:O$373)-SUM($E$374:N$374),0)),0)</f>
        <v>0</v>
      </c>
      <c r="P374" s="151">
        <f ca="1">IFERROR(-IF(YEAR(P357)&lt;MIN(YEAR(Assumptions!$H$30),2026),(OFFSET(P373,0,-10)),IF(YEAR(P357)=MIN(YEAR(Assumptions!$H$30),2026),SUM($E$373:P$373)-SUM($E$374:O$374),0)),0)</f>
        <v>0</v>
      </c>
      <c r="Q374" s="151">
        <f ca="1">IFERROR(-IF(YEAR(Q357)&lt;MIN(YEAR(Assumptions!$H$30),2026),(OFFSET(Q373,0,-10)),IF(YEAR(Q357)=MIN(YEAR(Assumptions!$H$30),2026),SUM($E$373:Q$373)-SUM($E$374:P$374),0)),0)</f>
        <v>0</v>
      </c>
      <c r="R374" s="151">
        <f ca="1">IFERROR(-IF(YEAR(R357)&lt;MIN(YEAR(Assumptions!$H$30),2026),(OFFSET(R373,0,-10)),IF(YEAR(R357)=MIN(YEAR(Assumptions!$H$30),2026),SUM($E$373:R$373)-SUM($E$374:Q$374),0)),0)</f>
        <v>0</v>
      </c>
      <c r="S374" s="151">
        <f ca="1">IFERROR(-IF(YEAR(S357)&lt;MIN(YEAR(Assumptions!$H$30),2026),(OFFSET(S373,0,-10)),IF(YEAR(S357)=MIN(YEAR(Assumptions!$H$30),2026),SUM($E$373:S$373)-SUM($E$374:R$374),0)),0)</f>
        <v>0</v>
      </c>
      <c r="T374" s="151">
        <f ca="1">IFERROR(-IF(YEAR(T357)&lt;MIN(YEAR(Assumptions!$H$30),2026),(OFFSET(T373,0,-10)),IF(YEAR(T357)=MIN(YEAR(Assumptions!$H$30),2026),SUM($E$373:T$373)-SUM($E$374:S$374),0)),0)</f>
        <v>0</v>
      </c>
      <c r="U374" s="151">
        <f ca="1">IFERROR(-IF(YEAR(U357)&lt;MIN(YEAR(Assumptions!$H$30),2026),(OFFSET(U373,0,-10)),IF(YEAR(U357)=MIN(YEAR(Assumptions!$H$30),2026),SUM($E$373:U$373)-SUM($E$374:T$374),0)),0)</f>
        <v>0</v>
      </c>
      <c r="V374" s="151">
        <f ca="1">IFERROR(-IF(YEAR(V357)&lt;MIN(YEAR(Assumptions!$H$30),2026),(OFFSET(V373,0,-10)),IF(YEAR(V357)=MIN(YEAR(Assumptions!$H$30),2026),SUM($E$373:V$373)-SUM($E$374:U$374),0)),0)</f>
        <v>0</v>
      </c>
      <c r="W374" s="151">
        <f ca="1">IFERROR(-IF(YEAR(W357)&lt;MIN(YEAR(Assumptions!$H$30),2026),(OFFSET(W373,0,-10)),IF(YEAR(W357)=MIN(YEAR(Assumptions!$H$30),2026),SUM($E$373:W$373)-SUM($E$374:V$374),0)),0)</f>
        <v>0</v>
      </c>
      <c r="X374" s="151">
        <f ca="1">IFERROR(-IF(YEAR(X357)&lt;MIN(YEAR(Assumptions!$H$30),2026),(OFFSET(X373,0,-10)),IF(YEAR(X357)=MIN(YEAR(Assumptions!$H$30),2026),SUM($E$373:X$373)-SUM($E$374:W$374),0)),0)</f>
        <v>0</v>
      </c>
      <c r="Y374" s="151">
        <f ca="1">IFERROR(-IF(YEAR(Y357)&lt;MIN(YEAR(Assumptions!$H$30),2026),(OFFSET(Y373,0,-10)),IF(YEAR(Y357)=MIN(YEAR(Assumptions!$H$30),2026),SUM($E$373:Y$373)-SUM($E$374:X$374),0)),0)</f>
        <v>0</v>
      </c>
      <c r="Z374" s="151">
        <f ca="1">IFERROR(-IF(YEAR(Z357)&lt;MIN(YEAR(Assumptions!$H$30),2026),(OFFSET(Z373,0,-10)),IF(YEAR(Z357)=MIN(YEAR(Assumptions!$H$30),2026),SUM($E$373:Z$373)-SUM($E$374:Y$374),0)),0)</f>
        <v>0</v>
      </c>
    </row>
    <row r="375" spans="2:26" ht="15.5">
      <c r="B375" s="33" t="s">
        <v>400</v>
      </c>
      <c r="D375" s="48"/>
      <c r="E375" s="48"/>
      <c r="F375" s="151">
        <f>+IF(YEAR(F357)=MIN(YEAR(Assumptions!$H$30),2026),SUM($F$385:$Z$385),0)</f>
        <v>0</v>
      </c>
      <c r="G375" s="151">
        <f ca="1">+IF(YEAR(G357)=MIN(YEAR(Assumptions!$H$30),2026),SUM($F$385:$Z$385),0)</f>
        <v>3839540.0821844302</v>
      </c>
      <c r="H375" s="151">
        <f>+IF(YEAR(H357)=MIN(YEAR(Assumptions!$H$30),2026),SUM($F$385:$Z$385),0)</f>
        <v>0</v>
      </c>
      <c r="I375" s="151">
        <f>+IF(YEAR(I357)=MIN(YEAR(Assumptions!$H$30),2026),SUM($F$385:$Z$385),0)</f>
        <v>0</v>
      </c>
      <c r="J375" s="151">
        <f>+IF(YEAR(J357)=MIN(YEAR(Assumptions!$H$30),2026),SUM($F$385:$Z$385),0)</f>
        <v>0</v>
      </c>
      <c r="K375" s="151">
        <f>+IF(YEAR(K357)=MIN(YEAR(Assumptions!$H$30),2026),SUM($F$385:$Z$385),0)</f>
        <v>0</v>
      </c>
      <c r="L375" s="151">
        <f>+IF(YEAR(L357)=MIN(YEAR(Assumptions!$H$30),2026),SUM($F$385:$Z$385),0)</f>
        <v>0</v>
      </c>
      <c r="M375" s="151">
        <f>+IF(YEAR(M357)=MIN(YEAR(Assumptions!$H$30),2026),SUM($F$385:$Z$385),0)</f>
        <v>0</v>
      </c>
      <c r="N375" s="151">
        <f>+IF(YEAR(N357)=MIN(YEAR(Assumptions!$H$30),2026),SUM($F$385:$Z$385),0)</f>
        <v>0</v>
      </c>
      <c r="O375" s="151">
        <f>+IF(YEAR(O357)=MIN(YEAR(Assumptions!$H$30),2026),SUM($F$385:$Z$385),0)</f>
        <v>0</v>
      </c>
      <c r="P375" s="151">
        <f>+IF(YEAR(P357)=MIN(YEAR(Assumptions!$H$30),2026),SUM($F$385:$Z$385),0)</f>
        <v>0</v>
      </c>
      <c r="Q375" s="151">
        <f>+IF(YEAR(Q357)=MIN(YEAR(Assumptions!$H$30),2026),SUM($F$385:$Z$385),0)</f>
        <v>0</v>
      </c>
      <c r="R375" s="151">
        <f>+IF(YEAR(R357)=MIN(YEAR(Assumptions!$H$30),2026),SUM($F$385:$Z$385),0)</f>
        <v>0</v>
      </c>
      <c r="S375" s="151">
        <f>+IF(YEAR(S357)=MIN(YEAR(Assumptions!$H$30),2026),SUM($F$385:$Z$385),0)</f>
        <v>0</v>
      </c>
      <c r="T375" s="151">
        <f>+IF(YEAR(T357)=MIN(YEAR(Assumptions!$H$30),2026),SUM($F$385:$Z$385),0)</f>
        <v>0</v>
      </c>
      <c r="U375" s="151">
        <f>+IF(YEAR(U357)=MIN(YEAR(Assumptions!$H$30),2026),SUM($F$385:$Z$385),0)</f>
        <v>0</v>
      </c>
      <c r="V375" s="151">
        <f>+IF(YEAR(V357)=MIN(YEAR(Assumptions!$H$30),2026),SUM($F$385:$Z$385),0)</f>
        <v>0</v>
      </c>
      <c r="W375" s="151">
        <f>+IF(YEAR(W357)=MIN(YEAR(Assumptions!$H$30),2026),SUM($F$385:$Z$385),0)</f>
        <v>0</v>
      </c>
      <c r="X375" s="151">
        <f>+IF(YEAR(X357)=MIN(YEAR(Assumptions!$H$30),2026),SUM($F$385:$Z$385),0)</f>
        <v>0</v>
      </c>
      <c r="Y375" s="151">
        <f>+IF(YEAR(Y357)=MIN(YEAR(Assumptions!$H$30),2026),SUM($F$385:$Z$385),0)</f>
        <v>0</v>
      </c>
      <c r="Z375" s="151">
        <f>+IF(YEAR(Z357)=MIN(YEAR(Assumptions!$H$30),2026),SUM($F$385:$Z$385),0)</f>
        <v>0</v>
      </c>
    </row>
    <row r="376" spans="2:26" ht="15.5">
      <c r="B376" s="33" t="s">
        <v>390</v>
      </c>
      <c r="D376" s="48"/>
      <c r="E376" s="48"/>
      <c r="F376" s="151">
        <f ca="1">+F363</f>
        <v>0</v>
      </c>
      <c r="G376" s="151">
        <f t="shared" ref="G376:Z378" ca="1" si="159">+G363</f>
        <v>0</v>
      </c>
      <c r="H376" s="151">
        <f t="shared" ca="1" si="159"/>
        <v>0</v>
      </c>
      <c r="I376" s="151">
        <f t="shared" ca="1" si="159"/>
        <v>0</v>
      </c>
      <c r="J376" s="151">
        <f t="shared" ca="1" si="159"/>
        <v>-3716113.8484431254</v>
      </c>
      <c r="K376" s="151">
        <f t="shared" ca="1" si="159"/>
        <v>-6297171.5020137234</v>
      </c>
      <c r="L376" s="151">
        <f t="shared" ca="1" si="159"/>
        <v>-6375651.5667836526</v>
      </c>
      <c r="M376" s="151">
        <f t="shared" si="159"/>
        <v>0</v>
      </c>
      <c r="N376" s="151">
        <f t="shared" si="159"/>
        <v>0</v>
      </c>
      <c r="O376" s="151">
        <f t="shared" si="159"/>
        <v>0</v>
      </c>
      <c r="P376" s="151">
        <f t="shared" si="159"/>
        <v>0</v>
      </c>
      <c r="Q376" s="151">
        <f t="shared" si="159"/>
        <v>0</v>
      </c>
      <c r="R376" s="151">
        <f t="shared" si="159"/>
        <v>0</v>
      </c>
      <c r="S376" s="151">
        <f t="shared" si="159"/>
        <v>0</v>
      </c>
      <c r="T376" s="151">
        <f t="shared" si="159"/>
        <v>0</v>
      </c>
      <c r="U376" s="151">
        <f t="shared" si="159"/>
        <v>0</v>
      </c>
      <c r="V376" s="151">
        <f t="shared" si="159"/>
        <v>0</v>
      </c>
      <c r="W376" s="151">
        <f t="shared" si="159"/>
        <v>0</v>
      </c>
      <c r="X376" s="151">
        <f t="shared" si="159"/>
        <v>0</v>
      </c>
      <c r="Y376" s="151">
        <f t="shared" si="159"/>
        <v>0</v>
      </c>
      <c r="Z376" s="151">
        <f t="shared" si="159"/>
        <v>0</v>
      </c>
    </row>
    <row r="377" spans="2:26" ht="15.5">
      <c r="B377" s="33" t="s">
        <v>391</v>
      </c>
      <c r="D377" s="48"/>
      <c r="E377" s="48"/>
      <c r="F377" s="151">
        <f ca="1">+F364</f>
        <v>0</v>
      </c>
      <c r="G377" s="151">
        <f t="shared" ca="1" si="159"/>
        <v>0</v>
      </c>
      <c r="H377" s="151">
        <f t="shared" ca="1" si="159"/>
        <v>0</v>
      </c>
      <c r="I377" s="151">
        <f t="shared" ca="1" si="159"/>
        <v>0</v>
      </c>
      <c r="J377" s="151">
        <f t="shared" ca="1" si="159"/>
        <v>17695780.230681557</v>
      </c>
      <c r="K377" s="151">
        <f t="shared" ca="1" si="159"/>
        <v>35754736.881444313</v>
      </c>
      <c r="L377" s="151">
        <f t="shared" ca="1" si="159"/>
        <v>36128451.475586824</v>
      </c>
      <c r="M377" s="151">
        <f t="shared" si="159"/>
        <v>0</v>
      </c>
      <c r="N377" s="151">
        <f t="shared" si="159"/>
        <v>0</v>
      </c>
      <c r="O377" s="151">
        <f t="shared" si="159"/>
        <v>0</v>
      </c>
      <c r="P377" s="151">
        <f t="shared" si="159"/>
        <v>0</v>
      </c>
      <c r="Q377" s="151">
        <f t="shared" si="159"/>
        <v>0</v>
      </c>
      <c r="R377" s="151">
        <f t="shared" si="159"/>
        <v>0</v>
      </c>
      <c r="S377" s="151">
        <f t="shared" si="159"/>
        <v>0</v>
      </c>
      <c r="T377" s="151">
        <f t="shared" si="159"/>
        <v>0</v>
      </c>
      <c r="U377" s="151">
        <f t="shared" si="159"/>
        <v>0</v>
      </c>
      <c r="V377" s="151">
        <f t="shared" si="159"/>
        <v>0</v>
      </c>
      <c r="W377" s="151">
        <f t="shared" si="159"/>
        <v>0</v>
      </c>
      <c r="X377" s="151">
        <f t="shared" si="159"/>
        <v>0</v>
      </c>
      <c r="Y377" s="151">
        <f t="shared" si="159"/>
        <v>0</v>
      </c>
      <c r="Z377" s="151">
        <f t="shared" si="159"/>
        <v>0</v>
      </c>
    </row>
    <row r="378" spans="2:26" ht="15.5">
      <c r="B378" s="33" t="s">
        <v>385</v>
      </c>
      <c r="D378" s="48"/>
      <c r="E378" s="48"/>
      <c r="F378" s="151">
        <f>+F365</f>
        <v>0</v>
      </c>
      <c r="G378" s="151">
        <f t="shared" si="159"/>
        <v>0</v>
      </c>
      <c r="H378" s="151">
        <f t="shared" si="159"/>
        <v>0</v>
      </c>
      <c r="I378" s="151">
        <f t="shared" si="159"/>
        <v>0</v>
      </c>
      <c r="J378" s="151">
        <f t="shared" si="159"/>
        <v>0</v>
      </c>
      <c r="K378" s="151">
        <f t="shared" si="159"/>
        <v>0</v>
      </c>
      <c r="L378" s="151">
        <f t="shared" ca="1" si="159"/>
        <v>543958413.62191713</v>
      </c>
      <c r="M378" s="151">
        <f t="shared" si="159"/>
        <v>0</v>
      </c>
      <c r="N378" s="151">
        <f t="shared" si="159"/>
        <v>0</v>
      </c>
      <c r="O378" s="151">
        <f t="shared" si="159"/>
        <v>0</v>
      </c>
      <c r="P378" s="151">
        <f t="shared" si="159"/>
        <v>0</v>
      </c>
      <c r="Q378" s="151">
        <f t="shared" si="159"/>
        <v>0</v>
      </c>
      <c r="R378" s="151">
        <f t="shared" si="159"/>
        <v>0</v>
      </c>
      <c r="S378" s="151">
        <f t="shared" si="159"/>
        <v>0</v>
      </c>
      <c r="T378" s="151">
        <f t="shared" si="159"/>
        <v>0</v>
      </c>
      <c r="U378" s="151">
        <f t="shared" si="159"/>
        <v>0</v>
      </c>
      <c r="V378" s="151">
        <f t="shared" si="159"/>
        <v>0</v>
      </c>
      <c r="W378" s="151">
        <f t="shared" si="159"/>
        <v>0</v>
      </c>
      <c r="X378" s="151">
        <f t="shared" si="159"/>
        <v>0</v>
      </c>
      <c r="Y378" s="151">
        <f t="shared" si="159"/>
        <v>0</v>
      </c>
      <c r="Z378" s="151">
        <f t="shared" si="159"/>
        <v>0</v>
      </c>
    </row>
    <row r="379" spans="2:26" ht="15.5">
      <c r="B379" s="33" t="s">
        <v>397</v>
      </c>
      <c r="D379" s="48"/>
      <c r="E379" s="48"/>
      <c r="F379" s="151">
        <f>+IF(F359&gt;=10,0,F366)</f>
        <v>0</v>
      </c>
      <c r="G379" s="151">
        <f t="shared" ref="G379:Z379" si="160">+IF(G359&gt;=10,0,G366)</f>
        <v>0</v>
      </c>
      <c r="H379" s="151">
        <f t="shared" si="160"/>
        <v>0</v>
      </c>
      <c r="I379" s="151">
        <f t="shared" si="160"/>
        <v>0</v>
      </c>
      <c r="J379" s="151">
        <f t="shared" si="160"/>
        <v>0</v>
      </c>
      <c r="K379" s="151">
        <f t="shared" si="160"/>
        <v>0</v>
      </c>
      <c r="L379" s="151">
        <f t="shared" ca="1" si="160"/>
        <v>-58662130.166302934</v>
      </c>
      <c r="M379" s="151">
        <f t="shared" si="160"/>
        <v>0</v>
      </c>
      <c r="N379" s="151">
        <f t="shared" si="160"/>
        <v>0</v>
      </c>
      <c r="O379" s="151">
        <f t="shared" si="160"/>
        <v>0</v>
      </c>
      <c r="P379" s="151">
        <f t="shared" si="160"/>
        <v>0</v>
      </c>
      <c r="Q379" s="151">
        <f t="shared" si="160"/>
        <v>0</v>
      </c>
      <c r="R379" s="151">
        <f t="shared" si="160"/>
        <v>0</v>
      </c>
      <c r="S379" s="151">
        <f t="shared" si="160"/>
        <v>0</v>
      </c>
      <c r="T379" s="151">
        <f t="shared" si="160"/>
        <v>0</v>
      </c>
      <c r="U379" s="151">
        <f t="shared" si="160"/>
        <v>0</v>
      </c>
      <c r="V379" s="151">
        <f t="shared" si="160"/>
        <v>0</v>
      </c>
      <c r="W379" s="151">
        <f t="shared" si="160"/>
        <v>0</v>
      </c>
      <c r="X379" s="151">
        <f t="shared" si="160"/>
        <v>0</v>
      </c>
      <c r="Y379" s="151">
        <f t="shared" si="160"/>
        <v>0</v>
      </c>
      <c r="Z379" s="151">
        <f t="shared" si="160"/>
        <v>0</v>
      </c>
    </row>
    <row r="380" spans="2:26" ht="15.5">
      <c r="B380" s="138" t="s">
        <v>388</v>
      </c>
      <c r="C380" s="138"/>
      <c r="D380" s="139">
        <f t="shared" ref="D380" ca="1" si="161">+SUM(F380:Z380)</f>
        <v>305770889.08843458</v>
      </c>
      <c r="E380" s="139"/>
      <c r="F380" s="139">
        <f t="shared" ref="F380:Z380" ca="1" si="162">+SUM(F372:F379)</f>
        <v>-63136357.219474562</v>
      </c>
      <c r="G380" s="139">
        <f t="shared" ca="1" si="162"/>
        <v>-115859344.70712338</v>
      </c>
      <c r="H380" s="139">
        <f t="shared" ca="1" si="162"/>
        <v>-73719724.111053467</v>
      </c>
      <c r="I380" s="139">
        <f t="shared" ca="1" si="162"/>
        <v>0</v>
      </c>
      <c r="J380" s="139">
        <f t="shared" ca="1" si="162"/>
        <v>13979666.382238433</v>
      </c>
      <c r="K380" s="139">
        <f t="shared" ca="1" si="162"/>
        <v>29457565.379430588</v>
      </c>
      <c r="L380" s="139">
        <f t="shared" ca="1" si="162"/>
        <v>515049083.36441743</v>
      </c>
      <c r="M380" s="139">
        <f t="shared" ca="1" si="162"/>
        <v>0</v>
      </c>
      <c r="N380" s="139">
        <f t="shared" ca="1" si="162"/>
        <v>0</v>
      </c>
      <c r="O380" s="139">
        <f t="shared" ca="1" si="162"/>
        <v>0</v>
      </c>
      <c r="P380" s="139">
        <f t="shared" ca="1" si="162"/>
        <v>0</v>
      </c>
      <c r="Q380" s="139">
        <f t="shared" ca="1" si="162"/>
        <v>0</v>
      </c>
      <c r="R380" s="139">
        <f t="shared" ca="1" si="162"/>
        <v>0</v>
      </c>
      <c r="S380" s="139">
        <f t="shared" ca="1" si="162"/>
        <v>0</v>
      </c>
      <c r="T380" s="139">
        <f t="shared" ca="1" si="162"/>
        <v>0</v>
      </c>
      <c r="U380" s="139">
        <f t="shared" ca="1" si="162"/>
        <v>0</v>
      </c>
      <c r="V380" s="139">
        <f t="shared" ca="1" si="162"/>
        <v>0</v>
      </c>
      <c r="W380" s="139">
        <f t="shared" ca="1" si="162"/>
        <v>0</v>
      </c>
      <c r="X380" s="139">
        <f t="shared" ca="1" si="162"/>
        <v>0</v>
      </c>
      <c r="Y380" s="139">
        <f t="shared" ca="1" si="162"/>
        <v>0</v>
      </c>
      <c r="Z380" s="139">
        <f t="shared" ca="1" si="162"/>
        <v>0</v>
      </c>
    </row>
    <row r="382" spans="2:26" ht="15.5">
      <c r="B382" s="190" t="s">
        <v>403</v>
      </c>
      <c r="C382" s="190"/>
      <c r="D382" s="191">
        <f ca="1">+IRR(F380:Z380)</f>
        <v>0.17618000829741853</v>
      </c>
    </row>
    <row r="383" spans="2:26" ht="15.5">
      <c r="B383" s="194" t="s">
        <v>404</v>
      </c>
      <c r="C383" s="193"/>
      <c r="D383" s="228">
        <f ca="1">+D382/(1-Assumptions!$M$192)</f>
        <v>0.22301266873090952</v>
      </c>
    </row>
    <row r="385" spans="2:26">
      <c r="B385" s="41" t="s">
        <v>401</v>
      </c>
      <c r="F385" s="151">
        <f ca="1">IFERROR(IF(YEAR(F357)&lt;=YEAR(Assumptions!$H$30),10%*(OFFSET(F373,0,-5))+5%*(OFFSET(F373,0,-7)),0),0)</f>
        <v>0</v>
      </c>
      <c r="G385" s="151">
        <f ca="1">IFERROR(IF(YEAR(G357)&lt;=YEAR(Assumptions!$H$30),10%*(OFFSET(G373,0,-5))+5%*(OFFSET(G373,0,-7)),0),0)</f>
        <v>0</v>
      </c>
      <c r="H385" s="151">
        <f ca="1">IFERROR(IF(YEAR(H357)&lt;=YEAR(Assumptions!$H$30),10%*(OFFSET(H373,0,-5))+5%*(OFFSET(H373,0,-7)),0),0)</f>
        <v>0</v>
      </c>
      <c r="I385" s="151">
        <f ca="1">IFERROR(IF(YEAR(I357)&lt;=YEAR(Assumptions!$H$30),10%*(OFFSET(I373,0,-5))+5%*(OFFSET(I373,0,-7)),0),0)</f>
        <v>0</v>
      </c>
      <c r="J385" s="151">
        <f ca="1">IFERROR(IF(YEAR(J357)&lt;=YEAR(Assumptions!$H$30),10%*(OFFSET(J373,0,-5))+5%*(OFFSET(J373,0,-7)),0),0)</f>
        <v>0</v>
      </c>
      <c r="K385" s="151">
        <f ca="1">IFERROR(IF(YEAR(K357)&lt;=YEAR(Assumptions!$H$30),10%*(OFFSET(K373,0,-5))+5%*(OFFSET(K373,0,-7)),0),0)</f>
        <v>1678308.229884767</v>
      </c>
      <c r="L385" s="151">
        <f ca="1">IFERROR(IF(YEAR(L357)&lt;=YEAR(Assumptions!$H$30),10%*(OFFSET(L373,0,-5))+5%*(OFFSET(L373,0,-7)),0),0)</f>
        <v>2161231.8522996632</v>
      </c>
      <c r="M385" s="151">
        <f ca="1">IFERROR(IF(YEAR(M357)&lt;=YEAR(Assumptions!$H$30),10%*(OFFSET(M373,0,-5))+5%*(OFFSET(M373,0,-7)),0),0)</f>
        <v>0</v>
      </c>
      <c r="N385" s="151">
        <f ca="1">IFERROR(IF(YEAR(N357)&lt;=YEAR(Assumptions!$H$30),10%*(OFFSET(N373,0,-5))+5%*(OFFSET(N373,0,-7)),0),0)</f>
        <v>0</v>
      </c>
      <c r="O385" s="151">
        <f ca="1">IFERROR(IF(YEAR(O357)&lt;=YEAR(Assumptions!$H$30),10%*(OFFSET(O373,0,-5))+5%*(OFFSET(O373,0,-7)),0),0)</f>
        <v>0</v>
      </c>
      <c r="P385" s="151">
        <f ca="1">IFERROR(IF(YEAR(P357)&lt;=YEAR(Assumptions!$H$30),10%*(OFFSET(P373,0,-5))+5%*(OFFSET(P373,0,-7)),0),0)</f>
        <v>0</v>
      </c>
      <c r="Q385" s="151">
        <f ca="1">IFERROR(IF(YEAR(Q357)&lt;=YEAR(Assumptions!$H$30),10%*(OFFSET(Q373,0,-5))+5%*(OFFSET(Q373,0,-7)),0),0)</f>
        <v>0</v>
      </c>
      <c r="R385" s="151">
        <f ca="1">IFERROR(IF(YEAR(R357)&lt;=YEAR(Assumptions!$H$30),10%*(OFFSET(R373,0,-5))+5%*(OFFSET(R373,0,-7)),0),0)</f>
        <v>0</v>
      </c>
      <c r="S385" s="151">
        <f ca="1">IFERROR(IF(YEAR(S357)&lt;=YEAR(Assumptions!$H$30),10%*(OFFSET(S373,0,-5))+5%*(OFFSET(S373,0,-7)),0),0)</f>
        <v>0</v>
      </c>
      <c r="T385" s="151">
        <f ca="1">IFERROR(IF(YEAR(T357)&lt;=YEAR(Assumptions!$H$30),10%*(OFFSET(T373,0,-5))+5%*(OFFSET(T373,0,-7)),0),0)</f>
        <v>0</v>
      </c>
      <c r="U385" s="151">
        <f ca="1">IFERROR(IF(YEAR(U357)&lt;=YEAR(Assumptions!$H$30),10%*(OFFSET(U373,0,-5))+5%*(OFFSET(U373,0,-7)),0),0)</f>
        <v>0</v>
      </c>
      <c r="V385" s="151">
        <f ca="1">IFERROR(IF(YEAR(V357)&lt;=YEAR(Assumptions!$H$30),10%*(OFFSET(V373,0,-5))+5%*(OFFSET(V373,0,-7)),0),0)</f>
        <v>0</v>
      </c>
      <c r="W385" s="151">
        <f ca="1">IFERROR(IF(YEAR(W357)&lt;=YEAR(Assumptions!$H$30),10%*(OFFSET(W373,0,-5))+5%*(OFFSET(W373,0,-7)),0),0)</f>
        <v>0</v>
      </c>
      <c r="X385" s="151">
        <f ca="1">IFERROR(IF(YEAR(X357)&lt;=YEAR(Assumptions!$H$30),10%*(OFFSET(X373,0,-5))+5%*(OFFSET(X373,0,-7)),0),0)</f>
        <v>0</v>
      </c>
      <c r="Y385" s="151">
        <f ca="1">IFERROR(IF(YEAR(Y357)&lt;=YEAR(Assumptions!$H$30),10%*(OFFSET(Y373,0,-5))+5%*(OFFSET(Y373,0,-7)),0),0)</f>
        <v>0</v>
      </c>
      <c r="Z385" s="151">
        <f ca="1">IFERROR(IF(YEAR(Z357)&lt;=YEAR(Assumptions!$H$30),10%*(OFFSET(Z373,0,-5))+5%*(OFFSET(Z373,0,-7)),0),0)</f>
        <v>0</v>
      </c>
    </row>
    <row r="387" spans="2:26" ht="15.5">
      <c r="B387" s="148" t="s">
        <v>381</v>
      </c>
    </row>
    <row r="388" spans="2:26" ht="15.5">
      <c r="B388" s="33" t="s">
        <v>382</v>
      </c>
      <c r="D388" s="48">
        <f ca="1">+SUM(F388:Z388)</f>
        <v>1361591869.5215118</v>
      </c>
      <c r="E388" s="48"/>
      <c r="F388" s="34">
        <v>0</v>
      </c>
      <c r="G388" s="34">
        <f ca="1">+F395</f>
        <v>79919439.518322229</v>
      </c>
      <c r="H388" s="34">
        <f t="shared" ref="H388:Z388" ca="1" si="163">+G395</f>
        <v>182835242.00878239</v>
      </c>
      <c r="I388" s="34">
        <f t="shared" ca="1" si="163"/>
        <v>276151348.47847033</v>
      </c>
      <c r="J388" s="34">
        <f t="shared" ca="1" si="163"/>
        <v>276151348.47847033</v>
      </c>
      <c r="K388" s="34">
        <f t="shared" ca="1" si="163"/>
        <v>276151348.47847033</v>
      </c>
      <c r="L388" s="34">
        <f t="shared" ca="1" si="163"/>
        <v>270383142.55899614</v>
      </c>
      <c r="M388" s="34">
        <f t="shared" ca="1" si="163"/>
        <v>0</v>
      </c>
      <c r="N388" s="34">
        <f t="shared" ca="1" si="163"/>
        <v>0</v>
      </c>
      <c r="O388" s="34">
        <f t="shared" ca="1" si="163"/>
        <v>0</v>
      </c>
      <c r="P388" s="34">
        <f t="shared" ca="1" si="163"/>
        <v>0</v>
      </c>
      <c r="Q388" s="34">
        <f t="shared" ca="1" si="163"/>
        <v>0</v>
      </c>
      <c r="R388" s="34">
        <f t="shared" ca="1" si="163"/>
        <v>0</v>
      </c>
      <c r="S388" s="34">
        <f t="shared" ca="1" si="163"/>
        <v>0</v>
      </c>
      <c r="T388" s="34">
        <f t="shared" ca="1" si="163"/>
        <v>0</v>
      </c>
      <c r="U388" s="34">
        <f t="shared" ca="1" si="163"/>
        <v>0</v>
      </c>
      <c r="V388" s="34">
        <f t="shared" ca="1" si="163"/>
        <v>0</v>
      </c>
      <c r="W388" s="34">
        <f t="shared" ca="1" si="163"/>
        <v>0</v>
      </c>
      <c r="X388" s="34">
        <f t="shared" ca="1" si="163"/>
        <v>0</v>
      </c>
      <c r="Y388" s="34">
        <f t="shared" ca="1" si="163"/>
        <v>0</v>
      </c>
      <c r="Z388" s="34">
        <f t="shared" ca="1" si="163"/>
        <v>0</v>
      </c>
    </row>
    <row r="389" spans="2:26" ht="15.5">
      <c r="B389" s="33" t="s">
        <v>380</v>
      </c>
      <c r="D389" s="48">
        <f t="shared" ref="D389:D394" ca="1" si="164">+SUM(F389:Z389)</f>
        <v>276151348.47847033</v>
      </c>
      <c r="E389" s="48"/>
      <c r="F389" s="151">
        <f ca="1">-F360</f>
        <v>79919439.518322229</v>
      </c>
      <c r="G389" s="151">
        <f t="shared" ref="G389:Z389" ca="1" si="165">-G360</f>
        <v>102915802.49046016</v>
      </c>
      <c r="H389" s="151">
        <f t="shared" ca="1" si="165"/>
        <v>93316106.469687939</v>
      </c>
      <c r="I389" s="151">
        <f t="shared" ca="1" si="165"/>
        <v>0</v>
      </c>
      <c r="J389" s="151">
        <f t="shared" ca="1" si="165"/>
        <v>0</v>
      </c>
      <c r="K389" s="151">
        <f t="shared" ca="1" si="165"/>
        <v>0</v>
      </c>
      <c r="L389" s="151">
        <f t="shared" ca="1" si="165"/>
        <v>0</v>
      </c>
      <c r="M389" s="151">
        <f t="shared" ca="1" si="165"/>
        <v>0</v>
      </c>
      <c r="N389" s="151">
        <f t="shared" ca="1" si="165"/>
        <v>0</v>
      </c>
      <c r="O389" s="151">
        <f t="shared" ca="1" si="165"/>
        <v>0</v>
      </c>
      <c r="P389" s="151">
        <f t="shared" ca="1" si="165"/>
        <v>0</v>
      </c>
      <c r="Q389" s="151">
        <f t="shared" ca="1" si="165"/>
        <v>0</v>
      </c>
      <c r="R389" s="151">
        <f t="shared" ca="1" si="165"/>
        <v>0</v>
      </c>
      <c r="S389" s="151">
        <f t="shared" ca="1" si="165"/>
        <v>0</v>
      </c>
      <c r="T389" s="151">
        <f t="shared" ca="1" si="165"/>
        <v>0</v>
      </c>
      <c r="U389" s="151">
        <f t="shared" ca="1" si="165"/>
        <v>0</v>
      </c>
      <c r="V389" s="151">
        <f t="shared" ca="1" si="165"/>
        <v>0</v>
      </c>
      <c r="W389" s="151">
        <f t="shared" ca="1" si="165"/>
        <v>0</v>
      </c>
      <c r="X389" s="151">
        <f t="shared" ca="1" si="165"/>
        <v>0</v>
      </c>
      <c r="Y389" s="151">
        <f t="shared" ca="1" si="165"/>
        <v>0</v>
      </c>
      <c r="Z389" s="151">
        <f t="shared" ca="1" si="165"/>
        <v>0</v>
      </c>
    </row>
    <row r="390" spans="2:26" ht="15.5">
      <c r="B390" s="33" t="s">
        <v>233</v>
      </c>
      <c r="D390" s="48">
        <f t="shared" ca="1" si="164"/>
        <v>89578968.58771266</v>
      </c>
      <c r="E390" s="48"/>
      <c r="F390" s="151">
        <f ca="1">IF(F357&lt;=Assumptions!$H$30,F321,0)</f>
        <v>0</v>
      </c>
      <c r="G390" s="151">
        <f ca="1">IF(G357&lt;=Assumptions!$H$30,G321,0)</f>
        <v>0</v>
      </c>
      <c r="H390" s="151">
        <f ca="1">IF(H357&lt;=Assumptions!$H$30,H321,0)</f>
        <v>0</v>
      </c>
      <c r="I390" s="151">
        <f ca="1">IF(I357&lt;=Assumptions!$H$30,I321,0)</f>
        <v>0</v>
      </c>
      <c r="J390" s="151">
        <f ca="1">IF(J357&lt;=Assumptions!$H$30,J321,0)</f>
        <v>17695780.230681557</v>
      </c>
      <c r="K390" s="151">
        <f ca="1">IF(K357&lt;=Assumptions!$H$30,K321,0)</f>
        <v>35754736.881444313</v>
      </c>
      <c r="L390" s="151">
        <f ca="1">IF(L357&lt;=Assumptions!$H$30,L321,0)</f>
        <v>36128451.475586824</v>
      </c>
      <c r="M390" s="151">
        <f>IF(M357&lt;=Assumptions!$H$30,M321,0)</f>
        <v>0</v>
      </c>
      <c r="N390" s="151">
        <f>IF(N357&lt;=Assumptions!$H$30,N321,0)</f>
        <v>0</v>
      </c>
      <c r="O390" s="151">
        <f>IF(O357&lt;=Assumptions!$H$30,O321,0)</f>
        <v>0</v>
      </c>
      <c r="P390" s="151">
        <f>IF(P357&lt;=Assumptions!$H$30,P321,0)</f>
        <v>0</v>
      </c>
      <c r="Q390" s="151">
        <f>IF(Q357&lt;=Assumptions!$H$30,Q321,0)</f>
        <v>0</v>
      </c>
      <c r="R390" s="151">
        <f>IF(R357&lt;=Assumptions!$H$30,R321,0)</f>
        <v>0</v>
      </c>
      <c r="S390" s="151">
        <f>IF(S357&lt;=Assumptions!$H$30,S321,0)</f>
        <v>0</v>
      </c>
      <c r="T390" s="151">
        <f>IF(T357&lt;=Assumptions!$H$30,T321,0)</f>
        <v>0</v>
      </c>
      <c r="U390" s="151">
        <f>IF(U357&lt;=Assumptions!$H$30,U321,0)</f>
        <v>0</v>
      </c>
      <c r="V390" s="151">
        <f>IF(V357&lt;=Assumptions!$H$30,V321,0)</f>
        <v>0</v>
      </c>
      <c r="W390" s="151">
        <f>IF(W357&lt;=Assumptions!$H$30,W321,0)</f>
        <v>0</v>
      </c>
      <c r="X390" s="151">
        <f>IF(X357&lt;=Assumptions!$H$30,X321,0)</f>
        <v>0</v>
      </c>
      <c r="Y390" s="151">
        <f>IF(Y357&lt;=Assumptions!$H$30,Y321,0)</f>
        <v>0</v>
      </c>
      <c r="Z390" s="151">
        <f>IF(Z357&lt;=Assumptions!$H$30,Z321,0)</f>
        <v>0</v>
      </c>
    </row>
    <row r="391" spans="2:26" ht="15.5">
      <c r="B391" s="33" t="s">
        <v>392</v>
      </c>
      <c r="D391" s="48">
        <f t="shared" si="164"/>
        <v>-11536411.838948369</v>
      </c>
      <c r="E391" s="48"/>
      <c r="F391" s="151">
        <f>-IF(AND(F357&gt;Assumptions!$H$26,F357&lt;=Assumptions!$H$30),Budget!$I$82*Assumptions!$M$194/Assumptions!$M$193,0)</f>
        <v>0</v>
      </c>
      <c r="G391" s="151">
        <f>-IF(AND(G357&gt;Assumptions!$H$26,G357&lt;=Assumptions!$H$30),Budget!$I$82*Assumptions!$M$194/Assumptions!$M$193,0)</f>
        <v>0</v>
      </c>
      <c r="H391" s="151">
        <f>-IF(AND(H357&gt;Assumptions!$H$26,H357&lt;=Assumptions!$H$30),Budget!$I$82*Assumptions!$M$194/Assumptions!$M$193,0)</f>
        <v>0</v>
      </c>
      <c r="I391" s="151">
        <f>-IF(AND(I357&gt;Assumptions!$H$26,I357&lt;=Assumptions!$H$30),Budget!$I$82*Assumptions!$M$194/Assumptions!$M$193,0)</f>
        <v>0</v>
      </c>
      <c r="J391" s="151">
        <f>-IF(AND(J357&gt;Assumptions!$H$26,J357&lt;=Assumptions!$H$30),Budget!$I$82*Assumptions!$M$194/Assumptions!$M$193,0)</f>
        <v>0</v>
      </c>
      <c r="K391" s="151">
        <f>-IF(AND(K357&gt;Assumptions!$H$26,K357&lt;=Assumptions!$H$30),Budget!$I$82*Assumptions!$M$194/Assumptions!$M$193,0)</f>
        <v>-5768205.9194741845</v>
      </c>
      <c r="L391" s="151">
        <f>-IF(AND(L357&gt;Assumptions!$H$26,L357&lt;=Assumptions!$H$30),Budget!$I$82*Assumptions!$M$194/Assumptions!$M$193,0)</f>
        <v>-5768205.9194741845</v>
      </c>
      <c r="M391" s="151">
        <f>-IF(AND(M357&gt;Assumptions!$H$26,M357&lt;=Assumptions!$H$30),Budget!$I$82*Assumptions!$M$194/Assumptions!$M$193,0)</f>
        <v>0</v>
      </c>
      <c r="N391" s="151">
        <f>-IF(AND(N357&gt;Assumptions!$H$26,N357&lt;=Assumptions!$H$30),Budget!$I$82*Assumptions!$M$194/Assumptions!$M$193,0)</f>
        <v>0</v>
      </c>
      <c r="O391" s="151">
        <f>-IF(AND(O357&gt;Assumptions!$H$26,O357&lt;=Assumptions!$H$30),Budget!$I$82*Assumptions!$M$194/Assumptions!$M$193,0)</f>
        <v>0</v>
      </c>
      <c r="P391" s="151">
        <f>-IF(AND(P357&gt;Assumptions!$H$26,P357&lt;=Assumptions!$H$30),Budget!$I$82*Assumptions!$M$194/Assumptions!$M$193,0)</f>
        <v>0</v>
      </c>
      <c r="Q391" s="151">
        <f>-IF(AND(Q357&gt;Assumptions!$H$26,Q357&lt;=Assumptions!$H$30),Budget!$I$82*Assumptions!$M$194/Assumptions!$M$193,0)</f>
        <v>0</v>
      </c>
      <c r="R391" s="151">
        <f>-IF(AND(R357&gt;Assumptions!$H$26,R357&lt;=Assumptions!$H$30),Budget!$I$82*Assumptions!$M$194/Assumptions!$M$193,0)</f>
        <v>0</v>
      </c>
      <c r="S391" s="151">
        <f>-IF(AND(S357&gt;Assumptions!$H$26,S357&lt;=Assumptions!$H$30),Budget!$I$82*Assumptions!$M$194/Assumptions!$M$193,0)</f>
        <v>0</v>
      </c>
      <c r="T391" s="151">
        <f>-IF(AND(T357&gt;Assumptions!$H$26,T357&lt;=Assumptions!$H$30),Budget!$I$82*Assumptions!$M$194/Assumptions!$M$193,0)</f>
        <v>0</v>
      </c>
      <c r="U391" s="151">
        <f>-IF(AND(U357&gt;Assumptions!$H$26,U357&lt;=Assumptions!$H$30),Budget!$I$82*Assumptions!$M$194/Assumptions!$M$193,0)</f>
        <v>0</v>
      </c>
      <c r="V391" s="151">
        <f>-IF(AND(V357&gt;Assumptions!$H$26,V357&lt;=Assumptions!$H$30),Budget!$I$82*Assumptions!$M$194/Assumptions!$M$193,0)</f>
        <v>0</v>
      </c>
      <c r="W391" s="151">
        <f>-IF(AND(W357&gt;Assumptions!$H$26,W357&lt;=Assumptions!$H$30),Budget!$I$82*Assumptions!$M$194/Assumptions!$M$193,0)</f>
        <v>0</v>
      </c>
      <c r="X391" s="151">
        <f>-IF(AND(X357&gt;Assumptions!$H$26,X357&lt;=Assumptions!$H$30),Budget!$I$82*Assumptions!$M$194/Assumptions!$M$193,0)</f>
        <v>0</v>
      </c>
      <c r="Y391" s="151">
        <f>-IF(AND(Y357&gt;Assumptions!$H$26,Y357&lt;=Assumptions!$H$30),Budget!$I$82*Assumptions!$M$194/Assumptions!$M$193,0)</f>
        <v>0</v>
      </c>
      <c r="Z391" s="151">
        <f>-IF(AND(Z357&gt;Assumptions!$H$26,Z357&lt;=Assumptions!$H$30),Budget!$I$82*Assumptions!$M$194/Assumptions!$M$193,0)</f>
        <v>0</v>
      </c>
    </row>
    <row r="392" spans="2:26" ht="15.5">
      <c r="B392" s="33" t="s">
        <v>383</v>
      </c>
      <c r="D392" s="48">
        <f t="shared" ca="1" si="164"/>
        <v>-89578968.58771266</v>
      </c>
      <c r="E392" s="48"/>
      <c r="F392" s="151">
        <f ca="1">-F364</f>
        <v>0</v>
      </c>
      <c r="G392" s="151">
        <f t="shared" ref="G392:Z393" ca="1" si="166">-G364</f>
        <v>0</v>
      </c>
      <c r="H392" s="151">
        <f t="shared" ca="1" si="166"/>
        <v>0</v>
      </c>
      <c r="I392" s="151">
        <f t="shared" ca="1" si="166"/>
        <v>0</v>
      </c>
      <c r="J392" s="151">
        <f t="shared" ca="1" si="166"/>
        <v>-17695780.230681557</v>
      </c>
      <c r="K392" s="151">
        <f t="shared" ca="1" si="166"/>
        <v>-35754736.881444313</v>
      </c>
      <c r="L392" s="151">
        <f t="shared" ca="1" si="166"/>
        <v>-36128451.475586824</v>
      </c>
      <c r="M392" s="151">
        <f t="shared" si="166"/>
        <v>0</v>
      </c>
      <c r="N392" s="151">
        <f t="shared" si="166"/>
        <v>0</v>
      </c>
      <c r="O392" s="151">
        <f t="shared" si="166"/>
        <v>0</v>
      </c>
      <c r="P392" s="151">
        <f t="shared" si="166"/>
        <v>0</v>
      </c>
      <c r="Q392" s="151">
        <f t="shared" si="166"/>
        <v>0</v>
      </c>
      <c r="R392" s="151">
        <f t="shared" si="166"/>
        <v>0</v>
      </c>
      <c r="S392" s="151">
        <f t="shared" si="166"/>
        <v>0</v>
      </c>
      <c r="T392" s="151">
        <f t="shared" si="166"/>
        <v>0</v>
      </c>
      <c r="U392" s="151">
        <f t="shared" si="166"/>
        <v>0</v>
      </c>
      <c r="V392" s="151">
        <f t="shared" si="166"/>
        <v>0</v>
      </c>
      <c r="W392" s="151">
        <f t="shared" si="166"/>
        <v>0</v>
      </c>
      <c r="X392" s="151">
        <f t="shared" si="166"/>
        <v>0</v>
      </c>
      <c r="Y392" s="151">
        <f t="shared" si="166"/>
        <v>0</v>
      </c>
      <c r="Z392" s="151">
        <f t="shared" si="166"/>
        <v>0</v>
      </c>
    </row>
    <row r="393" spans="2:26" ht="15.5">
      <c r="B393" s="33" t="s">
        <v>385</v>
      </c>
      <c r="D393" s="48">
        <f t="shared" ca="1" si="164"/>
        <v>-543958413.62191689</v>
      </c>
      <c r="E393" s="48"/>
      <c r="F393" s="151">
        <f>-F365</f>
        <v>0</v>
      </c>
      <c r="G393" s="151">
        <f t="shared" si="166"/>
        <v>0</v>
      </c>
      <c r="H393" s="151">
        <f t="shared" si="166"/>
        <v>0</v>
      </c>
      <c r="I393" s="151">
        <f t="shared" si="166"/>
        <v>0</v>
      </c>
      <c r="J393" s="151">
        <f t="shared" si="166"/>
        <v>0</v>
      </c>
      <c r="K393" s="151">
        <f t="shared" si="166"/>
        <v>0</v>
      </c>
      <c r="L393" s="151">
        <f t="shared" ca="1" si="166"/>
        <v>-543958413.62191713</v>
      </c>
      <c r="M393" s="151">
        <f t="shared" si="166"/>
        <v>0</v>
      </c>
      <c r="N393" s="151">
        <f t="shared" si="166"/>
        <v>0</v>
      </c>
      <c r="O393" s="151">
        <f t="shared" si="166"/>
        <v>0</v>
      </c>
      <c r="P393" s="151">
        <f t="shared" si="166"/>
        <v>0</v>
      </c>
      <c r="Q393" s="151">
        <f t="shared" si="166"/>
        <v>0</v>
      </c>
      <c r="R393" s="151">
        <f t="shared" si="166"/>
        <v>0</v>
      </c>
      <c r="S393" s="151">
        <f t="shared" si="166"/>
        <v>0</v>
      </c>
      <c r="T393" s="151">
        <f t="shared" si="166"/>
        <v>0</v>
      </c>
      <c r="U393" s="151">
        <f t="shared" si="166"/>
        <v>0</v>
      </c>
      <c r="V393" s="151">
        <f t="shared" si="166"/>
        <v>0</v>
      </c>
      <c r="W393" s="151">
        <f t="shared" si="166"/>
        <v>0</v>
      </c>
      <c r="X393" s="151">
        <f t="shared" si="166"/>
        <v>0</v>
      </c>
      <c r="Y393" s="151">
        <f t="shared" si="166"/>
        <v>0</v>
      </c>
      <c r="Z393" s="151">
        <f t="shared" si="166"/>
        <v>0</v>
      </c>
    </row>
    <row r="394" spans="2:26" ht="15.5">
      <c r="B394" s="33" t="s">
        <v>396</v>
      </c>
      <c r="D394" s="48">
        <f t="shared" ca="1" si="164"/>
        <v>279343476.98239493</v>
      </c>
      <c r="E394" s="48"/>
      <c r="F394" s="151">
        <f>-IF(YEAR(F357)=YEAR(Assumptions!$H$30),SUM(F388:F393),0)</f>
        <v>0</v>
      </c>
      <c r="G394" s="151">
        <f>-IF(YEAR(G357)=YEAR(Assumptions!$H$30),SUM(G388:G393),0)</f>
        <v>0</v>
      </c>
      <c r="H394" s="151">
        <f>-IF(YEAR(H357)=YEAR(Assumptions!$H$30),SUM(H388:H393),0)</f>
        <v>0</v>
      </c>
      <c r="I394" s="151">
        <f>-IF(YEAR(I357)=YEAR(Assumptions!$H$30),SUM(I388:I393),0)</f>
        <v>0</v>
      </c>
      <c r="J394" s="151">
        <f>-IF(YEAR(J357)=YEAR(Assumptions!$H$30),SUM(J388:J393),0)</f>
        <v>0</v>
      </c>
      <c r="K394" s="151">
        <f>-IF(YEAR(K357)=YEAR(Assumptions!$H$30),SUM(K388:K393),0)</f>
        <v>0</v>
      </c>
      <c r="L394" s="151">
        <f ca="1">-IF(YEAR(L357)=YEAR(Assumptions!$H$30),SUM(L388:L393),0)</f>
        <v>279343476.98239517</v>
      </c>
      <c r="M394" s="151">
        <f>-IF(YEAR(M357)=YEAR(Assumptions!$H$30),SUM(M388:M393),0)</f>
        <v>0</v>
      </c>
      <c r="N394" s="151">
        <f>-IF(YEAR(N357)=YEAR(Assumptions!$H$30),SUM(N388:N393),0)</f>
        <v>0</v>
      </c>
      <c r="O394" s="151">
        <f>-IF(YEAR(O357)=YEAR(Assumptions!$H$30),SUM(O388:O393),0)</f>
        <v>0</v>
      </c>
      <c r="P394" s="151">
        <f>-IF(YEAR(P357)=YEAR(Assumptions!$H$30),SUM(P388:P393),0)</f>
        <v>0</v>
      </c>
      <c r="Q394" s="151">
        <f>-IF(YEAR(Q357)=YEAR(Assumptions!$H$30),SUM(Q388:Q393),0)</f>
        <v>0</v>
      </c>
      <c r="R394" s="151">
        <f>-IF(YEAR(R357)=YEAR(Assumptions!$H$30),SUM(R388:R393),0)</f>
        <v>0</v>
      </c>
      <c r="S394" s="151">
        <f>-IF(YEAR(S357)=YEAR(Assumptions!$H$30),SUM(S388:S393),0)</f>
        <v>0</v>
      </c>
      <c r="T394" s="151">
        <f>-IF(YEAR(T357)=YEAR(Assumptions!$H$30),SUM(T388:T393),0)</f>
        <v>0</v>
      </c>
      <c r="U394" s="151">
        <f>-IF(YEAR(U357)=YEAR(Assumptions!$H$30),SUM(U388:U393),0)</f>
        <v>0</v>
      </c>
      <c r="V394" s="151">
        <f>-IF(YEAR(V357)=YEAR(Assumptions!$H$30),SUM(V388:V393),0)</f>
        <v>0</v>
      </c>
      <c r="W394" s="151">
        <f>-IF(YEAR(W357)=YEAR(Assumptions!$H$30),SUM(W388:W393),0)</f>
        <v>0</v>
      </c>
      <c r="X394" s="151">
        <f>-IF(YEAR(X357)=YEAR(Assumptions!$H$30),SUM(X388:X393),0)</f>
        <v>0</v>
      </c>
      <c r="Y394" s="151">
        <f>-IF(YEAR(Y357)=YEAR(Assumptions!$H$30),SUM(Y388:Y393),0)</f>
        <v>0</v>
      </c>
      <c r="Z394" s="151">
        <f>-IF(YEAR(Z357)=YEAR(Assumptions!$H$30),SUM(Z388:Z393),0)</f>
        <v>0</v>
      </c>
    </row>
    <row r="395" spans="2:26" ht="15.5">
      <c r="B395" s="137" t="s">
        <v>384</v>
      </c>
      <c r="C395" s="137"/>
      <c r="D395" s="36">
        <f t="shared" ref="D395" ca="1" si="167">+SUM(F395:Z395)</f>
        <v>1361591869.5215118</v>
      </c>
      <c r="E395" s="129"/>
      <c r="F395" s="129">
        <f ca="1">+SUM(F388:F394)</f>
        <v>79919439.518322229</v>
      </c>
      <c r="G395" s="129">
        <f t="shared" ref="G395:Z395" ca="1" si="168">+SUM(G388:G394)</f>
        <v>182835242.00878239</v>
      </c>
      <c r="H395" s="129">
        <f t="shared" ca="1" si="168"/>
        <v>276151348.47847033</v>
      </c>
      <c r="I395" s="129">
        <f t="shared" ca="1" si="168"/>
        <v>276151348.47847033</v>
      </c>
      <c r="J395" s="129">
        <f t="shared" ca="1" si="168"/>
        <v>276151348.47847033</v>
      </c>
      <c r="K395" s="129">
        <f t="shared" ca="1" si="168"/>
        <v>270383142.55899614</v>
      </c>
      <c r="L395" s="129">
        <f t="shared" ca="1" si="168"/>
        <v>0</v>
      </c>
      <c r="M395" s="129">
        <f t="shared" ca="1" si="168"/>
        <v>0</v>
      </c>
      <c r="N395" s="129">
        <f t="shared" ca="1" si="168"/>
        <v>0</v>
      </c>
      <c r="O395" s="129">
        <f t="shared" ca="1" si="168"/>
        <v>0</v>
      </c>
      <c r="P395" s="129">
        <f t="shared" ca="1" si="168"/>
        <v>0</v>
      </c>
      <c r="Q395" s="129">
        <f t="shared" ca="1" si="168"/>
        <v>0</v>
      </c>
      <c r="R395" s="129">
        <f t="shared" ca="1" si="168"/>
        <v>0</v>
      </c>
      <c r="S395" s="129">
        <f t="shared" ca="1" si="168"/>
        <v>0</v>
      </c>
      <c r="T395" s="129">
        <f t="shared" ca="1" si="168"/>
        <v>0</v>
      </c>
      <c r="U395" s="129">
        <f t="shared" ca="1" si="168"/>
        <v>0</v>
      </c>
      <c r="V395" s="129">
        <f t="shared" ca="1" si="168"/>
        <v>0</v>
      </c>
      <c r="W395" s="129">
        <f t="shared" ca="1" si="168"/>
        <v>0</v>
      </c>
      <c r="X395" s="129">
        <f t="shared" ca="1" si="168"/>
        <v>0</v>
      </c>
      <c r="Y395" s="129">
        <f t="shared" ca="1" si="168"/>
        <v>0</v>
      </c>
      <c r="Z395" s="129">
        <f t="shared" ca="1" si="168"/>
        <v>0</v>
      </c>
    </row>
    <row r="397" spans="2:26" ht="15.5">
      <c r="B397" s="37" t="s">
        <v>579</v>
      </c>
      <c r="C397" s="38"/>
      <c r="D397" s="38"/>
      <c r="E397" s="38"/>
      <c r="F397" s="136">
        <f>+F357</f>
        <v>46022</v>
      </c>
      <c r="G397" s="136">
        <f t="shared" ref="G397:Z397" si="169">+G357</f>
        <v>46387</v>
      </c>
      <c r="H397" s="136">
        <f t="shared" si="169"/>
        <v>46752</v>
      </c>
      <c r="I397" s="136">
        <f t="shared" si="169"/>
        <v>47118</v>
      </c>
      <c r="J397" s="136">
        <f t="shared" si="169"/>
        <v>47483</v>
      </c>
      <c r="K397" s="136">
        <f t="shared" si="169"/>
        <v>47848</v>
      </c>
      <c r="L397" s="136">
        <f t="shared" si="169"/>
        <v>48213</v>
      </c>
      <c r="M397" s="136">
        <f t="shared" si="169"/>
        <v>48579</v>
      </c>
      <c r="N397" s="136">
        <f t="shared" si="169"/>
        <v>48944</v>
      </c>
      <c r="O397" s="136">
        <f t="shared" si="169"/>
        <v>49309</v>
      </c>
      <c r="P397" s="136">
        <f t="shared" si="169"/>
        <v>49674</v>
      </c>
      <c r="Q397" s="136">
        <f t="shared" si="169"/>
        <v>50040</v>
      </c>
      <c r="R397" s="136">
        <f t="shared" si="169"/>
        <v>50405</v>
      </c>
      <c r="S397" s="136">
        <f t="shared" si="169"/>
        <v>50770</v>
      </c>
      <c r="T397" s="136">
        <f t="shared" si="169"/>
        <v>51135</v>
      </c>
      <c r="U397" s="136">
        <f t="shared" si="169"/>
        <v>51501</v>
      </c>
      <c r="V397" s="136">
        <f t="shared" si="169"/>
        <v>51866</v>
      </c>
      <c r="W397" s="136">
        <f t="shared" si="169"/>
        <v>52231</v>
      </c>
      <c r="X397" s="136">
        <f t="shared" si="169"/>
        <v>52596</v>
      </c>
      <c r="Y397" s="136">
        <f t="shared" si="169"/>
        <v>52962</v>
      </c>
      <c r="Z397" s="136">
        <f t="shared" si="169"/>
        <v>53327</v>
      </c>
    </row>
    <row r="398" spans="2:26" ht="15.5">
      <c r="B398" s="119"/>
    </row>
    <row r="399" spans="2:26" ht="15.5">
      <c r="B399" s="148" t="s">
        <v>589</v>
      </c>
      <c r="F399" s="148">
        <v>0</v>
      </c>
      <c r="G399" s="148">
        <f>+F399+1</f>
        <v>1</v>
      </c>
      <c r="H399" s="148">
        <f t="shared" ref="H399:Z399" si="170">+G399+1</f>
        <v>2</v>
      </c>
      <c r="I399" s="148">
        <f t="shared" si="170"/>
        <v>3</v>
      </c>
      <c r="J399" s="148">
        <f t="shared" si="170"/>
        <v>4</v>
      </c>
      <c r="K399" s="148">
        <f t="shared" si="170"/>
        <v>5</v>
      </c>
      <c r="L399" s="148">
        <f t="shared" si="170"/>
        <v>6</v>
      </c>
      <c r="M399" s="148">
        <f t="shared" si="170"/>
        <v>7</v>
      </c>
      <c r="N399" s="148">
        <f t="shared" si="170"/>
        <v>8</v>
      </c>
      <c r="O399" s="148">
        <f t="shared" si="170"/>
        <v>9</v>
      </c>
      <c r="P399" s="148">
        <f t="shared" si="170"/>
        <v>10</v>
      </c>
      <c r="Q399" s="148">
        <f t="shared" si="170"/>
        <v>11</v>
      </c>
      <c r="R399" s="148">
        <f t="shared" si="170"/>
        <v>12</v>
      </c>
      <c r="S399" s="148">
        <f t="shared" si="170"/>
        <v>13</v>
      </c>
      <c r="T399" s="148">
        <f t="shared" si="170"/>
        <v>14</v>
      </c>
      <c r="U399" s="148">
        <f t="shared" si="170"/>
        <v>15</v>
      </c>
      <c r="V399" s="148">
        <f t="shared" si="170"/>
        <v>16</v>
      </c>
      <c r="W399" s="148">
        <f t="shared" si="170"/>
        <v>17</v>
      </c>
      <c r="X399" s="148">
        <f t="shared" si="170"/>
        <v>18</v>
      </c>
      <c r="Y399" s="148">
        <f t="shared" si="170"/>
        <v>19</v>
      </c>
      <c r="Z399" s="148">
        <f t="shared" si="170"/>
        <v>20</v>
      </c>
    </row>
    <row r="400" spans="2:26" ht="15.5">
      <c r="B400" s="33" t="s">
        <v>380</v>
      </c>
      <c r="D400" s="48"/>
      <c r="E400" s="48"/>
      <c r="F400" s="34">
        <f ca="1">+F$307</f>
        <v>-77608593.110894859</v>
      </c>
      <c r="G400" s="34">
        <f t="shared" ref="G400:Z400" ca="1" si="171">+G$307</f>
        <v>0</v>
      </c>
      <c r="H400" s="34">
        <f t="shared" ca="1" si="171"/>
        <v>0</v>
      </c>
      <c r="I400" s="34">
        <f t="shared" ca="1" si="171"/>
        <v>0</v>
      </c>
      <c r="J400" s="34">
        <f t="shared" ca="1" si="171"/>
        <v>0</v>
      </c>
      <c r="K400" s="34">
        <f t="shared" ca="1" si="171"/>
        <v>0</v>
      </c>
      <c r="L400" s="34">
        <f t="shared" ca="1" si="171"/>
        <v>0</v>
      </c>
      <c r="M400" s="34">
        <f t="shared" ca="1" si="171"/>
        <v>0</v>
      </c>
      <c r="N400" s="34">
        <f t="shared" ca="1" si="171"/>
        <v>0</v>
      </c>
      <c r="O400" s="34">
        <f t="shared" ca="1" si="171"/>
        <v>0</v>
      </c>
      <c r="P400" s="34">
        <f t="shared" ca="1" si="171"/>
        <v>0</v>
      </c>
      <c r="Q400" s="34">
        <f t="shared" ca="1" si="171"/>
        <v>0</v>
      </c>
      <c r="R400" s="34">
        <f t="shared" ca="1" si="171"/>
        <v>0</v>
      </c>
      <c r="S400" s="34">
        <f t="shared" ca="1" si="171"/>
        <v>0</v>
      </c>
      <c r="T400" s="34">
        <f t="shared" ca="1" si="171"/>
        <v>0</v>
      </c>
      <c r="U400" s="34">
        <f t="shared" ca="1" si="171"/>
        <v>0</v>
      </c>
      <c r="V400" s="34">
        <f t="shared" ca="1" si="171"/>
        <v>0</v>
      </c>
      <c r="W400" s="34">
        <f t="shared" ca="1" si="171"/>
        <v>0</v>
      </c>
      <c r="X400" s="34">
        <f t="shared" ca="1" si="171"/>
        <v>0</v>
      </c>
      <c r="Y400" s="34">
        <f t="shared" ca="1" si="171"/>
        <v>0</v>
      </c>
      <c r="Z400" s="34">
        <f t="shared" ca="1" si="171"/>
        <v>0</v>
      </c>
    </row>
    <row r="401" spans="2:26" ht="15.5">
      <c r="B401" s="33" t="s">
        <v>398</v>
      </c>
      <c r="D401" s="48"/>
      <c r="E401" s="48"/>
      <c r="F401" s="151">
        <v>0</v>
      </c>
      <c r="G401" s="151">
        <v>0</v>
      </c>
      <c r="H401" s="151">
        <v>0</v>
      </c>
      <c r="I401" s="151">
        <v>0</v>
      </c>
      <c r="J401" s="151">
        <v>0</v>
      </c>
      <c r="K401" s="151">
        <v>0</v>
      </c>
      <c r="L401" s="151">
        <v>0</v>
      </c>
      <c r="M401" s="151">
        <v>0</v>
      </c>
      <c r="N401" s="151">
        <v>0</v>
      </c>
      <c r="O401" s="151">
        <v>0</v>
      </c>
      <c r="P401" s="151">
        <v>0</v>
      </c>
      <c r="Q401" s="151">
        <v>0</v>
      </c>
      <c r="R401" s="151">
        <v>0</v>
      </c>
      <c r="S401" s="151">
        <v>0</v>
      </c>
      <c r="T401" s="151">
        <v>0</v>
      </c>
      <c r="U401" s="151">
        <v>0</v>
      </c>
      <c r="V401" s="151">
        <v>0</v>
      </c>
      <c r="W401" s="151">
        <v>0</v>
      </c>
      <c r="X401" s="151">
        <v>0</v>
      </c>
      <c r="Y401" s="151">
        <v>0</v>
      </c>
      <c r="Z401" s="151">
        <v>0</v>
      </c>
    </row>
    <row r="402" spans="2:26" ht="15.5">
      <c r="B402" s="33" t="s">
        <v>399</v>
      </c>
      <c r="D402" s="48"/>
      <c r="E402" s="48"/>
      <c r="F402" s="151">
        <v>0</v>
      </c>
      <c r="G402" s="151">
        <v>0</v>
      </c>
      <c r="H402" s="151">
        <v>0</v>
      </c>
      <c r="I402" s="151">
        <v>0</v>
      </c>
      <c r="J402" s="151">
        <v>0</v>
      </c>
      <c r="K402" s="151">
        <v>0</v>
      </c>
      <c r="L402" s="151">
        <v>0</v>
      </c>
      <c r="M402" s="151">
        <v>0</v>
      </c>
      <c r="N402" s="151">
        <v>0</v>
      </c>
      <c r="O402" s="151">
        <v>0</v>
      </c>
      <c r="P402" s="151">
        <v>0</v>
      </c>
      <c r="Q402" s="151">
        <v>0</v>
      </c>
      <c r="R402" s="151">
        <v>0</v>
      </c>
      <c r="S402" s="151">
        <v>0</v>
      </c>
      <c r="T402" s="151">
        <v>0</v>
      </c>
      <c r="U402" s="151">
        <v>0</v>
      </c>
      <c r="V402" s="151">
        <v>0</v>
      </c>
      <c r="W402" s="151">
        <v>0</v>
      </c>
      <c r="X402" s="151">
        <v>0</v>
      </c>
      <c r="Y402" s="151">
        <v>0</v>
      </c>
      <c r="Z402" s="151">
        <v>0</v>
      </c>
    </row>
    <row r="403" spans="2:26" ht="15.5">
      <c r="B403" s="33" t="s">
        <v>584</v>
      </c>
      <c r="D403" s="48"/>
      <c r="E403" s="48"/>
      <c r="F403" s="151">
        <f ca="1">-SUM(F430:F431)*Assumptions!$M$192</f>
        <v>0</v>
      </c>
      <c r="G403" s="151">
        <f ca="1">-SUM(G430:G431)*Assumptions!$M$192</f>
        <v>0</v>
      </c>
      <c r="H403" s="151">
        <f ca="1">-SUM(H430:H431)*Assumptions!$M$192</f>
        <v>0</v>
      </c>
      <c r="I403" s="151">
        <f ca="1">-SUM(I430:I431)*Assumptions!$M$192</f>
        <v>0</v>
      </c>
      <c r="J403" s="151">
        <f ca="1">-SUM(J430:J431)*Assumptions!$M$192</f>
        <v>829824.3210760334</v>
      </c>
      <c r="K403" s="151">
        <f ca="1">-SUM(K430:K431)*Assumptions!$M$192</f>
        <v>-1803863.6691056527</v>
      </c>
      <c r="L403" s="151">
        <f ca="1">-SUM(L430:L431)*Assumptions!$M$192</f>
        <v>-1938395.042366391</v>
      </c>
      <c r="M403" s="151">
        <f>-SUM(M430:M431)*Assumptions!$M$192</f>
        <v>0</v>
      </c>
      <c r="N403" s="151">
        <f>-SUM(N430:N431)*Assumptions!$M$192</f>
        <v>0</v>
      </c>
      <c r="O403" s="151">
        <f>-SUM(O430:O431)*Assumptions!$M$192</f>
        <v>0</v>
      </c>
      <c r="P403" s="151">
        <f>-SUM(P430:P431)*Assumptions!$M$192</f>
        <v>0</v>
      </c>
      <c r="Q403" s="151">
        <f>-SUM(Q430:Q431)*Assumptions!$M$192</f>
        <v>0</v>
      </c>
      <c r="R403" s="151">
        <f>-SUM(R430:R431)*Assumptions!$M$192</f>
        <v>0</v>
      </c>
      <c r="S403" s="151">
        <f>-SUM(S430:S431)*Assumptions!$M$192</f>
        <v>0</v>
      </c>
      <c r="T403" s="151">
        <f>-SUM(T430:T431)*Assumptions!$M$192</f>
        <v>0</v>
      </c>
      <c r="U403" s="151">
        <f>-SUM(U430:U431)*Assumptions!$M$192</f>
        <v>0</v>
      </c>
      <c r="V403" s="151">
        <f>-SUM(V430:V431)*Assumptions!$M$192</f>
        <v>0</v>
      </c>
      <c r="W403" s="151">
        <f>-SUM(W430:W431)*Assumptions!$M$192</f>
        <v>0</v>
      </c>
      <c r="X403" s="151">
        <f>-SUM(X430:X431)*Assumptions!$M$192</f>
        <v>0</v>
      </c>
      <c r="Y403" s="151">
        <f>-SUM(Y430:Y431)*Assumptions!$M$192</f>
        <v>0</v>
      </c>
      <c r="Z403" s="151">
        <f>-SUM(Z430:Z431)*Assumptions!$M$192</f>
        <v>0</v>
      </c>
    </row>
    <row r="404" spans="2:26" ht="15.5">
      <c r="B404" s="33" t="s">
        <v>586</v>
      </c>
      <c r="D404" s="48"/>
      <c r="E404" s="48"/>
      <c r="F404" s="151">
        <f ca="1">+IF(YEAR(F$140)&lt;=YEAR(Assumptions!$H$30),F267+F222+F152,0)</f>
        <v>0</v>
      </c>
      <c r="G404" s="151">
        <f ca="1">+IF(YEAR(G$140)&lt;=YEAR(Assumptions!$H$30),G267+G222+G152,0)</f>
        <v>0</v>
      </c>
      <c r="H404" s="151">
        <f ca="1">+IF(YEAR(H$140)&lt;=YEAR(Assumptions!$H$30),H267+H222+H152,0)</f>
        <v>0</v>
      </c>
      <c r="I404" s="151">
        <f ca="1">+IF(YEAR(I$140)&lt;=YEAR(Assumptions!$H$30),I267+I222+I152,0)</f>
        <v>0</v>
      </c>
      <c r="J404" s="151">
        <f ca="1">+IF(YEAR(J$140)&lt;=YEAR(Assumptions!$H$30),J267+J222+J152,0)</f>
        <v>-11137604.335254377</v>
      </c>
      <c r="K404" s="151">
        <f ca="1">+IF(YEAR(K$140)&lt;=YEAR(Assumptions!$H$30),K267+K222+K152,0)</f>
        <v>10251709.94885575</v>
      </c>
      <c r="L404" s="151">
        <f ca="1">+IF(YEAR(L$140)&lt;=YEAR(Assumptions!$H$30),L267+L222+L152,0)</f>
        <v>10625424.54299826</v>
      </c>
      <c r="M404" s="151">
        <f>+IF(YEAR(M$140)&lt;=YEAR(Assumptions!$H$30),M267+M222+M152,0)</f>
        <v>0</v>
      </c>
      <c r="N404" s="151">
        <f>+IF(YEAR(N$140)&lt;=YEAR(Assumptions!$H$30),N267+N222+N152,0)</f>
        <v>0</v>
      </c>
      <c r="O404" s="151">
        <f>+IF(YEAR(O$140)&lt;=YEAR(Assumptions!$H$30),O267+O222+O152,0)</f>
        <v>0</v>
      </c>
      <c r="P404" s="151">
        <f>+IF(YEAR(P$140)&lt;=YEAR(Assumptions!$H$30),P267+P222+P152,0)</f>
        <v>0</v>
      </c>
      <c r="Q404" s="151">
        <f>+IF(YEAR(Q$140)&lt;=YEAR(Assumptions!$H$30),Q267+Q222+Q152,0)</f>
        <v>0</v>
      </c>
      <c r="R404" s="151">
        <f>+IF(YEAR(R$140)&lt;=YEAR(Assumptions!$H$30),R267+R222+R152,0)</f>
        <v>0</v>
      </c>
      <c r="S404" s="151">
        <f>+IF(YEAR(S$140)&lt;=YEAR(Assumptions!$H$30),S267+S222+S152,0)</f>
        <v>0</v>
      </c>
      <c r="T404" s="151">
        <f>+IF(YEAR(T$140)&lt;=YEAR(Assumptions!$H$30),T267+T222+T152,0)</f>
        <v>0</v>
      </c>
      <c r="U404" s="151">
        <f>+IF(YEAR(U$140)&lt;=YEAR(Assumptions!$H$30),U267+U222+U152,0)</f>
        <v>0</v>
      </c>
      <c r="V404" s="151">
        <f>+IF(YEAR(V$140)&lt;=YEAR(Assumptions!$H$30),V267+V222+V152,0)</f>
        <v>0</v>
      </c>
      <c r="W404" s="151">
        <f>+IF(YEAR(W$140)&lt;=YEAR(Assumptions!$H$30),W267+W222+W152,0)</f>
        <v>0</v>
      </c>
      <c r="X404" s="151">
        <f>+IF(YEAR(X$140)&lt;=YEAR(Assumptions!$H$30),X267+X222+X152,0)</f>
        <v>0</v>
      </c>
      <c r="Y404" s="151">
        <f>+IF(YEAR(Y$140)&lt;=YEAR(Assumptions!$H$30),Y267+Y222+Y152,0)</f>
        <v>0</v>
      </c>
      <c r="Z404" s="151">
        <f>+IF(YEAR(Z$140)&lt;=YEAR(Assumptions!$H$30),Z267+Z222+Z152,0)</f>
        <v>0</v>
      </c>
    </row>
    <row r="405" spans="2:26" ht="15.5">
      <c r="B405" s="33" t="s">
        <v>585</v>
      </c>
      <c r="D405" s="48"/>
      <c r="E405" s="48"/>
      <c r="F405" s="151">
        <f>-IF(YEAR(F$140)&lt;=YEAR(Assumptions!$H$30),F433,0)</f>
        <v>0</v>
      </c>
      <c r="G405" s="151">
        <f>-IF(YEAR(G$140)&lt;=YEAR(Assumptions!$H$30),G433,0)</f>
        <v>0</v>
      </c>
      <c r="H405" s="151">
        <f>-IF(YEAR(H$140)&lt;=YEAR(Assumptions!$H$30),H433,0)</f>
        <v>0</v>
      </c>
      <c r="I405" s="151">
        <f>-IF(YEAR(I$140)&lt;=YEAR(Assumptions!$H$30),I433,0)</f>
        <v>0</v>
      </c>
      <c r="J405" s="151">
        <f ca="1">-IF(YEAR(J$140)&lt;=YEAR(Assumptions!$H$30),J433,0)</f>
        <v>97569052.667740464</v>
      </c>
      <c r="K405" s="151">
        <f>-IF(YEAR(K$140)&lt;=YEAR(Assumptions!$H$30),K433,0)</f>
        <v>0</v>
      </c>
      <c r="L405" s="151">
        <f ca="1">-IF(YEAR(L$140)&lt;=YEAR(Assumptions!$H$30),L433,0)</f>
        <v>223257909.52854332</v>
      </c>
      <c r="M405" s="151">
        <f>-IF(YEAR(M$140)&lt;=YEAR(Assumptions!$H$30),M433,0)</f>
        <v>0</v>
      </c>
      <c r="N405" s="151">
        <f>-IF(YEAR(N$140)&lt;=YEAR(Assumptions!$H$30),N433,0)</f>
        <v>0</v>
      </c>
      <c r="O405" s="151">
        <f>-IF(YEAR(O$140)&lt;=YEAR(Assumptions!$H$30),O433,0)</f>
        <v>0</v>
      </c>
      <c r="P405" s="151">
        <f>-IF(YEAR(P$140)&lt;=YEAR(Assumptions!$H$30),P433,0)</f>
        <v>0</v>
      </c>
      <c r="Q405" s="151">
        <f>-IF(YEAR(Q$140)&lt;=YEAR(Assumptions!$H$30),Q433,0)</f>
        <v>0</v>
      </c>
      <c r="R405" s="151">
        <f>-IF(YEAR(R$140)&lt;=YEAR(Assumptions!$H$30),R433,0)</f>
        <v>0</v>
      </c>
      <c r="S405" s="151">
        <f>-IF(YEAR(S$140)&lt;=YEAR(Assumptions!$H$30),S433,0)</f>
        <v>0</v>
      </c>
      <c r="T405" s="151">
        <f>-IF(YEAR(T$140)&lt;=YEAR(Assumptions!$H$30),T433,0)</f>
        <v>0</v>
      </c>
      <c r="U405" s="151">
        <f>-IF(YEAR(U$140)&lt;=YEAR(Assumptions!$H$30),U433,0)</f>
        <v>0</v>
      </c>
      <c r="V405" s="151">
        <f>-IF(YEAR(V$140)&lt;=YEAR(Assumptions!$H$30),V433,0)</f>
        <v>0</v>
      </c>
      <c r="W405" s="151">
        <f>-IF(YEAR(W$140)&lt;=YEAR(Assumptions!$H$30),W433,0)</f>
        <v>0</v>
      </c>
      <c r="X405" s="151">
        <f>-IF(YEAR(X$140)&lt;=YEAR(Assumptions!$H$30),X433,0)</f>
        <v>0</v>
      </c>
      <c r="Y405" s="151">
        <f>-IF(YEAR(Y$140)&lt;=YEAR(Assumptions!$H$30),Y433,0)</f>
        <v>0</v>
      </c>
      <c r="Z405" s="151">
        <f>-IF(YEAR(Z$140)&lt;=YEAR(Assumptions!$H$30),Z433,0)</f>
        <v>0</v>
      </c>
    </row>
    <row r="406" spans="2:26" ht="15.5">
      <c r="B406" s="33" t="s">
        <v>397</v>
      </c>
      <c r="D406" s="48"/>
      <c r="E406" s="48"/>
      <c r="F406" s="151">
        <f>-F434*Assumptions!$M$192</f>
        <v>0</v>
      </c>
      <c r="G406" s="151">
        <f>-G434*Assumptions!$M$192</f>
        <v>0</v>
      </c>
      <c r="H406" s="151">
        <f>-H434*Assumptions!$M$192</f>
        <v>0</v>
      </c>
      <c r="I406" s="151">
        <f>-I434*Assumptions!$M$192</f>
        <v>0</v>
      </c>
      <c r="J406" s="151">
        <f>-J434*Assumptions!$M$192</f>
        <v>0</v>
      </c>
      <c r="K406" s="151">
        <f>-K434*Assumptions!$M$192</f>
        <v>0</v>
      </c>
      <c r="L406" s="151">
        <f ca="1">-L434*Assumptions!$M$192</f>
        <v>-50208724.450421594</v>
      </c>
      <c r="M406" s="151">
        <f>-M434*Assumptions!$M$192</f>
        <v>0</v>
      </c>
      <c r="N406" s="151">
        <f>-N434*Assumptions!$M$192</f>
        <v>0</v>
      </c>
      <c r="O406" s="151">
        <f>-O434*Assumptions!$M$192</f>
        <v>0</v>
      </c>
      <c r="P406" s="151">
        <f>-P434*Assumptions!$M$192</f>
        <v>0</v>
      </c>
      <c r="Q406" s="151">
        <f>-Q434*Assumptions!$M$192</f>
        <v>0</v>
      </c>
      <c r="R406" s="151">
        <f>-R434*Assumptions!$M$192</f>
        <v>0</v>
      </c>
      <c r="S406" s="151">
        <f>-S434*Assumptions!$M$192</f>
        <v>0</v>
      </c>
      <c r="T406" s="151">
        <f>-T434*Assumptions!$M$192</f>
        <v>0</v>
      </c>
      <c r="U406" s="151">
        <f>-U434*Assumptions!$M$192</f>
        <v>0</v>
      </c>
      <c r="V406" s="151">
        <f>-V434*Assumptions!$M$192</f>
        <v>0</v>
      </c>
      <c r="W406" s="151">
        <f>-W434*Assumptions!$M$192</f>
        <v>0</v>
      </c>
      <c r="X406" s="151">
        <f>-X434*Assumptions!$M$192</f>
        <v>0</v>
      </c>
      <c r="Y406" s="151">
        <f>-Y434*Assumptions!$M$192</f>
        <v>0</v>
      </c>
      <c r="Z406" s="151">
        <f>-Z434*Assumptions!$M$192</f>
        <v>0</v>
      </c>
    </row>
    <row r="407" spans="2:26" ht="15.5">
      <c r="B407" s="138" t="s">
        <v>389</v>
      </c>
      <c r="C407" s="138"/>
      <c r="D407" s="139">
        <f t="shared" ref="D407" ca="1" si="172">+SUM(F407:Z407)</f>
        <v>199836740.40117097</v>
      </c>
      <c r="E407" s="139"/>
      <c r="F407" s="139">
        <f t="shared" ref="F407:Z407" ca="1" si="173">+SUM(F400:F406)</f>
        <v>-77608593.110894859</v>
      </c>
      <c r="G407" s="139">
        <f t="shared" ca="1" si="173"/>
        <v>0</v>
      </c>
      <c r="H407" s="139">
        <f t="shared" ca="1" si="173"/>
        <v>0</v>
      </c>
      <c r="I407" s="139">
        <f t="shared" ca="1" si="173"/>
        <v>0</v>
      </c>
      <c r="J407" s="139">
        <f t="shared" ca="1" si="173"/>
        <v>87261272.653562129</v>
      </c>
      <c r="K407" s="139">
        <f t="shared" ca="1" si="173"/>
        <v>8447846.2797500975</v>
      </c>
      <c r="L407" s="139">
        <f t="shared" ca="1" si="173"/>
        <v>181736214.57875359</v>
      </c>
      <c r="M407" s="139">
        <f t="shared" ca="1" si="173"/>
        <v>0</v>
      </c>
      <c r="N407" s="139">
        <f t="shared" ca="1" si="173"/>
        <v>0</v>
      </c>
      <c r="O407" s="139">
        <f t="shared" ca="1" si="173"/>
        <v>0</v>
      </c>
      <c r="P407" s="139">
        <f t="shared" ca="1" si="173"/>
        <v>0</v>
      </c>
      <c r="Q407" s="139">
        <f t="shared" ca="1" si="173"/>
        <v>0</v>
      </c>
      <c r="R407" s="139">
        <f t="shared" ca="1" si="173"/>
        <v>0</v>
      </c>
      <c r="S407" s="139">
        <f t="shared" ca="1" si="173"/>
        <v>0</v>
      </c>
      <c r="T407" s="139">
        <f t="shared" ca="1" si="173"/>
        <v>0</v>
      </c>
      <c r="U407" s="139">
        <f t="shared" ca="1" si="173"/>
        <v>0</v>
      </c>
      <c r="V407" s="139">
        <f t="shared" ca="1" si="173"/>
        <v>0</v>
      </c>
      <c r="W407" s="139">
        <f t="shared" ca="1" si="173"/>
        <v>0</v>
      </c>
      <c r="X407" s="139">
        <f t="shared" ca="1" si="173"/>
        <v>0</v>
      </c>
      <c r="Y407" s="139">
        <f t="shared" ca="1" si="173"/>
        <v>0</v>
      </c>
      <c r="Z407" s="139">
        <f t="shared" ca="1" si="173"/>
        <v>0</v>
      </c>
    </row>
    <row r="408" spans="2:26" ht="15.5">
      <c r="B408" s="119"/>
    </row>
    <row r="409" spans="2:26" ht="15.5">
      <c r="B409" s="226" t="s">
        <v>587</v>
      </c>
      <c r="C409" s="226"/>
      <c r="D409" s="227">
        <f ca="1">+IRR(F407:Z407)</f>
        <v>0.27571428577532964</v>
      </c>
      <c r="F409" s="544"/>
      <c r="G409" s="34"/>
    </row>
    <row r="410" spans="2:26" ht="15.5">
      <c r="B410" s="119"/>
      <c r="D410" s="108"/>
    </row>
    <row r="411" spans="2:26" ht="15.5">
      <c r="B411" s="148" t="s">
        <v>588</v>
      </c>
      <c r="F411" s="148">
        <f>+F399</f>
        <v>0</v>
      </c>
      <c r="G411" s="148">
        <f t="shared" ref="G411:Z412" si="174">+G399</f>
        <v>1</v>
      </c>
      <c r="H411" s="148">
        <f t="shared" si="174"/>
        <v>2</v>
      </c>
      <c r="I411" s="148">
        <f t="shared" si="174"/>
        <v>3</v>
      </c>
      <c r="J411" s="148">
        <f t="shared" si="174"/>
        <v>4</v>
      </c>
      <c r="K411" s="148">
        <f t="shared" si="174"/>
        <v>5</v>
      </c>
      <c r="L411" s="148">
        <f t="shared" si="174"/>
        <v>6</v>
      </c>
      <c r="M411" s="148">
        <f t="shared" si="174"/>
        <v>7</v>
      </c>
      <c r="N411" s="148">
        <f t="shared" si="174"/>
        <v>8</v>
      </c>
      <c r="O411" s="148">
        <f t="shared" si="174"/>
        <v>9</v>
      </c>
      <c r="P411" s="148">
        <f t="shared" si="174"/>
        <v>10</v>
      </c>
      <c r="Q411" s="148">
        <f t="shared" si="174"/>
        <v>11</v>
      </c>
      <c r="R411" s="148">
        <f t="shared" si="174"/>
        <v>12</v>
      </c>
      <c r="S411" s="148">
        <f t="shared" si="174"/>
        <v>13</v>
      </c>
      <c r="T411" s="148">
        <f t="shared" si="174"/>
        <v>14</v>
      </c>
      <c r="U411" s="148">
        <f t="shared" si="174"/>
        <v>15</v>
      </c>
      <c r="V411" s="148">
        <f t="shared" si="174"/>
        <v>16</v>
      </c>
      <c r="W411" s="148">
        <f t="shared" si="174"/>
        <v>17</v>
      </c>
      <c r="X411" s="148">
        <f t="shared" si="174"/>
        <v>18</v>
      </c>
      <c r="Y411" s="148">
        <f t="shared" si="174"/>
        <v>19</v>
      </c>
      <c r="Z411" s="148">
        <f t="shared" si="174"/>
        <v>20</v>
      </c>
    </row>
    <row r="412" spans="2:26" ht="15.5">
      <c r="B412" s="33" t="s">
        <v>380</v>
      </c>
      <c r="D412" s="48"/>
      <c r="E412" s="48"/>
      <c r="F412" s="34">
        <f ca="1">+F400</f>
        <v>-77608593.110894859</v>
      </c>
      <c r="G412" s="34">
        <f t="shared" ca="1" si="174"/>
        <v>0</v>
      </c>
      <c r="H412" s="34">
        <f t="shared" ca="1" si="174"/>
        <v>0</v>
      </c>
      <c r="I412" s="34">
        <f t="shared" ca="1" si="174"/>
        <v>0</v>
      </c>
      <c r="J412" s="34">
        <f t="shared" ca="1" si="174"/>
        <v>0</v>
      </c>
      <c r="K412" s="34">
        <f t="shared" ca="1" si="174"/>
        <v>0</v>
      </c>
      <c r="L412" s="34">
        <f t="shared" ca="1" si="174"/>
        <v>0</v>
      </c>
      <c r="M412" s="34">
        <f t="shared" ca="1" si="174"/>
        <v>0</v>
      </c>
      <c r="N412" s="34">
        <f t="shared" ca="1" si="174"/>
        <v>0</v>
      </c>
      <c r="O412" s="34">
        <f t="shared" ca="1" si="174"/>
        <v>0</v>
      </c>
      <c r="P412" s="34">
        <f t="shared" ca="1" si="174"/>
        <v>0</v>
      </c>
      <c r="Q412" s="34">
        <f t="shared" ca="1" si="174"/>
        <v>0</v>
      </c>
      <c r="R412" s="34">
        <f t="shared" ca="1" si="174"/>
        <v>0</v>
      </c>
      <c r="S412" s="34">
        <f t="shared" ca="1" si="174"/>
        <v>0</v>
      </c>
      <c r="T412" s="34">
        <f t="shared" ca="1" si="174"/>
        <v>0</v>
      </c>
      <c r="U412" s="34">
        <f t="shared" ca="1" si="174"/>
        <v>0</v>
      </c>
      <c r="V412" s="34">
        <f t="shared" ca="1" si="174"/>
        <v>0</v>
      </c>
      <c r="W412" s="34">
        <f t="shared" ca="1" si="174"/>
        <v>0</v>
      </c>
      <c r="X412" s="34">
        <f t="shared" ca="1" si="174"/>
        <v>0</v>
      </c>
      <c r="Y412" s="34">
        <f t="shared" ca="1" si="174"/>
        <v>0</v>
      </c>
      <c r="Z412" s="34">
        <f t="shared" ca="1" si="174"/>
        <v>0</v>
      </c>
    </row>
    <row r="413" spans="2:26" ht="15.5">
      <c r="B413" s="33" t="s">
        <v>398</v>
      </c>
      <c r="D413" s="48"/>
      <c r="E413" s="48"/>
      <c r="F413" s="151">
        <f ca="1">-F412*Assumptions!$M$192</f>
        <v>16297804.55328792</v>
      </c>
      <c r="G413" s="151">
        <f ca="1">-G412*Assumptions!$M$192</f>
        <v>0</v>
      </c>
      <c r="H413" s="151">
        <f ca="1">-H412*Assumptions!$M$192</f>
        <v>0</v>
      </c>
      <c r="I413" s="151">
        <f ca="1">-I412*Assumptions!$M$192</f>
        <v>0</v>
      </c>
      <c r="J413" s="151">
        <f ca="1">-J412*Assumptions!$M$192</f>
        <v>0</v>
      </c>
      <c r="K413" s="151">
        <f ca="1">-K412*Assumptions!$M$192</f>
        <v>0</v>
      </c>
      <c r="L413" s="151">
        <f ca="1">-L412*Assumptions!$M$192</f>
        <v>0</v>
      </c>
      <c r="M413" s="151">
        <f ca="1">-M412*Assumptions!$M$192</f>
        <v>0</v>
      </c>
      <c r="N413" s="151">
        <f ca="1">-N412*Assumptions!$M$192</f>
        <v>0</v>
      </c>
      <c r="O413" s="151">
        <f ca="1">-O412*Assumptions!$M$192</f>
        <v>0</v>
      </c>
      <c r="P413" s="151">
        <f ca="1">-P412*Assumptions!$M$192</f>
        <v>0</v>
      </c>
      <c r="Q413" s="151">
        <f ca="1">-Q412*Assumptions!$M$192</f>
        <v>0</v>
      </c>
      <c r="R413" s="151">
        <f ca="1">-R412*Assumptions!$M$192</f>
        <v>0</v>
      </c>
      <c r="S413" s="151">
        <f ca="1">-S412*Assumptions!$M$192</f>
        <v>0</v>
      </c>
      <c r="T413" s="151">
        <f ca="1">-T412*Assumptions!$M$192</f>
        <v>0</v>
      </c>
      <c r="U413" s="151">
        <f ca="1">-U412*Assumptions!$M$192</f>
        <v>0</v>
      </c>
      <c r="V413" s="151">
        <f ca="1">-V412*Assumptions!$M$192</f>
        <v>0</v>
      </c>
      <c r="W413" s="151">
        <f ca="1">-W412*Assumptions!$M$192</f>
        <v>0</v>
      </c>
      <c r="X413" s="151">
        <f ca="1">-X412*Assumptions!$M$192</f>
        <v>0</v>
      </c>
      <c r="Y413" s="151">
        <f ca="1">-Y412*Assumptions!$M$192</f>
        <v>0</v>
      </c>
      <c r="Z413" s="151">
        <f ca="1">-Z412*Assumptions!$M$192</f>
        <v>0</v>
      </c>
    </row>
    <row r="414" spans="2:26" ht="15.5">
      <c r="B414" s="33" t="s">
        <v>399</v>
      </c>
      <c r="D414" s="48"/>
      <c r="E414" s="48"/>
      <c r="F414" s="151">
        <f ca="1">IFERROR(-IF(YEAR(F397)&lt;MIN(YEAR(Assumptions!$H$30),2026),(OFFSET(F413,0,-10)),IF(YEAR(F397)=MIN(YEAR(Assumptions!$H$30),2026),SUM($E$413:F$413)-SUM($E$414:E$414),0)),0)</f>
        <v>0</v>
      </c>
      <c r="G414" s="151">
        <f ca="1">IFERROR(-IF(YEAR(G397)&lt;MIN(YEAR(Assumptions!$H$30),2026),(OFFSET(G413,0,-10)),IF(YEAR(G397)=MIN(YEAR(Assumptions!$H$30),2026),SUM($E$413:G$413)-SUM($E$414:F$414),0)),0)</f>
        <v>-16297804.55328792</v>
      </c>
      <c r="H414" s="151">
        <f ca="1">IFERROR(-IF(YEAR(H397)&lt;MIN(YEAR(Assumptions!$H$30),2026),(OFFSET(H413,0,-10)),IF(YEAR(H397)=MIN(YEAR(Assumptions!$H$30),2026),SUM($E$413:H$413)-SUM($E$414:G$414),0)),0)</f>
        <v>0</v>
      </c>
      <c r="I414" s="151">
        <f ca="1">IFERROR(-IF(YEAR(I397)&lt;MIN(YEAR(Assumptions!$H$30),2026),(OFFSET(I413,0,-10)),IF(YEAR(I397)=MIN(YEAR(Assumptions!$H$30),2026),SUM($E$413:I$413)-SUM($E$414:H$414),0)),0)</f>
        <v>0</v>
      </c>
      <c r="J414" s="151">
        <f ca="1">IFERROR(-IF(YEAR(J397)&lt;MIN(YEAR(Assumptions!$H$30),2026),(OFFSET(J413,0,-10)),IF(YEAR(J397)=MIN(YEAR(Assumptions!$H$30),2026),SUM($E$413:J$413)-SUM($E$414:I$414),0)),0)</f>
        <v>0</v>
      </c>
      <c r="K414" s="151">
        <f ca="1">IFERROR(-IF(YEAR(K397)&lt;MIN(YEAR(Assumptions!$H$30),2026),(OFFSET(K413,0,-10)),IF(YEAR(K397)=MIN(YEAR(Assumptions!$H$30),2026),SUM($E$413:K$413)-SUM($E$414:J$414),0)),0)</f>
        <v>0</v>
      </c>
      <c r="L414" s="151">
        <f ca="1">IFERROR(-IF(YEAR(L397)&lt;MIN(YEAR(Assumptions!$H$30),2026),(OFFSET(L413,0,-10)),IF(YEAR(L397)=MIN(YEAR(Assumptions!$H$30),2026),SUM($E$413:L$413)-SUM($E$414:K$414),0)),0)</f>
        <v>0</v>
      </c>
      <c r="M414" s="151">
        <f ca="1">IFERROR(-IF(YEAR(M397)&lt;MIN(YEAR(Assumptions!$H$30),2026),(OFFSET(M413,0,-10)),IF(YEAR(M397)=MIN(YEAR(Assumptions!$H$30),2026),SUM($E$413:M$413)-SUM($E$414:L$414),0)),0)</f>
        <v>0</v>
      </c>
      <c r="N414" s="151">
        <f ca="1">IFERROR(-IF(YEAR(N397)&lt;MIN(YEAR(Assumptions!$H$30),2026),(OFFSET(N413,0,-10)),IF(YEAR(N397)=MIN(YEAR(Assumptions!$H$30),2026),SUM($E$413:N$413)-SUM($E$414:M$414),0)),0)</f>
        <v>0</v>
      </c>
      <c r="O414" s="151">
        <f ca="1">IFERROR(-IF(YEAR(O397)&lt;MIN(YEAR(Assumptions!$H$30),2026),(OFFSET(O413,0,-10)),IF(YEAR(O397)=MIN(YEAR(Assumptions!$H$30),2026),SUM($E$413:O$413)-SUM($E$414:N$414),0)),0)</f>
        <v>0</v>
      </c>
      <c r="P414" s="151">
        <f ca="1">IFERROR(-IF(YEAR(P397)&lt;MIN(YEAR(Assumptions!$H$30),2026),(OFFSET(P413,0,-10)),IF(YEAR(P397)=MIN(YEAR(Assumptions!$H$30),2026),SUM($E$413:P$413)-SUM($E$414:O$414),0)),0)</f>
        <v>0</v>
      </c>
      <c r="Q414" s="151">
        <f ca="1">IFERROR(-IF(YEAR(Q397)&lt;MIN(YEAR(Assumptions!$H$30),2026),(OFFSET(Q413,0,-10)),IF(YEAR(Q397)=MIN(YEAR(Assumptions!$H$30),2026),SUM($E$413:Q$413)-SUM($E$414:P$414),0)),0)</f>
        <v>0</v>
      </c>
      <c r="R414" s="151">
        <f ca="1">IFERROR(-IF(YEAR(R397)&lt;MIN(YEAR(Assumptions!$H$30),2026),(OFFSET(R413,0,-10)),IF(YEAR(R397)=MIN(YEAR(Assumptions!$H$30),2026),SUM($E$413:R$413)-SUM($E$414:Q$414),0)),0)</f>
        <v>0</v>
      </c>
      <c r="S414" s="151">
        <f ca="1">IFERROR(-IF(YEAR(S397)&lt;MIN(YEAR(Assumptions!$H$30),2026),(OFFSET(S413,0,-10)),IF(YEAR(S397)=MIN(YEAR(Assumptions!$H$30),2026),SUM($E$413:S$413)-SUM($E$414:R$414),0)),0)</f>
        <v>0</v>
      </c>
      <c r="T414" s="151">
        <f ca="1">IFERROR(-IF(YEAR(T397)&lt;MIN(YEAR(Assumptions!$H$30),2026),(OFFSET(T413,0,-10)),IF(YEAR(T397)=MIN(YEAR(Assumptions!$H$30),2026),SUM($E$413:T$413)-SUM($E$414:S$414),0)),0)</f>
        <v>0</v>
      </c>
      <c r="U414" s="151">
        <f ca="1">IFERROR(-IF(YEAR(U397)&lt;MIN(YEAR(Assumptions!$H$30),2026),(OFFSET(U413,0,-10)),IF(YEAR(U397)=MIN(YEAR(Assumptions!$H$30),2026),SUM($E$413:U$413)-SUM($E$414:T$414),0)),0)</f>
        <v>0</v>
      </c>
      <c r="V414" s="151">
        <f ca="1">IFERROR(-IF(YEAR(V397)&lt;MIN(YEAR(Assumptions!$H$30),2026),(OFFSET(V413,0,-10)),IF(YEAR(V397)=MIN(YEAR(Assumptions!$H$30),2026),SUM($E$413:V$413)-SUM($E$414:U$414),0)),0)</f>
        <v>0</v>
      </c>
      <c r="W414" s="151">
        <f ca="1">IFERROR(-IF(YEAR(W397)&lt;MIN(YEAR(Assumptions!$H$30),2026),(OFFSET(W413,0,-10)),IF(YEAR(W397)=MIN(YEAR(Assumptions!$H$30),2026),SUM($E$413:W$413)-SUM($E$414:V$414),0)),0)</f>
        <v>0</v>
      </c>
      <c r="X414" s="151">
        <f ca="1">IFERROR(-IF(YEAR(X397)&lt;MIN(YEAR(Assumptions!$H$30),2026),(OFFSET(X413,0,-10)),IF(YEAR(X397)=MIN(YEAR(Assumptions!$H$30),2026),SUM($E$413:X$413)-SUM($E$414:W$414),0)),0)</f>
        <v>0</v>
      </c>
      <c r="Y414" s="151">
        <f ca="1">IFERROR(-IF(YEAR(Y397)&lt;MIN(YEAR(Assumptions!$H$30),2026),(OFFSET(Y413,0,-10)),IF(YEAR(Y397)=MIN(YEAR(Assumptions!$H$30),2026),SUM($E$413:Y$413)-SUM($E$414:X$414),0)),0)</f>
        <v>0</v>
      </c>
      <c r="Z414" s="151">
        <f ca="1">IFERROR(-IF(YEAR(Z397)&lt;MIN(YEAR(Assumptions!$H$30),2026),(OFFSET(Z413,0,-10)),IF(YEAR(Z397)=MIN(YEAR(Assumptions!$H$30),2026),SUM($E$413:Z$413)-SUM($E$414:Y$414),0)),0)</f>
        <v>0</v>
      </c>
    </row>
    <row r="415" spans="2:26" ht="15.5">
      <c r="B415" s="33" t="s">
        <v>400</v>
      </c>
      <c r="D415" s="48"/>
      <c r="E415" s="48"/>
      <c r="F415" s="151">
        <f>+IF(YEAR(F397)=MIN(YEAR(Assumptions!$H$30),2026),SUM($F$425:$Z$425),0)</f>
        <v>0</v>
      </c>
      <c r="G415" s="151">
        <f ca="1">+IF(YEAR(G397)=MIN(YEAR(Assumptions!$H$30),2026),SUM($F$425:$Z$425),0)</f>
        <v>1629780.4553287921</v>
      </c>
      <c r="H415" s="151">
        <f>+IF(YEAR(H397)=MIN(YEAR(Assumptions!$H$30),2026),SUM($F$425:$Z$425),0)</f>
        <v>0</v>
      </c>
      <c r="I415" s="151">
        <f>+IF(YEAR(I397)=MIN(YEAR(Assumptions!$H$30),2026),SUM($F$425:$Z$425),0)</f>
        <v>0</v>
      </c>
      <c r="J415" s="151">
        <f>+IF(YEAR(J397)=MIN(YEAR(Assumptions!$H$30),2026),SUM($F$425:$Z$425),0)</f>
        <v>0</v>
      </c>
      <c r="K415" s="151">
        <f>+IF(YEAR(K397)=MIN(YEAR(Assumptions!$H$30),2026),SUM($F$425:$Z$425),0)</f>
        <v>0</v>
      </c>
      <c r="L415" s="151">
        <f>+IF(YEAR(L397)=MIN(YEAR(Assumptions!$H$30),2026),SUM($F$425:$Z$425),0)</f>
        <v>0</v>
      </c>
      <c r="M415" s="151">
        <f>+IF(YEAR(M397)=MIN(YEAR(Assumptions!$H$30),2026),SUM($F$425:$Z$425),0)</f>
        <v>0</v>
      </c>
      <c r="N415" s="151">
        <f>+IF(YEAR(N397)=MIN(YEAR(Assumptions!$H$30),2026),SUM($F$425:$Z$425),0)</f>
        <v>0</v>
      </c>
      <c r="O415" s="151">
        <f>+IF(YEAR(O397)=MIN(YEAR(Assumptions!$H$30),2026),SUM($F$425:$Z$425),0)</f>
        <v>0</v>
      </c>
      <c r="P415" s="151">
        <f>+IF(YEAR(P397)=MIN(YEAR(Assumptions!$H$30),2026),SUM($F$425:$Z$425),0)</f>
        <v>0</v>
      </c>
      <c r="Q415" s="151">
        <f>+IF(YEAR(Q397)=MIN(YEAR(Assumptions!$H$30),2026),SUM($F$425:$Z$425),0)</f>
        <v>0</v>
      </c>
      <c r="R415" s="151">
        <f>+IF(YEAR(R397)=MIN(YEAR(Assumptions!$H$30),2026),SUM($F$425:$Z$425),0)</f>
        <v>0</v>
      </c>
      <c r="S415" s="151">
        <f>+IF(YEAR(S397)=MIN(YEAR(Assumptions!$H$30),2026),SUM($F$425:$Z$425),0)</f>
        <v>0</v>
      </c>
      <c r="T415" s="151">
        <f>+IF(YEAR(T397)=MIN(YEAR(Assumptions!$H$30),2026),SUM($F$425:$Z$425),0)</f>
        <v>0</v>
      </c>
      <c r="U415" s="151">
        <f>+IF(YEAR(U397)=MIN(YEAR(Assumptions!$H$30),2026),SUM($F$425:$Z$425),0)</f>
        <v>0</v>
      </c>
      <c r="V415" s="151">
        <f>+IF(YEAR(V397)=MIN(YEAR(Assumptions!$H$30),2026),SUM($F$425:$Z$425),0)</f>
        <v>0</v>
      </c>
      <c r="W415" s="151">
        <f>+IF(YEAR(W397)=MIN(YEAR(Assumptions!$H$30),2026),SUM($F$425:$Z$425),0)</f>
        <v>0</v>
      </c>
      <c r="X415" s="151">
        <f>+IF(YEAR(X397)=MIN(YEAR(Assumptions!$H$30),2026),SUM($F$425:$Z$425),0)</f>
        <v>0</v>
      </c>
      <c r="Y415" s="151">
        <f>+IF(YEAR(Y397)=MIN(YEAR(Assumptions!$H$30),2026),SUM($F$425:$Z$425),0)</f>
        <v>0</v>
      </c>
      <c r="Z415" s="151">
        <f>+IF(YEAR(Z397)=MIN(YEAR(Assumptions!$H$30),2026),SUM($F$425:$Z$425),0)</f>
        <v>0</v>
      </c>
    </row>
    <row r="416" spans="2:26" ht="15.5">
      <c r="B416" s="33" t="s">
        <v>584</v>
      </c>
      <c r="D416" s="48"/>
      <c r="E416" s="48"/>
      <c r="F416" s="151">
        <f ca="1">+F403</f>
        <v>0</v>
      </c>
      <c r="G416" s="151">
        <f t="shared" ref="G416:Z418" ca="1" si="175">+G403</f>
        <v>0</v>
      </c>
      <c r="H416" s="151">
        <f t="shared" ca="1" si="175"/>
        <v>0</v>
      </c>
      <c r="I416" s="151">
        <f t="shared" ca="1" si="175"/>
        <v>0</v>
      </c>
      <c r="J416" s="151">
        <f t="shared" ca="1" si="175"/>
        <v>829824.3210760334</v>
      </c>
      <c r="K416" s="151">
        <f t="shared" ca="1" si="175"/>
        <v>-1803863.6691056527</v>
      </c>
      <c r="L416" s="151">
        <f t="shared" ca="1" si="175"/>
        <v>-1938395.042366391</v>
      </c>
      <c r="M416" s="151">
        <f t="shared" si="175"/>
        <v>0</v>
      </c>
      <c r="N416" s="151">
        <f t="shared" si="175"/>
        <v>0</v>
      </c>
      <c r="O416" s="151">
        <f t="shared" si="175"/>
        <v>0</v>
      </c>
      <c r="P416" s="151">
        <f t="shared" si="175"/>
        <v>0</v>
      </c>
      <c r="Q416" s="151">
        <f t="shared" si="175"/>
        <v>0</v>
      </c>
      <c r="R416" s="151">
        <f t="shared" si="175"/>
        <v>0</v>
      </c>
      <c r="S416" s="151">
        <f t="shared" si="175"/>
        <v>0</v>
      </c>
      <c r="T416" s="151">
        <f t="shared" si="175"/>
        <v>0</v>
      </c>
      <c r="U416" s="151">
        <f t="shared" si="175"/>
        <v>0</v>
      </c>
      <c r="V416" s="151">
        <f t="shared" si="175"/>
        <v>0</v>
      </c>
      <c r="W416" s="151">
        <f t="shared" si="175"/>
        <v>0</v>
      </c>
      <c r="X416" s="151">
        <f t="shared" si="175"/>
        <v>0</v>
      </c>
      <c r="Y416" s="151">
        <f t="shared" si="175"/>
        <v>0</v>
      </c>
      <c r="Z416" s="151">
        <f t="shared" si="175"/>
        <v>0</v>
      </c>
    </row>
    <row r="417" spans="2:26" ht="15.5">
      <c r="B417" s="33" t="s">
        <v>586</v>
      </c>
      <c r="D417" s="48"/>
      <c r="E417" s="48"/>
      <c r="F417" s="151">
        <f ca="1">+F404</f>
        <v>0</v>
      </c>
      <c r="G417" s="151">
        <f t="shared" ca="1" si="175"/>
        <v>0</v>
      </c>
      <c r="H417" s="151">
        <f t="shared" ca="1" si="175"/>
        <v>0</v>
      </c>
      <c r="I417" s="151">
        <f t="shared" ca="1" si="175"/>
        <v>0</v>
      </c>
      <c r="J417" s="151">
        <f t="shared" ca="1" si="175"/>
        <v>-11137604.335254377</v>
      </c>
      <c r="K417" s="151">
        <f t="shared" ca="1" si="175"/>
        <v>10251709.94885575</v>
      </c>
      <c r="L417" s="151">
        <f t="shared" ca="1" si="175"/>
        <v>10625424.54299826</v>
      </c>
      <c r="M417" s="151">
        <f t="shared" si="175"/>
        <v>0</v>
      </c>
      <c r="N417" s="151">
        <f t="shared" si="175"/>
        <v>0</v>
      </c>
      <c r="O417" s="151">
        <f t="shared" si="175"/>
        <v>0</v>
      </c>
      <c r="P417" s="151">
        <f t="shared" si="175"/>
        <v>0</v>
      </c>
      <c r="Q417" s="151">
        <f t="shared" si="175"/>
        <v>0</v>
      </c>
      <c r="R417" s="151">
        <f t="shared" si="175"/>
        <v>0</v>
      </c>
      <c r="S417" s="151">
        <f t="shared" si="175"/>
        <v>0</v>
      </c>
      <c r="T417" s="151">
        <f t="shared" si="175"/>
        <v>0</v>
      </c>
      <c r="U417" s="151">
        <f t="shared" si="175"/>
        <v>0</v>
      </c>
      <c r="V417" s="151">
        <f t="shared" si="175"/>
        <v>0</v>
      </c>
      <c r="W417" s="151">
        <f t="shared" si="175"/>
        <v>0</v>
      </c>
      <c r="X417" s="151">
        <f t="shared" si="175"/>
        <v>0</v>
      </c>
      <c r="Y417" s="151">
        <f t="shared" si="175"/>
        <v>0</v>
      </c>
      <c r="Z417" s="151">
        <f t="shared" si="175"/>
        <v>0</v>
      </c>
    </row>
    <row r="418" spans="2:26" ht="15.5">
      <c r="B418" s="33" t="s">
        <v>585</v>
      </c>
      <c r="D418" s="48"/>
      <c r="E418" s="48"/>
      <c r="F418" s="151">
        <f>-F273-F228-F159</f>
        <v>0</v>
      </c>
      <c r="G418" s="151">
        <f t="shared" si="175"/>
        <v>0</v>
      </c>
      <c r="H418" s="151">
        <f t="shared" si="175"/>
        <v>0</v>
      </c>
      <c r="I418" s="151">
        <f t="shared" si="175"/>
        <v>0</v>
      </c>
      <c r="J418" s="151">
        <f t="shared" ca="1" si="175"/>
        <v>97569052.667740464</v>
      </c>
      <c r="K418" s="151">
        <f t="shared" si="175"/>
        <v>0</v>
      </c>
      <c r="L418" s="151">
        <f t="shared" ca="1" si="175"/>
        <v>223257909.52854332</v>
      </c>
      <c r="M418" s="151">
        <f t="shared" si="175"/>
        <v>0</v>
      </c>
      <c r="N418" s="151">
        <f t="shared" si="175"/>
        <v>0</v>
      </c>
      <c r="O418" s="151">
        <f t="shared" si="175"/>
        <v>0</v>
      </c>
      <c r="P418" s="151">
        <f t="shared" si="175"/>
        <v>0</v>
      </c>
      <c r="Q418" s="151">
        <f t="shared" si="175"/>
        <v>0</v>
      </c>
      <c r="R418" s="151">
        <f t="shared" si="175"/>
        <v>0</v>
      </c>
      <c r="S418" s="151">
        <f t="shared" si="175"/>
        <v>0</v>
      </c>
      <c r="T418" s="151">
        <f t="shared" si="175"/>
        <v>0</v>
      </c>
      <c r="U418" s="151">
        <f t="shared" si="175"/>
        <v>0</v>
      </c>
      <c r="V418" s="151">
        <f t="shared" si="175"/>
        <v>0</v>
      </c>
      <c r="W418" s="151">
        <f t="shared" si="175"/>
        <v>0</v>
      </c>
      <c r="X418" s="151">
        <f t="shared" si="175"/>
        <v>0</v>
      </c>
      <c r="Y418" s="151">
        <f t="shared" si="175"/>
        <v>0</v>
      </c>
      <c r="Z418" s="151">
        <f t="shared" si="175"/>
        <v>0</v>
      </c>
    </row>
    <row r="419" spans="2:26" ht="15.5">
      <c r="B419" s="33" t="s">
        <v>397</v>
      </c>
      <c r="D419" s="48"/>
      <c r="E419" s="48"/>
      <c r="F419" s="151">
        <f>+IF(F399&gt;=10,0,F406)</f>
        <v>0</v>
      </c>
      <c r="G419" s="151">
        <f t="shared" ref="G419:Z419" si="176">+IF(G399&gt;=10,0,G406)</f>
        <v>0</v>
      </c>
      <c r="H419" s="151">
        <f t="shared" si="176"/>
        <v>0</v>
      </c>
      <c r="I419" s="151">
        <f t="shared" si="176"/>
        <v>0</v>
      </c>
      <c r="J419" s="151">
        <f t="shared" si="176"/>
        <v>0</v>
      </c>
      <c r="K419" s="151">
        <f t="shared" si="176"/>
        <v>0</v>
      </c>
      <c r="L419" s="151">
        <f t="shared" ca="1" si="176"/>
        <v>-50208724.450421594</v>
      </c>
      <c r="M419" s="151">
        <f t="shared" si="176"/>
        <v>0</v>
      </c>
      <c r="N419" s="151">
        <f t="shared" si="176"/>
        <v>0</v>
      </c>
      <c r="O419" s="151">
        <f t="shared" si="176"/>
        <v>0</v>
      </c>
      <c r="P419" s="151">
        <f t="shared" si="176"/>
        <v>0</v>
      </c>
      <c r="Q419" s="151">
        <f t="shared" si="176"/>
        <v>0</v>
      </c>
      <c r="R419" s="151">
        <f t="shared" si="176"/>
        <v>0</v>
      </c>
      <c r="S419" s="151">
        <f t="shared" si="176"/>
        <v>0</v>
      </c>
      <c r="T419" s="151">
        <f t="shared" si="176"/>
        <v>0</v>
      </c>
      <c r="U419" s="151">
        <f t="shared" si="176"/>
        <v>0</v>
      </c>
      <c r="V419" s="151">
        <f t="shared" si="176"/>
        <v>0</v>
      </c>
      <c r="W419" s="151">
        <f t="shared" si="176"/>
        <v>0</v>
      </c>
      <c r="X419" s="151">
        <f t="shared" si="176"/>
        <v>0</v>
      </c>
      <c r="Y419" s="151">
        <f t="shared" si="176"/>
        <v>0</v>
      </c>
      <c r="Z419" s="151">
        <f t="shared" si="176"/>
        <v>0</v>
      </c>
    </row>
    <row r="420" spans="2:26" ht="15.5">
      <c r="B420" s="138" t="s">
        <v>388</v>
      </c>
      <c r="C420" s="138"/>
      <c r="D420" s="139">
        <f t="shared" ref="D420" ca="1" si="177">+SUM(F420:Z420)</f>
        <v>201466520.85649979</v>
      </c>
      <c r="E420" s="139"/>
      <c r="F420" s="139">
        <f t="shared" ref="F420:Z420" ca="1" si="178">+SUM(F412:F419)</f>
        <v>-61310788.557606936</v>
      </c>
      <c r="G420" s="139">
        <f t="shared" ca="1" si="178"/>
        <v>-14668024.097959127</v>
      </c>
      <c r="H420" s="139">
        <f t="shared" ca="1" si="178"/>
        <v>0</v>
      </c>
      <c r="I420" s="139">
        <f t="shared" ca="1" si="178"/>
        <v>0</v>
      </c>
      <c r="J420" s="139">
        <f t="shared" ca="1" si="178"/>
        <v>87261272.653562129</v>
      </c>
      <c r="K420" s="139">
        <f t="shared" ca="1" si="178"/>
        <v>8447846.2797500975</v>
      </c>
      <c r="L420" s="139">
        <f t="shared" ca="1" si="178"/>
        <v>181736214.57875359</v>
      </c>
      <c r="M420" s="139">
        <f t="shared" ca="1" si="178"/>
        <v>0</v>
      </c>
      <c r="N420" s="139">
        <f t="shared" ca="1" si="178"/>
        <v>0</v>
      </c>
      <c r="O420" s="139">
        <f t="shared" ca="1" si="178"/>
        <v>0</v>
      </c>
      <c r="P420" s="139">
        <f t="shared" ca="1" si="178"/>
        <v>0</v>
      </c>
      <c r="Q420" s="139">
        <f t="shared" ca="1" si="178"/>
        <v>0</v>
      </c>
      <c r="R420" s="139">
        <f t="shared" ca="1" si="178"/>
        <v>0</v>
      </c>
      <c r="S420" s="139">
        <f t="shared" ca="1" si="178"/>
        <v>0</v>
      </c>
      <c r="T420" s="139">
        <f t="shared" ca="1" si="178"/>
        <v>0</v>
      </c>
      <c r="U420" s="139">
        <f t="shared" ca="1" si="178"/>
        <v>0</v>
      </c>
      <c r="V420" s="139">
        <f t="shared" ca="1" si="178"/>
        <v>0</v>
      </c>
      <c r="W420" s="139">
        <f t="shared" ca="1" si="178"/>
        <v>0</v>
      </c>
      <c r="X420" s="139">
        <f t="shared" ca="1" si="178"/>
        <v>0</v>
      </c>
      <c r="Y420" s="139">
        <f t="shared" ca="1" si="178"/>
        <v>0</v>
      </c>
      <c r="Z420" s="139">
        <f t="shared" ca="1" si="178"/>
        <v>0</v>
      </c>
    </row>
    <row r="422" spans="2:26" ht="15.5">
      <c r="B422" s="190" t="s">
        <v>581</v>
      </c>
      <c r="C422" s="190"/>
      <c r="D422" s="191">
        <f ca="1">+IRR(F420:Z420)</f>
        <v>0.29225586685857574</v>
      </c>
    </row>
    <row r="423" spans="2:26" ht="15.5">
      <c r="B423" s="194" t="s">
        <v>582</v>
      </c>
      <c r="C423" s="193"/>
      <c r="D423" s="228">
        <f ca="1">+D422/(1-Assumptions!$M$192)</f>
        <v>0.36994413526401992</v>
      </c>
    </row>
    <row r="425" spans="2:26">
      <c r="B425" s="41" t="s">
        <v>401</v>
      </c>
      <c r="F425" s="151">
        <f ca="1">IFERROR(IF(YEAR(F397)&lt;=YEAR(Assumptions!$H$30),10%*(OFFSET(F413,0,-5))+5%*(OFFSET(F413,0,-7)),0),0)</f>
        <v>0</v>
      </c>
      <c r="G425" s="151">
        <f ca="1">IFERROR(IF(YEAR(G397)&lt;=YEAR(Assumptions!$H$30),10%*(OFFSET(G413,0,-5))+5%*(OFFSET(G413,0,-7)),0),0)</f>
        <v>0</v>
      </c>
      <c r="H425" s="151">
        <f ca="1">IFERROR(IF(YEAR(H397)&lt;=YEAR(Assumptions!$H$30),10%*(OFFSET(H413,0,-5))+5%*(OFFSET(H413,0,-7)),0),0)</f>
        <v>0</v>
      </c>
      <c r="I425" s="151">
        <f ca="1">IFERROR(IF(YEAR(I397)&lt;=YEAR(Assumptions!$H$30),10%*(OFFSET(I413,0,-5))+5%*(OFFSET(I413,0,-7)),0),0)</f>
        <v>0</v>
      </c>
      <c r="J425" s="151">
        <f ca="1">IFERROR(IF(YEAR(J397)&lt;=YEAR(Assumptions!$H$30),10%*(OFFSET(J413,0,-5))+5%*(OFFSET(J413,0,-7)),0),0)</f>
        <v>0</v>
      </c>
      <c r="K425" s="151">
        <f ca="1">IFERROR(IF(YEAR(K397)&lt;=YEAR(Assumptions!$H$30),10%*(OFFSET(K413,0,-5))+5%*(OFFSET(K413,0,-7)),0),0)</f>
        <v>1629780.4553287921</v>
      </c>
      <c r="L425" s="151">
        <f ca="1">IFERROR(IF(YEAR(L397)&lt;=YEAR(Assumptions!$H$30),10%*(OFFSET(L413,0,-5))+5%*(OFFSET(L413,0,-7)),0),0)</f>
        <v>0</v>
      </c>
      <c r="M425" s="151">
        <f ca="1">IFERROR(IF(YEAR(M397)&lt;=YEAR(Assumptions!$H$30),10%*(OFFSET(M413,0,-5))+5%*(OFFSET(M413,0,-7)),0),0)</f>
        <v>0</v>
      </c>
      <c r="N425" s="151">
        <f ca="1">IFERROR(IF(YEAR(N397)&lt;=YEAR(Assumptions!$H$30),10%*(OFFSET(N413,0,-5))+5%*(OFFSET(N413,0,-7)),0),0)</f>
        <v>0</v>
      </c>
      <c r="O425" s="151">
        <f ca="1">IFERROR(IF(YEAR(O397)&lt;=YEAR(Assumptions!$H$30),10%*(OFFSET(O413,0,-5))+5%*(OFFSET(O413,0,-7)),0),0)</f>
        <v>0</v>
      </c>
      <c r="P425" s="151">
        <f ca="1">IFERROR(IF(YEAR(P397)&lt;=YEAR(Assumptions!$H$30),10%*(OFFSET(P413,0,-5))+5%*(OFFSET(P413,0,-7)),0),0)</f>
        <v>0</v>
      </c>
      <c r="Q425" s="151">
        <f ca="1">IFERROR(IF(YEAR(Q397)&lt;=YEAR(Assumptions!$H$30),10%*(OFFSET(Q413,0,-5))+5%*(OFFSET(Q413,0,-7)),0),0)</f>
        <v>0</v>
      </c>
      <c r="R425" s="151">
        <f ca="1">IFERROR(IF(YEAR(R397)&lt;=YEAR(Assumptions!$H$30),10%*(OFFSET(R413,0,-5))+5%*(OFFSET(R413,0,-7)),0),0)</f>
        <v>0</v>
      </c>
      <c r="S425" s="151">
        <f ca="1">IFERROR(IF(YEAR(S397)&lt;=YEAR(Assumptions!$H$30),10%*(OFFSET(S413,0,-5))+5%*(OFFSET(S413,0,-7)),0),0)</f>
        <v>0</v>
      </c>
      <c r="T425" s="151">
        <f ca="1">IFERROR(IF(YEAR(T397)&lt;=YEAR(Assumptions!$H$30),10%*(OFFSET(T413,0,-5))+5%*(OFFSET(T413,0,-7)),0),0)</f>
        <v>0</v>
      </c>
      <c r="U425" s="151">
        <f ca="1">IFERROR(IF(YEAR(U397)&lt;=YEAR(Assumptions!$H$30),10%*(OFFSET(U413,0,-5))+5%*(OFFSET(U413,0,-7)),0),0)</f>
        <v>0</v>
      </c>
      <c r="V425" s="151">
        <f ca="1">IFERROR(IF(YEAR(V397)&lt;=YEAR(Assumptions!$H$30),10%*(OFFSET(V413,0,-5))+5%*(OFFSET(V413,0,-7)),0),0)</f>
        <v>0</v>
      </c>
      <c r="W425" s="151">
        <f ca="1">IFERROR(IF(YEAR(W397)&lt;=YEAR(Assumptions!$H$30),10%*(OFFSET(W413,0,-5))+5%*(OFFSET(W413,0,-7)),0),0)</f>
        <v>0</v>
      </c>
      <c r="X425" s="151">
        <f ca="1">IFERROR(IF(YEAR(X397)&lt;=YEAR(Assumptions!$H$30),10%*(OFFSET(X413,0,-5))+5%*(OFFSET(X413,0,-7)),0),0)</f>
        <v>0</v>
      </c>
      <c r="Y425" s="151">
        <f ca="1">IFERROR(IF(YEAR(Y397)&lt;=YEAR(Assumptions!$H$30),10%*(OFFSET(Y413,0,-5))+5%*(OFFSET(Y413,0,-7)),0),0)</f>
        <v>0</v>
      </c>
      <c r="Z425" s="151">
        <f ca="1">IFERROR(IF(YEAR(Z397)&lt;=YEAR(Assumptions!$H$30),10%*(OFFSET(Z413,0,-5))+5%*(OFFSET(Z413,0,-7)),0),0)</f>
        <v>0</v>
      </c>
    </row>
    <row r="427" spans="2:26" ht="15.5">
      <c r="B427" s="148" t="s">
        <v>381</v>
      </c>
    </row>
    <row r="428" spans="2:26" ht="15.5">
      <c r="B428" s="33" t="s">
        <v>382</v>
      </c>
      <c r="D428" s="48">
        <f ca="1">+SUM(F428:Z428)</f>
        <v>283223690.27512968</v>
      </c>
      <c r="E428" s="48"/>
      <c r="F428" s="34">
        <v>0</v>
      </c>
      <c r="G428" s="34">
        <f ca="1">+F435</f>
        <v>77608593.110894859</v>
      </c>
      <c r="H428" s="34">
        <f t="shared" ref="H428:Z428" ca="1" si="179">+G435</f>
        <v>77608593.110894859</v>
      </c>
      <c r="I428" s="34">
        <f t="shared" ca="1" si="179"/>
        <v>77608593.110894799</v>
      </c>
      <c r="J428" s="34">
        <f t="shared" ca="1" si="179"/>
        <v>77608593.110894859</v>
      </c>
      <c r="K428" s="34">
        <f t="shared" ca="1" si="179"/>
        <v>-12774399.607667565</v>
      </c>
      <c r="L428" s="34">
        <f t="shared" ca="1" si="179"/>
        <v>-14436282.560782053</v>
      </c>
      <c r="M428" s="34">
        <f t="shared" ca="1" si="179"/>
        <v>0</v>
      </c>
      <c r="N428" s="34">
        <f t="shared" ca="1" si="179"/>
        <v>0</v>
      </c>
      <c r="O428" s="34">
        <f t="shared" ca="1" si="179"/>
        <v>0</v>
      </c>
      <c r="P428" s="34">
        <f t="shared" ca="1" si="179"/>
        <v>0</v>
      </c>
      <c r="Q428" s="34">
        <f t="shared" ca="1" si="179"/>
        <v>0</v>
      </c>
      <c r="R428" s="34">
        <f t="shared" ca="1" si="179"/>
        <v>0</v>
      </c>
      <c r="S428" s="34">
        <f t="shared" ca="1" si="179"/>
        <v>0</v>
      </c>
      <c r="T428" s="34">
        <f t="shared" ca="1" si="179"/>
        <v>0</v>
      </c>
      <c r="U428" s="34">
        <f t="shared" ca="1" si="179"/>
        <v>0</v>
      </c>
      <c r="V428" s="34">
        <f t="shared" ca="1" si="179"/>
        <v>0</v>
      </c>
      <c r="W428" s="34">
        <f t="shared" ca="1" si="179"/>
        <v>0</v>
      </c>
      <c r="X428" s="34">
        <f t="shared" ca="1" si="179"/>
        <v>0</v>
      </c>
      <c r="Y428" s="34">
        <f t="shared" ca="1" si="179"/>
        <v>0</v>
      </c>
      <c r="Z428" s="34">
        <f t="shared" ca="1" si="179"/>
        <v>0</v>
      </c>
    </row>
    <row r="429" spans="2:26" ht="15.5">
      <c r="B429" s="33" t="s">
        <v>380</v>
      </c>
      <c r="D429" s="48">
        <f t="shared" ref="D429:D434" ca="1" si="180">+SUM(F429:Z429)</f>
        <v>77608593.110894859</v>
      </c>
      <c r="E429" s="48"/>
      <c r="F429" s="151">
        <f ca="1">-F400</f>
        <v>77608593.110894859</v>
      </c>
      <c r="G429" s="151">
        <f t="shared" ref="G429:Z429" ca="1" si="181">-G400</f>
        <v>0</v>
      </c>
      <c r="H429" s="151">
        <f t="shared" ca="1" si="181"/>
        <v>0</v>
      </c>
      <c r="I429" s="151">
        <f t="shared" ca="1" si="181"/>
        <v>0</v>
      </c>
      <c r="J429" s="151">
        <f t="shared" ca="1" si="181"/>
        <v>0</v>
      </c>
      <c r="K429" s="151">
        <f t="shared" ca="1" si="181"/>
        <v>0</v>
      </c>
      <c r="L429" s="151">
        <f t="shared" ca="1" si="181"/>
        <v>0</v>
      </c>
      <c r="M429" s="151">
        <f t="shared" ca="1" si="181"/>
        <v>0</v>
      </c>
      <c r="N429" s="151">
        <f t="shared" ca="1" si="181"/>
        <v>0</v>
      </c>
      <c r="O429" s="151">
        <f t="shared" ca="1" si="181"/>
        <v>0</v>
      </c>
      <c r="P429" s="151">
        <f t="shared" ca="1" si="181"/>
        <v>0</v>
      </c>
      <c r="Q429" s="151">
        <f t="shared" ca="1" si="181"/>
        <v>0</v>
      </c>
      <c r="R429" s="151">
        <f t="shared" ca="1" si="181"/>
        <v>0</v>
      </c>
      <c r="S429" s="151">
        <f t="shared" ca="1" si="181"/>
        <v>0</v>
      </c>
      <c r="T429" s="151">
        <f t="shared" ca="1" si="181"/>
        <v>0</v>
      </c>
      <c r="U429" s="151">
        <f t="shared" ca="1" si="181"/>
        <v>0</v>
      </c>
      <c r="V429" s="151">
        <f t="shared" ca="1" si="181"/>
        <v>0</v>
      </c>
      <c r="W429" s="151">
        <f t="shared" ca="1" si="181"/>
        <v>0</v>
      </c>
      <c r="X429" s="151">
        <f t="shared" ca="1" si="181"/>
        <v>0</v>
      </c>
      <c r="Y429" s="151">
        <f t="shared" ca="1" si="181"/>
        <v>0</v>
      </c>
      <c r="Z429" s="151">
        <f t="shared" ca="1" si="181"/>
        <v>0</v>
      </c>
    </row>
    <row r="430" spans="2:26" ht="15.5">
      <c r="B430" s="33" t="s">
        <v>580</v>
      </c>
      <c r="D430" s="48">
        <f t="shared" ca="1" si="180"/>
        <v>25405147.031310324</v>
      </c>
      <c r="E430" s="48"/>
      <c r="F430" s="151">
        <f ca="1">IF(F397&lt;=Assumptions!$H$30,F390-F146-F216-F261,0)</f>
        <v>0</v>
      </c>
      <c r="G430" s="151">
        <f ca="1">IF(G397&lt;=Assumptions!$H$30,G390-G146-G216-G261,0)</f>
        <v>0</v>
      </c>
      <c r="H430" s="151">
        <f ca="1">IF(H397&lt;=Assumptions!$H$30,H390-H146-H216-H261,0)</f>
        <v>0</v>
      </c>
      <c r="I430" s="151">
        <f ca="1">IF(I397&lt;=Assumptions!$H$30,I390-I146-I216-I261,0)</f>
        <v>0</v>
      </c>
      <c r="J430" s="151">
        <f ca="1">IF(J397&lt;=Assumptions!$H$30,J390-J146-J216-J261,0)</f>
        <v>-3951544.3860763423</v>
      </c>
      <c r="K430" s="151">
        <f ca="1">IF(K397&lt;=Assumptions!$H$30,K390-K146-K216-K261,0)</f>
        <v>14358032.915215403</v>
      </c>
      <c r="L430" s="151">
        <f ca="1">IF(L397&lt;=Assumptions!$H$30,L390-L146-L216-L261,0)</f>
        <v>14998658.502171293</v>
      </c>
      <c r="M430" s="151">
        <f>IF(M397&lt;=Assumptions!$H$30,M390-M146-M216-M261,0)</f>
        <v>0</v>
      </c>
      <c r="N430" s="151">
        <f>IF(N397&lt;=Assumptions!$H$30,N390-N146-N216-N261,0)</f>
        <v>0</v>
      </c>
      <c r="O430" s="151">
        <f>IF(O397&lt;=Assumptions!$H$30,O390-O146-O216-O261,0)</f>
        <v>0</v>
      </c>
      <c r="P430" s="151">
        <f>IF(P397&lt;=Assumptions!$H$30,P390-P146-P216-P261,0)</f>
        <v>0</v>
      </c>
      <c r="Q430" s="151">
        <f>IF(Q397&lt;=Assumptions!$H$30,Q390-Q146-Q216-Q261,0)</f>
        <v>0</v>
      </c>
      <c r="R430" s="151">
        <f>IF(R397&lt;=Assumptions!$H$30,R390-R146-R216-R261,0)</f>
        <v>0</v>
      </c>
      <c r="S430" s="151">
        <f>IF(S397&lt;=Assumptions!$H$30,S390-S146-S216-S261,0)</f>
        <v>0</v>
      </c>
      <c r="T430" s="151">
        <f>IF(T397&lt;=Assumptions!$H$30,T390-T146-T216-T261,0)</f>
        <v>0</v>
      </c>
      <c r="U430" s="151">
        <f>IF(U397&lt;=Assumptions!$H$30,U390-U146-U216-U261,0)</f>
        <v>0</v>
      </c>
      <c r="V430" s="151">
        <f>IF(V397&lt;=Assumptions!$H$30,V390-V146-V216-V261,0)</f>
        <v>0</v>
      </c>
      <c r="W430" s="151">
        <f>IF(W397&lt;=Assumptions!$H$30,W390-W146-W216-W261,0)</f>
        <v>0</v>
      </c>
      <c r="X430" s="151">
        <f>IF(X397&lt;=Assumptions!$H$30,X390-X146-X216-X261,0)</f>
        <v>0</v>
      </c>
      <c r="Y430" s="151">
        <f>IF(Y397&lt;=Assumptions!$H$30,Y390-Y146-Y216-Y261,0)</f>
        <v>0</v>
      </c>
      <c r="Z430" s="151">
        <f>IF(Z397&lt;=Assumptions!$H$30,Z390-Z146-Z216-Z261,0)</f>
        <v>0</v>
      </c>
    </row>
    <row r="431" spans="2:26" ht="15.5">
      <c r="B431" s="33" t="s">
        <v>392</v>
      </c>
      <c r="D431" s="48">
        <f t="shared" si="180"/>
        <v>-11536411.838948369</v>
      </c>
      <c r="E431" s="48"/>
      <c r="F431" s="151">
        <f>+F391</f>
        <v>0</v>
      </c>
      <c r="G431" s="151">
        <f t="shared" ref="G431:Z431" si="182">+G391</f>
        <v>0</v>
      </c>
      <c r="H431" s="151">
        <f t="shared" si="182"/>
        <v>0</v>
      </c>
      <c r="I431" s="151">
        <f t="shared" si="182"/>
        <v>0</v>
      </c>
      <c r="J431" s="151">
        <f t="shared" si="182"/>
        <v>0</v>
      </c>
      <c r="K431" s="151">
        <f t="shared" si="182"/>
        <v>-5768205.9194741845</v>
      </c>
      <c r="L431" s="151">
        <f t="shared" si="182"/>
        <v>-5768205.9194741845</v>
      </c>
      <c r="M431" s="151">
        <f t="shared" si="182"/>
        <v>0</v>
      </c>
      <c r="N431" s="151">
        <f t="shared" si="182"/>
        <v>0</v>
      </c>
      <c r="O431" s="151">
        <f t="shared" si="182"/>
        <v>0</v>
      </c>
      <c r="P431" s="151">
        <f t="shared" si="182"/>
        <v>0</v>
      </c>
      <c r="Q431" s="151">
        <f t="shared" si="182"/>
        <v>0</v>
      </c>
      <c r="R431" s="151">
        <f t="shared" si="182"/>
        <v>0</v>
      </c>
      <c r="S431" s="151">
        <f t="shared" si="182"/>
        <v>0</v>
      </c>
      <c r="T431" s="151">
        <f t="shared" si="182"/>
        <v>0</v>
      </c>
      <c r="U431" s="151">
        <f t="shared" si="182"/>
        <v>0</v>
      </c>
      <c r="V431" s="151">
        <f t="shared" si="182"/>
        <v>0</v>
      </c>
      <c r="W431" s="151">
        <f t="shared" si="182"/>
        <v>0</v>
      </c>
      <c r="X431" s="151">
        <f t="shared" si="182"/>
        <v>0</v>
      </c>
      <c r="Y431" s="151">
        <f t="shared" si="182"/>
        <v>0</v>
      </c>
      <c r="Z431" s="151">
        <f t="shared" si="182"/>
        <v>0</v>
      </c>
    </row>
    <row r="432" spans="2:26" ht="15.5">
      <c r="B432" s="33" t="s">
        <v>586</v>
      </c>
      <c r="D432" s="48">
        <f t="shared" ca="1" si="180"/>
        <v>-9739530.1565996036</v>
      </c>
      <c r="E432" s="48"/>
      <c r="F432" s="151">
        <f ca="1">-F404</f>
        <v>0</v>
      </c>
      <c r="G432" s="151">
        <f t="shared" ref="G432:Z432" ca="1" si="183">-G404</f>
        <v>0</v>
      </c>
      <c r="H432" s="151">
        <f t="shared" ca="1" si="183"/>
        <v>0</v>
      </c>
      <c r="I432" s="151">
        <f t="shared" ca="1" si="183"/>
        <v>0</v>
      </c>
      <c r="J432" s="151">
        <f t="shared" ca="1" si="183"/>
        <v>11137604.335254377</v>
      </c>
      <c r="K432" s="151">
        <f t="shared" ca="1" si="183"/>
        <v>-10251709.94885575</v>
      </c>
      <c r="L432" s="151">
        <f t="shared" ca="1" si="183"/>
        <v>-10625424.54299826</v>
      </c>
      <c r="M432" s="151">
        <f t="shared" si="183"/>
        <v>0</v>
      </c>
      <c r="N432" s="151">
        <f t="shared" si="183"/>
        <v>0</v>
      </c>
      <c r="O432" s="151">
        <f t="shared" si="183"/>
        <v>0</v>
      </c>
      <c r="P432" s="151">
        <f t="shared" si="183"/>
        <v>0</v>
      </c>
      <c r="Q432" s="151">
        <f t="shared" si="183"/>
        <v>0</v>
      </c>
      <c r="R432" s="151">
        <f t="shared" si="183"/>
        <v>0</v>
      </c>
      <c r="S432" s="151">
        <f t="shared" si="183"/>
        <v>0</v>
      </c>
      <c r="T432" s="151">
        <f t="shared" si="183"/>
        <v>0</v>
      </c>
      <c r="U432" s="151">
        <f t="shared" si="183"/>
        <v>0</v>
      </c>
      <c r="V432" s="151">
        <f t="shared" si="183"/>
        <v>0</v>
      </c>
      <c r="W432" s="151">
        <f t="shared" si="183"/>
        <v>0</v>
      </c>
      <c r="X432" s="151">
        <f t="shared" si="183"/>
        <v>0</v>
      </c>
      <c r="Y432" s="151">
        <f t="shared" si="183"/>
        <v>0</v>
      </c>
      <c r="Z432" s="151">
        <f t="shared" si="183"/>
        <v>0</v>
      </c>
    </row>
    <row r="433" spans="2:26" ht="15.5">
      <c r="B433" s="33" t="s">
        <v>583</v>
      </c>
      <c r="D433" s="48">
        <f t="shared" ca="1" si="180"/>
        <v>-320826962.19628382</v>
      </c>
      <c r="E433" s="48"/>
      <c r="F433" s="151">
        <f>-F273-F228-F159</f>
        <v>0</v>
      </c>
      <c r="G433" s="151">
        <f t="shared" ref="G433:Z433" si="184">-G273-G228-G159</f>
        <v>0</v>
      </c>
      <c r="H433" s="151">
        <f t="shared" si="184"/>
        <v>0</v>
      </c>
      <c r="I433" s="151">
        <f t="shared" si="184"/>
        <v>0</v>
      </c>
      <c r="J433" s="151">
        <f t="shared" ca="1" si="184"/>
        <v>-97569052.667740524</v>
      </c>
      <c r="K433" s="151">
        <f t="shared" si="184"/>
        <v>0</v>
      </c>
      <c r="L433" s="151">
        <f t="shared" ca="1" si="184"/>
        <v>-223257909.52854362</v>
      </c>
      <c r="M433" s="151">
        <f t="shared" si="184"/>
        <v>0</v>
      </c>
      <c r="N433" s="151">
        <f t="shared" si="184"/>
        <v>0</v>
      </c>
      <c r="O433" s="151">
        <f t="shared" si="184"/>
        <v>0</v>
      </c>
      <c r="P433" s="151">
        <f t="shared" si="184"/>
        <v>0</v>
      </c>
      <c r="Q433" s="151">
        <f t="shared" si="184"/>
        <v>0</v>
      </c>
      <c r="R433" s="151">
        <f t="shared" si="184"/>
        <v>0</v>
      </c>
      <c r="S433" s="151">
        <f t="shared" si="184"/>
        <v>0</v>
      </c>
      <c r="T433" s="151">
        <f t="shared" si="184"/>
        <v>0</v>
      </c>
      <c r="U433" s="151">
        <f t="shared" si="184"/>
        <v>0</v>
      </c>
      <c r="V433" s="151">
        <f t="shared" si="184"/>
        <v>0</v>
      </c>
      <c r="W433" s="151">
        <f t="shared" si="184"/>
        <v>0</v>
      </c>
      <c r="X433" s="151">
        <f t="shared" si="184"/>
        <v>0</v>
      </c>
      <c r="Y433" s="151">
        <f t="shared" si="184"/>
        <v>0</v>
      </c>
      <c r="Z433" s="151">
        <f t="shared" si="184"/>
        <v>0</v>
      </c>
    </row>
    <row r="434" spans="2:26" ht="15.5">
      <c r="B434" s="33" t="s">
        <v>396</v>
      </c>
      <c r="D434" s="48">
        <f t="shared" ca="1" si="180"/>
        <v>239089164.04962665</v>
      </c>
      <c r="E434" s="48"/>
      <c r="F434" s="151">
        <f>-IF(YEAR(F397)=YEAR(Assumptions!$H$30),SUM(F428:F433),0)</f>
        <v>0</v>
      </c>
      <c r="G434" s="151">
        <f>-IF(YEAR(G397)=YEAR(Assumptions!$H$30),SUM(G428:G433),0)</f>
        <v>0</v>
      </c>
      <c r="H434" s="151">
        <f>-IF(YEAR(H397)=YEAR(Assumptions!$H$30),SUM(H428:H433),0)</f>
        <v>0</v>
      </c>
      <c r="I434" s="151">
        <f>-IF(YEAR(I397)=YEAR(Assumptions!$H$30),SUM(I428:I433),0)</f>
        <v>0</v>
      </c>
      <c r="J434" s="151">
        <f>-IF(YEAR(J397)=YEAR(Assumptions!$H$30),SUM(J428:J433),0)</f>
        <v>0</v>
      </c>
      <c r="K434" s="151">
        <f>-IF(YEAR(K397)=YEAR(Assumptions!$H$30),SUM(K428:K433),0)</f>
        <v>0</v>
      </c>
      <c r="L434" s="151">
        <f ca="1">-IF(YEAR(L397)=YEAR(Assumptions!$H$30),SUM(L428:L433),0)</f>
        <v>239089164.04962683</v>
      </c>
      <c r="M434" s="151">
        <f>-IF(YEAR(M397)=YEAR(Assumptions!$H$30),SUM(M428:M433),0)</f>
        <v>0</v>
      </c>
      <c r="N434" s="151">
        <f>-IF(YEAR(N397)=YEAR(Assumptions!$H$30),SUM(N428:N433),0)</f>
        <v>0</v>
      </c>
      <c r="O434" s="151">
        <f>-IF(YEAR(O397)=YEAR(Assumptions!$H$30),SUM(O428:O433),0)</f>
        <v>0</v>
      </c>
      <c r="P434" s="151">
        <f>-IF(YEAR(P397)=YEAR(Assumptions!$H$30),SUM(P428:P433),0)</f>
        <v>0</v>
      </c>
      <c r="Q434" s="151">
        <f>-IF(YEAR(Q397)=YEAR(Assumptions!$H$30),SUM(Q428:Q433),0)</f>
        <v>0</v>
      </c>
      <c r="R434" s="151">
        <f>-IF(YEAR(R397)=YEAR(Assumptions!$H$30),SUM(R428:R433),0)</f>
        <v>0</v>
      </c>
      <c r="S434" s="151">
        <f>-IF(YEAR(S397)=YEAR(Assumptions!$H$30),SUM(S428:S433),0)</f>
        <v>0</v>
      </c>
      <c r="T434" s="151">
        <f>-IF(YEAR(T397)=YEAR(Assumptions!$H$30),SUM(T428:T433),0)</f>
        <v>0</v>
      </c>
      <c r="U434" s="151">
        <f>-IF(YEAR(U397)=YEAR(Assumptions!$H$30),SUM(U428:U433),0)</f>
        <v>0</v>
      </c>
      <c r="V434" s="151">
        <f>-IF(YEAR(V397)=YEAR(Assumptions!$H$30),SUM(V428:V433),0)</f>
        <v>0</v>
      </c>
      <c r="W434" s="151">
        <f>-IF(YEAR(W397)=YEAR(Assumptions!$H$30),SUM(W428:W433),0)</f>
        <v>0</v>
      </c>
      <c r="X434" s="151">
        <f>-IF(YEAR(X397)=YEAR(Assumptions!$H$30),SUM(X428:X433),0)</f>
        <v>0</v>
      </c>
      <c r="Y434" s="151">
        <f>-IF(YEAR(Y397)=YEAR(Assumptions!$H$30),SUM(Y428:Y433),0)</f>
        <v>0</v>
      </c>
      <c r="Z434" s="151">
        <f>-IF(YEAR(Z397)=YEAR(Assumptions!$H$30),SUM(Z428:Z433),0)</f>
        <v>0</v>
      </c>
    </row>
    <row r="435" spans="2:26" ht="15.5">
      <c r="B435" s="137" t="s">
        <v>384</v>
      </c>
      <c r="C435" s="137"/>
      <c r="D435" s="36">
        <f t="shared" ref="D435" ca="1" si="185">+SUM(F435:Z435)</f>
        <v>283223690.27512974</v>
      </c>
      <c r="E435" s="129"/>
      <c r="F435" s="129">
        <f ca="1">+SUM(F428:F434)</f>
        <v>77608593.110894859</v>
      </c>
      <c r="G435" s="129">
        <f t="shared" ref="G435:Z435" ca="1" si="186">+SUM(G428:G434)</f>
        <v>77608593.110894859</v>
      </c>
      <c r="H435" s="129">
        <f t="shared" ca="1" si="186"/>
        <v>77608593.110894859</v>
      </c>
      <c r="I435" s="129">
        <f t="shared" ca="1" si="186"/>
        <v>77608593.110894799</v>
      </c>
      <c r="J435" s="129">
        <f t="shared" ca="1" si="186"/>
        <v>-12774399.60766764</v>
      </c>
      <c r="K435" s="129">
        <f t="shared" ca="1" si="186"/>
        <v>-14436282.560782097</v>
      </c>
      <c r="L435" s="129">
        <f t="shared" ca="1" si="186"/>
        <v>0</v>
      </c>
      <c r="M435" s="129">
        <f t="shared" ca="1" si="186"/>
        <v>0</v>
      </c>
      <c r="N435" s="129">
        <f t="shared" ca="1" si="186"/>
        <v>0</v>
      </c>
      <c r="O435" s="129">
        <f t="shared" ca="1" si="186"/>
        <v>0</v>
      </c>
      <c r="P435" s="129">
        <f t="shared" ca="1" si="186"/>
        <v>0</v>
      </c>
      <c r="Q435" s="129">
        <f t="shared" ca="1" si="186"/>
        <v>0</v>
      </c>
      <c r="R435" s="129">
        <f t="shared" ca="1" si="186"/>
        <v>0</v>
      </c>
      <c r="S435" s="129">
        <f t="shared" ca="1" si="186"/>
        <v>0</v>
      </c>
      <c r="T435" s="129">
        <f t="shared" ca="1" si="186"/>
        <v>0</v>
      </c>
      <c r="U435" s="129">
        <f t="shared" ca="1" si="186"/>
        <v>0</v>
      </c>
      <c r="V435" s="129">
        <f t="shared" ca="1" si="186"/>
        <v>0</v>
      </c>
      <c r="W435" s="129">
        <f t="shared" ca="1" si="186"/>
        <v>0</v>
      </c>
      <c r="X435" s="129">
        <f t="shared" ca="1" si="186"/>
        <v>0</v>
      </c>
      <c r="Y435" s="129">
        <f t="shared" ca="1" si="186"/>
        <v>0</v>
      </c>
      <c r="Z435" s="129">
        <f t="shared" ca="1" si="186"/>
        <v>0</v>
      </c>
    </row>
  </sheetData>
  <phoneticPr fontId="79"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B1:Z58"/>
  <sheetViews>
    <sheetView showGridLines="0" zoomScale="55" zoomScaleNormal="55" workbookViewId="0">
      <selection activeCell="H13" sqref="H13"/>
    </sheetView>
  </sheetViews>
  <sheetFormatPr defaultColWidth="14.453125" defaultRowHeight="15.25"/>
  <cols>
    <col min="1" max="1" width="8.453125" style="41" customWidth="1"/>
    <col min="2" max="3" width="14.453125" style="41"/>
    <col min="4" max="4" width="16.453125" style="41" bestFit="1" customWidth="1"/>
    <col min="5" max="5" width="14.453125" style="41"/>
    <col min="6" max="8" width="17.453125" style="41" bestFit="1" customWidth="1"/>
    <col min="9" max="9" width="15.453125" style="41" bestFit="1" customWidth="1"/>
    <col min="10" max="10" width="17.453125" style="41" bestFit="1" customWidth="1"/>
    <col min="11" max="11" width="16.36328125" style="41" bestFit="1" customWidth="1"/>
    <col min="12" max="12" width="15.453125" style="41" bestFit="1" customWidth="1"/>
    <col min="13" max="16" width="17.453125" style="41" bestFit="1" customWidth="1"/>
    <col min="17" max="17" width="18.6328125" style="41" bestFit="1" customWidth="1"/>
    <col min="18" max="26" width="14.6328125" style="41" bestFit="1" customWidth="1"/>
    <col min="27" max="16384" width="14.453125" style="41"/>
  </cols>
  <sheetData>
    <row r="1" spans="2:26" ht="51.75" customHeight="1">
      <c r="F1" s="146">
        <f>+YEAR(F2)</f>
        <v>2021</v>
      </c>
      <c r="G1" s="146">
        <f t="shared" ref="G1:Z1" si="0">+YEAR(G2)</f>
        <v>2022</v>
      </c>
      <c r="H1" s="146">
        <f t="shared" si="0"/>
        <v>2023</v>
      </c>
      <c r="I1" s="146">
        <f t="shared" si="0"/>
        <v>2024</v>
      </c>
      <c r="J1" s="146">
        <f t="shared" si="0"/>
        <v>2025</v>
      </c>
      <c r="K1" s="146">
        <f t="shared" si="0"/>
        <v>2026</v>
      </c>
      <c r="L1" s="146">
        <f t="shared" si="0"/>
        <v>2027</v>
      </c>
      <c r="M1" s="146">
        <f t="shared" si="0"/>
        <v>2028</v>
      </c>
      <c r="N1" s="146">
        <f t="shared" si="0"/>
        <v>2029</v>
      </c>
      <c r="O1" s="146">
        <f t="shared" si="0"/>
        <v>2030</v>
      </c>
      <c r="P1" s="146">
        <f t="shared" si="0"/>
        <v>2031</v>
      </c>
      <c r="Q1" s="146">
        <f t="shared" si="0"/>
        <v>2032</v>
      </c>
      <c r="R1" s="146">
        <f t="shared" si="0"/>
        <v>2033</v>
      </c>
      <c r="S1" s="146">
        <f t="shared" si="0"/>
        <v>2034</v>
      </c>
      <c r="T1" s="146">
        <f t="shared" si="0"/>
        <v>2035</v>
      </c>
      <c r="U1" s="146">
        <f t="shared" si="0"/>
        <v>2036</v>
      </c>
      <c r="V1" s="146">
        <f t="shared" si="0"/>
        <v>2037</v>
      </c>
      <c r="W1" s="146">
        <f t="shared" si="0"/>
        <v>2038</v>
      </c>
      <c r="X1" s="146">
        <f t="shared" si="0"/>
        <v>2039</v>
      </c>
      <c r="Y1" s="146">
        <f t="shared" si="0"/>
        <v>2040</v>
      </c>
      <c r="Z1" s="146">
        <f t="shared" si="0"/>
        <v>2041</v>
      </c>
    </row>
    <row r="2" spans="2:26" ht="15.5">
      <c r="B2" s="148" t="s">
        <v>376</v>
      </c>
      <c r="F2" s="150">
        <f>+Assumptions!$E$22</f>
        <v>44561</v>
      </c>
      <c r="G2" s="150">
        <f>+EOMONTH(F2,12)</f>
        <v>44926</v>
      </c>
      <c r="H2" s="150">
        <f t="shared" ref="H2:Z2" si="1">+EOMONTH(G2,12)</f>
        <v>45291</v>
      </c>
      <c r="I2" s="150">
        <f t="shared" si="1"/>
        <v>45657</v>
      </c>
      <c r="J2" s="150">
        <f t="shared" si="1"/>
        <v>46022</v>
      </c>
      <c r="K2" s="150">
        <f t="shared" si="1"/>
        <v>46387</v>
      </c>
      <c r="L2" s="150">
        <f t="shared" si="1"/>
        <v>46752</v>
      </c>
      <c r="M2" s="150">
        <f t="shared" si="1"/>
        <v>47118</v>
      </c>
      <c r="N2" s="150">
        <f t="shared" si="1"/>
        <v>47483</v>
      </c>
      <c r="O2" s="150">
        <f t="shared" si="1"/>
        <v>47848</v>
      </c>
      <c r="P2" s="150">
        <f t="shared" si="1"/>
        <v>48213</v>
      </c>
      <c r="Q2" s="150">
        <f t="shared" si="1"/>
        <v>48579</v>
      </c>
      <c r="R2" s="150">
        <f t="shared" si="1"/>
        <v>48944</v>
      </c>
      <c r="S2" s="150">
        <f t="shared" si="1"/>
        <v>49309</v>
      </c>
      <c r="T2" s="150">
        <f t="shared" si="1"/>
        <v>49674</v>
      </c>
      <c r="U2" s="150">
        <f t="shared" si="1"/>
        <v>50040</v>
      </c>
      <c r="V2" s="150">
        <f t="shared" si="1"/>
        <v>50405</v>
      </c>
      <c r="W2" s="150">
        <f t="shared" si="1"/>
        <v>50770</v>
      </c>
      <c r="X2" s="150">
        <f t="shared" si="1"/>
        <v>51135</v>
      </c>
      <c r="Y2" s="150">
        <f t="shared" si="1"/>
        <v>51501</v>
      </c>
      <c r="Z2" s="150">
        <f t="shared" si="1"/>
        <v>51866</v>
      </c>
    </row>
    <row r="3" spans="2:26" ht="15.5">
      <c r="B3" s="33" t="s">
        <v>21</v>
      </c>
      <c r="D3" s="48">
        <f ca="1">+SUM(F3:Z3)</f>
        <v>361476956.98855299</v>
      </c>
      <c r="F3" s="34">
        <f ca="1">+IFERROR(INDEX('Phase I Pro Forma'!$F$309:$Z$309,1,MATCH('Cash Flow Roll-up'!F$2,'Phase I Pro Forma'!$F$284:$Z$284,0)),0)</f>
        <v>-62857885.033285916</v>
      </c>
      <c r="G3" s="34">
        <f ca="1">+IFERROR(INDEX('Phase I Pro Forma'!$F$309:$Z$309,1,MATCH('Cash Flow Roll-up'!G$2,'Phase I Pro Forma'!$F$284:$Z$284,0)),0)</f>
        <v>-24631104.335272372</v>
      </c>
      <c r="H3" s="34">
        <f ca="1">+IFERROR(INDEX('Phase I Pro Forma'!$F$309:$Z$309,1,MATCH('Cash Flow Roll-up'!H$2,'Phase I Pro Forma'!$F$284:$Z$284,0)),0)</f>
        <v>0</v>
      </c>
      <c r="I3" s="34">
        <f ca="1">+IFERROR(INDEX('Phase I Pro Forma'!$F$309:$Z$309,1,MATCH('Cash Flow Roll-up'!I$2,'Phase I Pro Forma'!$F$284:$Z$284,0)),0)</f>
        <v>71667757.512128755</v>
      </c>
      <c r="J3" s="34">
        <f ca="1">+IFERROR(INDEX('Phase I Pro Forma'!$F$309:$Z$309,1,MATCH('Cash Flow Roll-up'!J$2,'Phase I Pro Forma'!$F$284:$Z$284,0)),0)</f>
        <v>9576755.7472895402</v>
      </c>
      <c r="K3" s="34">
        <f ca="1">+IFERROR(INDEX('Phase I Pro Forma'!$F$309:$Z$309,1,MATCH('Cash Flow Roll-up'!K$2,'Phase I Pro Forma'!$F$284:$Z$284,0)),0)</f>
        <v>9808367.275763236</v>
      </c>
      <c r="L3" s="34">
        <f ca="1">+IFERROR(INDEX('Phase I Pro Forma'!$F$309:$Z$309,1,MATCH('Cash Flow Roll-up'!L$2,'Phase I Pro Forma'!$F$284:$Z$284,0)),0)</f>
        <v>12499241.588265486</v>
      </c>
      <c r="M3" s="34">
        <f ca="1">+IFERROR(INDEX('Phase I Pro Forma'!$F$309:$Z$309,1,MATCH('Cash Flow Roll-up'!M$2,'Phase I Pro Forma'!$F$284:$Z$284,0)),0)</f>
        <v>12683745.250944594</v>
      </c>
      <c r="N3" s="34">
        <f ca="1">+IFERROR(INDEX('Phase I Pro Forma'!$F$309:$Z$309,1,MATCH('Cash Flow Roll-up'!N$2,'Phase I Pro Forma'!$F$284:$Z$284,0)),0)</f>
        <v>12928807.02357916</v>
      </c>
      <c r="O3" s="34">
        <f ca="1">+IFERROR(INDEX('Phase I Pro Forma'!$F$309:$Z$309,1,MATCH('Cash Flow Roll-up'!O$2,'Phase I Pro Forma'!$F$284:$Z$284,0)),0)</f>
        <v>13178518.256729057</v>
      </c>
      <c r="P3" s="34">
        <f ca="1">+IFERROR(INDEX('Phase I Pro Forma'!$F$309:$Z$309,1,MATCH('Cash Flow Roll-up'!P$2,'Phase I Pro Forma'!$F$284:$Z$284,0)),0)</f>
        <v>306622753.70241165</v>
      </c>
      <c r="Q3" s="34">
        <f ca="1">+IFERROR(INDEX('Phase I Pro Forma'!$F$309:$Z$309,1,MATCH('Cash Flow Roll-up'!Q$2,'Phase I Pro Forma'!$F$284:$Z$284,0)),0)</f>
        <v>0</v>
      </c>
      <c r="R3" s="34">
        <f ca="1">+IFERROR(INDEX('Phase I Pro Forma'!$F$309:$Z$309,1,MATCH('Cash Flow Roll-up'!R$2,'Phase I Pro Forma'!$F$284:$Z$284,0)),0)</f>
        <v>0</v>
      </c>
      <c r="S3" s="34">
        <f ca="1">+IFERROR(INDEX('Phase I Pro Forma'!$F$309:$Z$309,1,MATCH('Cash Flow Roll-up'!S$2,'Phase I Pro Forma'!$F$284:$Z$284,0)),0)</f>
        <v>0</v>
      </c>
      <c r="T3" s="34">
        <f ca="1">+IFERROR(INDEX('Phase I Pro Forma'!$F$309:$Z$309,1,MATCH('Cash Flow Roll-up'!T$2,'Phase I Pro Forma'!$F$284:$Z$284,0)),0)</f>
        <v>0</v>
      </c>
      <c r="U3" s="34">
        <f ca="1">+IFERROR(INDEX('Phase I Pro Forma'!$F$309:$Z$309,1,MATCH('Cash Flow Roll-up'!U$2,'Phase I Pro Forma'!$F$284:$Z$284,0)),0)</f>
        <v>0</v>
      </c>
      <c r="V3" s="34">
        <f ca="1">+IFERROR(INDEX('Phase I Pro Forma'!$F$309:$Z$309,1,MATCH('Cash Flow Roll-up'!V$2,'Phase I Pro Forma'!$F$284:$Z$284,0)),0)</f>
        <v>0</v>
      </c>
      <c r="W3" s="34">
        <f ca="1">+IFERROR(INDEX('Phase I Pro Forma'!$F$309:$Z$309,1,MATCH('Cash Flow Roll-up'!W$2,'Phase I Pro Forma'!$F$284:$Z$284,0)),0)</f>
        <v>0</v>
      </c>
      <c r="X3" s="34">
        <f ca="1">+IFERROR(INDEX('Phase I Pro Forma'!$F$309:$Z$309,1,MATCH('Cash Flow Roll-up'!X$2,'Phase I Pro Forma'!$F$284:$Z$284,0)),0)</f>
        <v>0</v>
      </c>
      <c r="Y3" s="34">
        <f ca="1">+IFERROR(INDEX('Phase I Pro Forma'!$F$309:$Z$309,1,MATCH('Cash Flow Roll-up'!Y$2,'Phase I Pro Forma'!$F$284:$Z$284,0)),0)</f>
        <v>0</v>
      </c>
      <c r="Z3" s="34">
        <f ca="1">+IFERROR(INDEX('Phase I Pro Forma'!$F$309:$Z$309,1,MATCH('Cash Flow Roll-up'!Z$2,'Phase I Pro Forma'!$F$284:$Z$284,0)),0)</f>
        <v>0</v>
      </c>
    </row>
    <row r="4" spans="2:26" ht="15.5">
      <c r="B4" s="33" t="s">
        <v>357</v>
      </c>
      <c r="D4" s="24">
        <f ca="1">+SUM(F4:Z4)</f>
        <v>114739770.02469239</v>
      </c>
      <c r="F4" s="151">
        <f>+IFERROR(INDEX('Phase II Pro Forma'!$F$313:$Z$313,1,MATCH('Cash Flow Roll-up'!F$2,'Phase II Pro Forma'!$F$287:$Z$287,0)),0)</f>
        <v>0</v>
      </c>
      <c r="G4" s="151">
        <f>+IFERROR(INDEX('Phase II Pro Forma'!$F$313:$Z$313,1,MATCH('Cash Flow Roll-up'!G$2,'Phase II Pro Forma'!$F$287:$Z$287,0)),0)</f>
        <v>0</v>
      </c>
      <c r="H4" s="151">
        <f ca="1">+IFERROR(INDEX('Phase II Pro Forma'!$F$313:$Z$313,1,MATCH('Cash Flow Roll-up'!H$2,'Phase II Pro Forma'!$F$287:$Z$287,0)),0)</f>
        <v>-64517857.38131699</v>
      </c>
      <c r="I4" s="151">
        <f ca="1">+IFERROR(INDEX('Phase II Pro Forma'!$F$313:$Z$313,1,MATCH('Cash Flow Roll-up'!I$2,'Phase II Pro Forma'!$F$287:$Z$287,0)),0)</f>
        <v>65237394.974527918</v>
      </c>
      <c r="J4" s="151">
        <f ca="1">+IFERROR(INDEX('Phase II Pro Forma'!$F$313:$Z$313,1,MATCH('Cash Flow Roll-up'!J$2,'Phase II Pro Forma'!$F$287:$Z$287,0)),0)</f>
        <v>0</v>
      </c>
      <c r="K4" s="151">
        <f ca="1">+IFERROR(INDEX('Phase II Pro Forma'!$F$313:$Z$313,1,MATCH('Cash Flow Roll-up'!K$2,'Phase II Pro Forma'!$F$287:$Z$287,0)),0)</f>
        <v>-530335.46177449962</v>
      </c>
      <c r="L4" s="151">
        <f ca="1">+IFERROR(INDEX('Phase II Pro Forma'!$F$313:$Z$313,1,MATCH('Cash Flow Roll-up'!L$2,'Phase II Pro Forma'!$F$287:$Z$287,0)),0)</f>
        <v>7210092.1709204726</v>
      </c>
      <c r="M4" s="151">
        <f ca="1">+IFERROR(INDEX('Phase II Pro Forma'!$F$313:$Z$313,1,MATCH('Cash Flow Roll-up'!M$2,'Phase II Pro Forma'!$F$287:$Z$287,0)),0)</f>
        <v>7210092.1770137949</v>
      </c>
      <c r="N4" s="151">
        <f ca="1">+IFERROR(INDEX('Phase II Pro Forma'!$F$313:$Z$313,1,MATCH('Cash Flow Roll-up'!N$2,'Phase II Pro Forma'!$F$287:$Z$287,0)),0)</f>
        <v>8086265.7347756438</v>
      </c>
      <c r="O4" s="151">
        <f ca="1">+IFERROR(INDEX('Phase II Pro Forma'!$F$313:$Z$313,1,MATCH('Cash Flow Roll-up'!O$2,'Phase II Pro Forma'!$F$287:$Z$287,0)),0)</f>
        <v>8086265.7427317575</v>
      </c>
      <c r="P4" s="151">
        <f ca="1">+IFERROR(INDEX('Phase II Pro Forma'!$F$313:$Z$313,1,MATCH('Cash Flow Roll-up'!P$2,'Phase II Pro Forma'!$F$287:$Z$287,0)),0)</f>
        <v>83957852.067814156</v>
      </c>
      <c r="Q4" s="151">
        <f ca="1">+IFERROR(INDEX('Phase II Pro Forma'!$F$313:$Z$313,1,MATCH('Cash Flow Roll-up'!Q$2,'Phase II Pro Forma'!$F$287:$Z$287,0)),0)</f>
        <v>0</v>
      </c>
      <c r="R4" s="151">
        <f ca="1">+IFERROR(INDEX('Phase II Pro Forma'!$F$313:$Z$313,1,MATCH('Cash Flow Roll-up'!R$2,'Phase II Pro Forma'!$F$287:$Z$287,0)),0)</f>
        <v>0</v>
      </c>
      <c r="S4" s="151">
        <f ca="1">+IFERROR(INDEX('Phase II Pro Forma'!$F$313:$Z$313,1,MATCH('Cash Flow Roll-up'!S$2,'Phase II Pro Forma'!$F$287:$Z$287,0)),0)</f>
        <v>0</v>
      </c>
      <c r="T4" s="151">
        <f ca="1">+IFERROR(INDEX('Phase II Pro Forma'!$F$313:$Z$313,1,MATCH('Cash Flow Roll-up'!T$2,'Phase II Pro Forma'!$F$287:$Z$287,0)),0)</f>
        <v>0</v>
      </c>
      <c r="U4" s="151">
        <f ca="1">+IFERROR(INDEX('Phase II Pro Forma'!$F$313:$Z$313,1,MATCH('Cash Flow Roll-up'!U$2,'Phase II Pro Forma'!$F$287:$Z$287,0)),0)</f>
        <v>0</v>
      </c>
      <c r="V4" s="151">
        <f ca="1">+IFERROR(INDEX('Phase II Pro Forma'!$F$313:$Z$313,1,MATCH('Cash Flow Roll-up'!V$2,'Phase II Pro Forma'!$F$287:$Z$287,0)),0)</f>
        <v>0</v>
      </c>
      <c r="W4" s="151">
        <f ca="1">+IFERROR(INDEX('Phase II Pro Forma'!$F$313:$Z$313,1,MATCH('Cash Flow Roll-up'!W$2,'Phase II Pro Forma'!$F$287:$Z$287,0)),0)</f>
        <v>0</v>
      </c>
      <c r="X4" s="151">
        <f ca="1">+IFERROR(INDEX('Phase II Pro Forma'!$F$313:$Z$313,1,MATCH('Cash Flow Roll-up'!X$2,'Phase II Pro Forma'!$F$287:$Z$287,0)),0)</f>
        <v>0</v>
      </c>
      <c r="Y4" s="151">
        <f ca="1">+IFERROR(INDEX('Phase II Pro Forma'!$F$313:$Z$313,1,MATCH('Cash Flow Roll-up'!Y$2,'Phase II Pro Forma'!$F$287:$Z$287,0)),0)</f>
        <v>0</v>
      </c>
      <c r="Z4" s="151">
        <f ca="1">+IFERROR(INDEX('Phase II Pro Forma'!$F$313:$Z$313,1,MATCH('Cash Flow Roll-up'!Z$2,'Phase II Pro Forma'!$F$287:$Z$287,0)),0)</f>
        <v>0</v>
      </c>
    </row>
    <row r="5" spans="2:26" ht="15.5">
      <c r="B5" s="33" t="s">
        <v>360</v>
      </c>
      <c r="D5" s="24">
        <f ca="1">+SUM(F5:Z5)</f>
        <v>252957899.24198863</v>
      </c>
      <c r="F5" s="151">
        <f>+IFERROR(INDEX('Phase III Pro Forma'!$F$309:$Z$309,1,MATCH('Cash Flow Roll-up'!F$2,'Phase III Pro Forma'!$F$284:$Z$284,0)),0)</f>
        <v>0</v>
      </c>
      <c r="G5" s="151">
        <f>+IFERROR(INDEX('Phase III Pro Forma'!$F$309:$Z$309,1,MATCH('Cash Flow Roll-up'!G$2,'Phase III Pro Forma'!$F$284:$Z$284,0)),0)</f>
        <v>0</v>
      </c>
      <c r="H5" s="151">
        <f>+IFERROR(INDEX('Phase III Pro Forma'!$F$309:$Z$309,1,MATCH('Cash Flow Roll-up'!H$2,'Phase III Pro Forma'!$F$284:$Z$284,0)),0)</f>
        <v>0</v>
      </c>
      <c r="I5" s="151">
        <f>+IFERROR(INDEX('Phase III Pro Forma'!$F$309:$Z$309,1,MATCH('Cash Flow Roll-up'!I$2,'Phase III Pro Forma'!$F$284:$Z$284,0)),0)</f>
        <v>0</v>
      </c>
      <c r="J5" s="151">
        <f ca="1">+IFERROR(INDEX('Phase III Pro Forma'!$F$309:$Z$309,1,MATCH('Cash Flow Roll-up'!J$2,'Phase III Pro Forma'!$F$284:$Z$284,0)),0)</f>
        <v>-77608593.110894859</v>
      </c>
      <c r="K5" s="151">
        <f ca="1">+IFERROR(INDEX('Phase III Pro Forma'!$F$309:$Z$309,1,MATCH('Cash Flow Roll-up'!K$2,'Phase III Pro Forma'!$F$284:$Z$284,0)),0)</f>
        <v>0</v>
      </c>
      <c r="L5" s="151">
        <f ca="1">+IFERROR(INDEX('Phase III Pro Forma'!$F$309:$Z$309,1,MATCH('Cash Flow Roll-up'!L$2,'Phase III Pro Forma'!$F$284:$Z$284,0)),0)</f>
        <v>0</v>
      </c>
      <c r="M5" s="151">
        <f ca="1">+IFERROR(INDEX('Phase III Pro Forma'!$F$309:$Z$309,1,MATCH('Cash Flow Roll-up'!M$2,'Phase III Pro Forma'!$F$284:$Z$284,0)),0)</f>
        <v>0</v>
      </c>
      <c r="N5" s="151">
        <f ca="1">+IFERROR(INDEX('Phase III Pro Forma'!$F$309:$Z$309,1,MATCH('Cash Flow Roll-up'!N$2,'Phase III Pro Forma'!$F$284:$Z$284,0)),0)</f>
        <v>86431448.332486078</v>
      </c>
      <c r="O5" s="151">
        <f ca="1">+IFERROR(INDEX('Phase III Pro Forma'!$F$309:$Z$309,1,MATCH('Cash Flow Roll-up'!O$2,'Phase III Pro Forma'!$F$284:$Z$284,0)),0)</f>
        <v>10251709.948855735</v>
      </c>
      <c r="P5" s="151">
        <f ca="1">+IFERROR(INDEX('Phase III Pro Forma'!$F$309:$Z$309,1,MATCH('Cash Flow Roll-up'!P$2,'Phase III Pro Forma'!$F$284:$Z$284,0)),0)</f>
        <v>233883334.07154158</v>
      </c>
      <c r="Q5" s="151">
        <f ca="1">+IFERROR(INDEX('Phase III Pro Forma'!$F$309:$Z$309,1,MATCH('Cash Flow Roll-up'!Q$2,'Phase III Pro Forma'!$F$284:$Z$284,0)),0)</f>
        <v>0</v>
      </c>
      <c r="R5" s="151">
        <f ca="1">+IFERROR(INDEX('Phase III Pro Forma'!$F$309:$Z$309,1,MATCH('Cash Flow Roll-up'!R$2,'Phase III Pro Forma'!$F$284:$Z$284,0)),0)</f>
        <v>0</v>
      </c>
      <c r="S5" s="151">
        <f ca="1">+IFERROR(INDEX('Phase III Pro Forma'!$F$309:$Z$309,1,MATCH('Cash Flow Roll-up'!S$2,'Phase III Pro Forma'!$F$284:$Z$284,0)),0)</f>
        <v>0</v>
      </c>
      <c r="T5" s="151">
        <f ca="1">+IFERROR(INDEX('Phase III Pro Forma'!$F$309:$Z$309,1,MATCH('Cash Flow Roll-up'!T$2,'Phase III Pro Forma'!$F$284:$Z$284,0)),0)</f>
        <v>0</v>
      </c>
      <c r="U5" s="151">
        <f ca="1">+IFERROR(INDEX('Phase III Pro Forma'!$F$309:$Z$309,1,MATCH('Cash Flow Roll-up'!U$2,'Phase III Pro Forma'!$F$284:$Z$284,0)),0)</f>
        <v>0</v>
      </c>
      <c r="V5" s="151">
        <f ca="1">+IFERROR(INDEX('Phase III Pro Forma'!$F$309:$Z$309,1,MATCH('Cash Flow Roll-up'!V$2,'Phase III Pro Forma'!$F$284:$Z$284,0)),0)</f>
        <v>0</v>
      </c>
      <c r="W5" s="151">
        <f ca="1">+IFERROR(INDEX('Phase III Pro Forma'!$F$309:$Z$309,1,MATCH('Cash Flow Roll-up'!W$2,'Phase III Pro Forma'!$F$284:$Z$284,0)),0)</f>
        <v>0</v>
      </c>
      <c r="X5" s="151">
        <f ca="1">+IFERROR(INDEX('Phase III Pro Forma'!$F$309:$Z$309,1,MATCH('Cash Flow Roll-up'!X$2,'Phase III Pro Forma'!$F$284:$Z$284,0)),0)</f>
        <v>0</v>
      </c>
      <c r="Y5" s="151">
        <f ca="1">+IFERROR(INDEX('Phase III Pro Forma'!$F$309:$Z$309,1,MATCH('Cash Flow Roll-up'!Y$2,'Phase III Pro Forma'!$F$284:$Z$284,0)),0)</f>
        <v>0</v>
      </c>
      <c r="Z5" s="151">
        <f ca="1">+IFERROR(INDEX('Phase III Pro Forma'!$F$309:$Z$309,1,MATCH('Cash Flow Roll-up'!Z$2,'Phase III Pro Forma'!$F$284:$Z$284,0)),0)</f>
        <v>0</v>
      </c>
    </row>
    <row r="6" spans="2:26">
      <c r="B6" s="166" t="s">
        <v>377</v>
      </c>
      <c r="C6" s="166"/>
      <c r="D6" s="166"/>
      <c r="E6" s="166"/>
      <c r="F6" s="167">
        <f t="shared" ref="F6:Z6" ca="1" si="2">+SUM(F3:F5)</f>
        <v>-62857885.033285916</v>
      </c>
      <c r="G6" s="167">
        <f t="shared" ca="1" si="2"/>
        <v>-24631104.335272372</v>
      </c>
      <c r="H6" s="167">
        <f t="shared" ca="1" si="2"/>
        <v>-64517857.38131699</v>
      </c>
      <c r="I6" s="167">
        <f t="shared" ca="1" si="2"/>
        <v>136905152.48665667</v>
      </c>
      <c r="J6" s="167">
        <f t="shared" ca="1" si="2"/>
        <v>-68031837.36360532</v>
      </c>
      <c r="K6" s="167">
        <f t="shared" ca="1" si="2"/>
        <v>9278031.8139887359</v>
      </c>
      <c r="L6" s="167">
        <f t="shared" ca="1" si="2"/>
        <v>19709333.759185959</v>
      </c>
      <c r="M6" s="167">
        <f t="shared" ca="1" si="2"/>
        <v>19893837.427958388</v>
      </c>
      <c r="N6" s="167">
        <f t="shared" ca="1" si="2"/>
        <v>107446521.09084088</v>
      </c>
      <c r="O6" s="167">
        <f t="shared" ca="1" si="2"/>
        <v>31516493.948316552</v>
      </c>
      <c r="P6" s="167">
        <f t="shared" ca="1" si="2"/>
        <v>624463939.84176743</v>
      </c>
      <c r="Q6" s="167">
        <f t="shared" ca="1" si="2"/>
        <v>0</v>
      </c>
      <c r="R6" s="167">
        <f t="shared" ca="1" si="2"/>
        <v>0</v>
      </c>
      <c r="S6" s="167">
        <f t="shared" ca="1" si="2"/>
        <v>0</v>
      </c>
      <c r="T6" s="167">
        <f t="shared" ca="1" si="2"/>
        <v>0</v>
      </c>
      <c r="U6" s="167">
        <f t="shared" ca="1" si="2"/>
        <v>0</v>
      </c>
      <c r="V6" s="167">
        <f t="shared" ca="1" si="2"/>
        <v>0</v>
      </c>
      <c r="W6" s="167">
        <f t="shared" ca="1" si="2"/>
        <v>0</v>
      </c>
      <c r="X6" s="167">
        <f t="shared" ca="1" si="2"/>
        <v>0</v>
      </c>
      <c r="Y6" s="167">
        <f t="shared" ca="1" si="2"/>
        <v>0</v>
      </c>
      <c r="Z6" s="167">
        <f t="shared" ca="1" si="2"/>
        <v>0</v>
      </c>
    </row>
    <row r="7" spans="2:26">
      <c r="F7" s="34"/>
      <c r="G7" s="34"/>
      <c r="H7" s="34"/>
      <c r="I7" s="34"/>
      <c r="J7" s="34"/>
      <c r="K7" s="34"/>
      <c r="L7" s="34"/>
      <c r="M7" s="34"/>
      <c r="N7" s="34"/>
      <c r="O7" s="34"/>
      <c r="P7" s="34"/>
      <c r="Q7" s="34"/>
      <c r="R7" s="34"/>
      <c r="S7" s="34"/>
      <c r="T7" s="34"/>
      <c r="U7" s="34"/>
      <c r="V7" s="34"/>
      <c r="W7" s="34"/>
      <c r="X7" s="34"/>
      <c r="Y7" s="34"/>
      <c r="Z7" s="34"/>
    </row>
    <row r="8" spans="2:26" ht="15.5">
      <c r="B8" s="190" t="s">
        <v>337</v>
      </c>
      <c r="C8" s="190"/>
      <c r="D8" s="191">
        <f ca="1">+IRR(F6:Z6)</f>
        <v>0.28068633693696654</v>
      </c>
    </row>
    <row r="9" spans="2:26" ht="15.5">
      <c r="B9" s="194" t="s">
        <v>335</v>
      </c>
      <c r="C9" s="193"/>
      <c r="D9" s="225">
        <f ca="1">+SUM(F6:Z6)</f>
        <v>729174626.255234</v>
      </c>
    </row>
    <row r="11" spans="2:26" ht="15.5">
      <c r="B11" s="148" t="s">
        <v>378</v>
      </c>
    </row>
    <row r="12" spans="2:26" ht="15.5">
      <c r="B12" s="33" t="s">
        <v>21</v>
      </c>
      <c r="D12" s="48">
        <f ca="1">+SUM(F12:Z12)</f>
        <v>546069810.24188113</v>
      </c>
      <c r="F12" s="34">
        <f ca="1">+IFERROR(INDEX('Phase I Pro Forma'!$F$351:$Z$351,1,MATCH('Cash Flow Roll-up'!F$2,'Phase I Pro Forma'!$F$284:$Z$284,0)),0)</f>
        <v>-62857885.033285916</v>
      </c>
      <c r="G12" s="34">
        <f ca="1">+IFERROR(INDEX('Phase I Pro Forma'!$F$351:$Z$351,1,MATCH('Cash Flow Roll-up'!G$2,'Phase I Pro Forma'!$F$284:$Z$284,0)),0)</f>
        <v>-162385036.82123646</v>
      </c>
      <c r="H12" s="34">
        <f ca="1">+IFERROR(INDEX('Phase I Pro Forma'!$F$351:$Z$351,1,MATCH('Cash Flow Roll-up'!H$2,'Phase I Pro Forma'!$F$284:$Z$284,0)),0)</f>
        <v>-74272759.727641076</v>
      </c>
      <c r="I12" s="34">
        <f ca="1">+IFERROR(INDEX('Phase I Pro Forma'!$F$351:$Z$351,1,MATCH('Cash Flow Roll-up'!I$2,'Phase I Pro Forma'!$F$284:$Z$284,0)),0)</f>
        <v>16879232.218519609</v>
      </c>
      <c r="J12" s="34">
        <f ca="1">+IFERROR(INDEX('Phase I Pro Forma'!$F$351:$Z$351,1,MATCH('Cash Flow Roll-up'!J$2,'Phase I Pro Forma'!$F$284:$Z$284,0)),0)</f>
        <v>33930859.157725617</v>
      </c>
      <c r="K12" s="34">
        <f ca="1">+IFERROR(INDEX('Phase I Pro Forma'!$F$351:$Z$351,1,MATCH('Cash Flow Roll-up'!K$2,'Phase I Pro Forma'!$F$284:$Z$284,0)),0)</f>
        <v>34162470.686199315</v>
      </c>
      <c r="L12" s="34">
        <f ca="1">+IFERROR(INDEX('Phase I Pro Forma'!$F$351:$Z$351,1,MATCH('Cash Flow Roll-up'!L$2,'Phase I Pro Forma'!$F$284:$Z$284,0)),0)</f>
        <v>36853344.998701565</v>
      </c>
      <c r="M12" s="34">
        <f ca="1">+IFERROR(INDEX('Phase I Pro Forma'!$F$351:$Z$351,1,MATCH('Cash Flow Roll-up'!M$2,'Phase I Pro Forma'!$F$284:$Z$284,0)),0)</f>
        <v>37037848.661380671</v>
      </c>
      <c r="N12" s="34">
        <f ca="1">+IFERROR(INDEX('Phase I Pro Forma'!$F$351:$Z$351,1,MATCH('Cash Flow Roll-up'!N$2,'Phase I Pro Forma'!$F$284:$Z$284,0)),0)</f>
        <v>37282910.434015237</v>
      </c>
      <c r="O12" s="34">
        <f ca="1">+IFERROR(INDEX('Phase I Pro Forma'!$F$351:$Z$351,1,MATCH('Cash Flow Roll-up'!O$2,'Phase I Pro Forma'!$F$284:$Z$284,0)),0)</f>
        <v>37532621.66716513</v>
      </c>
      <c r="P12" s="34">
        <f ca="1">+IFERROR(INDEX('Phase I Pro Forma'!$F$351:$Z$351,1,MATCH('Cash Flow Roll-up'!P$2,'Phase I Pro Forma'!$F$284:$Z$284,0)),0)</f>
        <v>611906204.00033748</v>
      </c>
      <c r="Q12" s="34">
        <f ca="1">+IFERROR(INDEX('Phase I Pro Forma'!$F$351:$Z$351,1,MATCH('Cash Flow Roll-up'!Q$2,'Phase I Pro Forma'!$F$284:$Z$284,0)),0)</f>
        <v>0</v>
      </c>
      <c r="R12" s="34">
        <f ca="1">+IFERROR(INDEX('Phase I Pro Forma'!$F$351:$Z$351,1,MATCH('Cash Flow Roll-up'!R$2,'Phase I Pro Forma'!$F$284:$Z$284,0)),0)</f>
        <v>0</v>
      </c>
      <c r="S12" s="34">
        <f ca="1">+IFERROR(INDEX('Phase I Pro Forma'!$F$351:$Z$351,1,MATCH('Cash Flow Roll-up'!S$2,'Phase I Pro Forma'!$F$284:$Z$284,0)),0)</f>
        <v>0</v>
      </c>
      <c r="T12" s="34">
        <f ca="1">+IFERROR(INDEX('Phase I Pro Forma'!$F$351:$Z$351,1,MATCH('Cash Flow Roll-up'!T$2,'Phase I Pro Forma'!$F$284:$Z$284,0)),0)</f>
        <v>0</v>
      </c>
      <c r="U12" s="34">
        <f ca="1">+IFERROR(INDEX('Phase I Pro Forma'!$F$351:$Z$351,1,MATCH('Cash Flow Roll-up'!U$2,'Phase I Pro Forma'!$F$284:$Z$284,0)),0)</f>
        <v>0</v>
      </c>
      <c r="V12" s="34">
        <f ca="1">+IFERROR(INDEX('Phase I Pro Forma'!$F$351:$Z$351,1,MATCH('Cash Flow Roll-up'!V$2,'Phase I Pro Forma'!$F$284:$Z$284,0)),0)</f>
        <v>0</v>
      </c>
      <c r="W12" s="34">
        <f ca="1">+IFERROR(INDEX('Phase I Pro Forma'!$F$351:$Z$351,1,MATCH('Cash Flow Roll-up'!W$2,'Phase I Pro Forma'!$F$284:$Z$284,0)),0)</f>
        <v>0</v>
      </c>
      <c r="X12" s="34">
        <f ca="1">+IFERROR(INDEX('Phase I Pro Forma'!$F$351:$Z$351,1,MATCH('Cash Flow Roll-up'!X$2,'Phase I Pro Forma'!$F$284:$Z$284,0)),0)</f>
        <v>0</v>
      </c>
      <c r="Y12" s="34">
        <f ca="1">+IFERROR(INDEX('Phase I Pro Forma'!$F$351:$Z$351,1,MATCH('Cash Flow Roll-up'!Y$2,'Phase I Pro Forma'!$F$284:$Z$284,0)),0)</f>
        <v>0</v>
      </c>
      <c r="Z12" s="34">
        <f ca="1">+IFERROR(INDEX('Phase I Pro Forma'!$F$351:$Z$351,1,MATCH('Cash Flow Roll-up'!Z$2,'Phase I Pro Forma'!$F$284:$Z$284,0)),0)</f>
        <v>0</v>
      </c>
    </row>
    <row r="13" spans="2:26" ht="15.5">
      <c r="B13" s="33" t="s">
        <v>357</v>
      </c>
      <c r="D13" s="24">
        <f ca="1">+SUM(F13:Z13)</f>
        <v>158325850.97889858</v>
      </c>
      <c r="F13" s="151">
        <f>+IFERROR(INDEX('Phase II Pro Forma'!$F$356:$Z$356,1,MATCH('Cash Flow Roll-up'!F$2,'Phase II Pro Forma'!$F$287:$Z$287,0)),0)</f>
        <v>0</v>
      </c>
      <c r="G13" s="151">
        <f>+IFERROR(INDEX('Phase II Pro Forma'!$F$356:$Z$356,1,MATCH('Cash Flow Roll-up'!G$2,'Phase II Pro Forma'!$F$287:$Z$287,0)),0)</f>
        <v>0</v>
      </c>
      <c r="H13" s="151">
        <f ca="1">+IFERROR(INDEX('Phase II Pro Forma'!$F$356:$Z$356,1,MATCH('Cash Flow Roll-up'!H$2,'Phase II Pro Forma'!$F$287:$Z$287,0)),0)</f>
        <v>-100152177.31526883</v>
      </c>
      <c r="I13" s="151">
        <f ca="1">+IFERROR(INDEX('Phase II Pro Forma'!$F$356:$Z$356,1,MATCH('Cash Flow Roll-up'!I$2,'Phase II Pro Forma'!$F$287:$Z$287,0)),0)</f>
        <v>16996497.989773579</v>
      </c>
      <c r="J13" s="151">
        <f ca="1">+IFERROR(INDEX('Phase II Pro Forma'!$F$356:$Z$356,1,MATCH('Cash Flow Roll-up'!J$2,'Phase II Pro Forma'!$F$287:$Z$287,0)),0)</f>
        <v>-1376584.5367503166</v>
      </c>
      <c r="K13" s="151">
        <f ca="1">+IFERROR(INDEX('Phase II Pro Forma'!$F$356:$Z$356,1,MATCH('Cash Flow Roll-up'!K$2,'Phase II Pro Forma'!$F$287:$Z$287,0)),0)</f>
        <v>6864661.6291115684</v>
      </c>
      <c r="L13" s="151">
        <f ca="1">+IFERROR(INDEX('Phase II Pro Forma'!$F$356:$Z$356,1,MATCH('Cash Flow Roll-up'!L$2,'Phase II Pro Forma'!$F$287:$Z$287,0)),0)</f>
        <v>13729323.269132404</v>
      </c>
      <c r="M13" s="151">
        <f ca="1">+IFERROR(INDEX('Phase II Pro Forma'!$F$356:$Z$356,1,MATCH('Cash Flow Roll-up'!M$2,'Phase II Pro Forma'!$F$287:$Z$287,0)),0)</f>
        <v>13729323.275225727</v>
      </c>
      <c r="N13" s="151">
        <f ca="1">+IFERROR(INDEX('Phase II Pro Forma'!$F$356:$Z$356,1,MATCH('Cash Flow Roll-up'!N$2,'Phase II Pro Forma'!$F$287:$Z$287,0)),0)</f>
        <v>14605496.832987577</v>
      </c>
      <c r="O13" s="151">
        <f ca="1">+IFERROR(INDEX('Phase II Pro Forma'!$F$356:$Z$356,1,MATCH('Cash Flow Roll-up'!O$2,'Phase II Pro Forma'!$F$287:$Z$287,0)),0)</f>
        <v>14605496.84094369</v>
      </c>
      <c r="P13" s="151">
        <f ca="1">+IFERROR(INDEX('Phase II Pro Forma'!$F$356:$Z$356,1,MATCH('Cash Flow Roll-up'!P$2,'Phase II Pro Forma'!$F$287:$Z$287,0)),0)</f>
        <v>179323812.99374303</v>
      </c>
      <c r="Q13" s="151">
        <f ca="1">+IFERROR(INDEX('Phase II Pro Forma'!$F$356:$Z$356,1,MATCH('Cash Flow Roll-up'!Q$2,'Phase II Pro Forma'!$F$287:$Z$287,0)),0)</f>
        <v>0</v>
      </c>
      <c r="R13" s="151">
        <f ca="1">+IFERROR(INDEX('Phase II Pro Forma'!$F$356:$Z$356,1,MATCH('Cash Flow Roll-up'!R$2,'Phase II Pro Forma'!$F$287:$Z$287,0)),0)</f>
        <v>0</v>
      </c>
      <c r="S13" s="151">
        <f ca="1">+IFERROR(INDEX('Phase II Pro Forma'!$F$356:$Z$356,1,MATCH('Cash Flow Roll-up'!S$2,'Phase II Pro Forma'!$F$287:$Z$287,0)),0)</f>
        <v>0</v>
      </c>
      <c r="T13" s="151">
        <f ca="1">+IFERROR(INDEX('Phase II Pro Forma'!$F$356:$Z$356,1,MATCH('Cash Flow Roll-up'!T$2,'Phase II Pro Forma'!$F$287:$Z$287,0)),0)</f>
        <v>0</v>
      </c>
      <c r="U13" s="151">
        <f ca="1">+IFERROR(INDEX('Phase II Pro Forma'!$F$356:$Z$356,1,MATCH('Cash Flow Roll-up'!U$2,'Phase II Pro Forma'!$F$287:$Z$287,0)),0)</f>
        <v>0</v>
      </c>
      <c r="V13" s="151">
        <f ca="1">+IFERROR(INDEX('Phase II Pro Forma'!$F$356:$Z$356,1,MATCH('Cash Flow Roll-up'!V$2,'Phase II Pro Forma'!$F$287:$Z$287,0)),0)</f>
        <v>0</v>
      </c>
      <c r="W13" s="151">
        <f ca="1">+IFERROR(INDEX('Phase II Pro Forma'!$F$356:$Z$356,1,MATCH('Cash Flow Roll-up'!W$2,'Phase II Pro Forma'!$F$287:$Z$287,0)),0)</f>
        <v>0</v>
      </c>
      <c r="X13" s="151">
        <f ca="1">+IFERROR(INDEX('Phase II Pro Forma'!$F$356:$Z$356,1,MATCH('Cash Flow Roll-up'!X$2,'Phase II Pro Forma'!$F$287:$Z$287,0)),0)</f>
        <v>0</v>
      </c>
      <c r="Y13" s="151">
        <f ca="1">+IFERROR(INDEX('Phase II Pro Forma'!$F$356:$Z$356,1,MATCH('Cash Flow Roll-up'!Y$2,'Phase II Pro Forma'!$F$287:$Z$287,0)),0)</f>
        <v>0</v>
      </c>
      <c r="Z13" s="151">
        <f ca="1">+IFERROR(INDEX('Phase II Pro Forma'!$F$356:$Z$356,1,MATCH('Cash Flow Roll-up'!Z$2,'Phase II Pro Forma'!$F$287:$Z$287,0)),0)</f>
        <v>0</v>
      </c>
    </row>
    <row r="14" spans="2:26" ht="15.5">
      <c r="B14" s="33" t="s">
        <v>360</v>
      </c>
      <c r="D14" s="24">
        <f ca="1">+SUM(F14:Z14)</f>
        <v>357386033.73115933</v>
      </c>
      <c r="F14" s="151">
        <f>+IFERROR(INDEX('Phase III Pro Forma'!$F$351:$Z$351,1,MATCH('Cash Flow Roll-up'!F$2,'Phase III Pro Forma'!$F$284:$Z$284,0)),0)</f>
        <v>0</v>
      </c>
      <c r="G14" s="151">
        <f>+IFERROR(INDEX('Phase III Pro Forma'!$F$351:$Z$351,1,MATCH('Cash Flow Roll-up'!G$2,'Phase III Pro Forma'!$F$284:$Z$284,0)),0)</f>
        <v>0</v>
      </c>
      <c r="H14" s="151">
        <f>+IFERROR(INDEX('Phase III Pro Forma'!$F$351:$Z$351,1,MATCH('Cash Flow Roll-up'!H$2,'Phase III Pro Forma'!$F$284:$Z$284,0)),0)</f>
        <v>0</v>
      </c>
      <c r="I14" s="151">
        <f>+IFERROR(INDEX('Phase III Pro Forma'!$F$351:$Z$351,1,MATCH('Cash Flow Roll-up'!I$2,'Phase III Pro Forma'!$F$284:$Z$284,0)),0)</f>
        <v>0</v>
      </c>
      <c r="J14" s="151">
        <f ca="1">+IFERROR(INDEX('Phase III Pro Forma'!$F$351:$Z$351,1,MATCH('Cash Flow Roll-up'!J$2,'Phase III Pro Forma'!$F$284:$Z$284,0)),0)</f>
        <v>-79919439.518322229</v>
      </c>
      <c r="K14" s="151">
        <f ca="1">+IFERROR(INDEX('Phase III Pro Forma'!$F$351:$Z$351,1,MATCH('Cash Flow Roll-up'!K$2,'Phase III Pro Forma'!$F$284:$Z$284,0)),0)</f>
        <v>-102915802.49046016</v>
      </c>
      <c r="L14" s="151">
        <f ca="1">+IFERROR(INDEX('Phase III Pro Forma'!$F$351:$Z$351,1,MATCH('Cash Flow Roll-up'!L$2,'Phase III Pro Forma'!$F$284:$Z$284,0)),0)</f>
        <v>-93316106.469687939</v>
      </c>
      <c r="M14" s="151">
        <f ca="1">+IFERROR(INDEX('Phase III Pro Forma'!$F$351:$Z$351,1,MATCH('Cash Flow Roll-up'!M$2,'Phase III Pro Forma'!$F$284:$Z$284,0)),0)</f>
        <v>0</v>
      </c>
      <c r="N14" s="151">
        <f ca="1">+IFERROR(INDEX('Phase III Pro Forma'!$F$351:$Z$351,1,MATCH('Cash Flow Roll-up'!N$2,'Phase III Pro Forma'!$F$284:$Z$284,0)),0)</f>
        <v>17695780.23068155</v>
      </c>
      <c r="O14" s="151">
        <f ca="1">+IFERROR(INDEX('Phase III Pro Forma'!$F$351:$Z$351,1,MATCH('Cash Flow Roll-up'!O$2,'Phase III Pro Forma'!$F$284:$Z$284,0)),0)</f>
        <v>35754736.881444298</v>
      </c>
      <c r="P14" s="151">
        <f ca="1">+IFERROR(INDEX('Phase III Pro Forma'!$F$351:$Z$351,1,MATCH('Cash Flow Roll-up'!P$2,'Phase III Pro Forma'!$F$284:$Z$284,0)),0)</f>
        <v>580086865.09750366</v>
      </c>
      <c r="Q14" s="151">
        <f ca="1">+IFERROR(INDEX('Phase III Pro Forma'!$F$351:$Z$351,1,MATCH('Cash Flow Roll-up'!Q$2,'Phase III Pro Forma'!$F$284:$Z$284,0)),0)</f>
        <v>0</v>
      </c>
      <c r="R14" s="151">
        <f ca="1">+IFERROR(INDEX('Phase III Pro Forma'!$F$351:$Z$351,1,MATCH('Cash Flow Roll-up'!R$2,'Phase III Pro Forma'!$F$284:$Z$284,0)),0)</f>
        <v>0</v>
      </c>
      <c r="S14" s="151">
        <f ca="1">+IFERROR(INDEX('Phase III Pro Forma'!$F$351:$Z$351,1,MATCH('Cash Flow Roll-up'!S$2,'Phase III Pro Forma'!$F$284:$Z$284,0)),0)</f>
        <v>0</v>
      </c>
      <c r="T14" s="151">
        <f ca="1">+IFERROR(INDEX('Phase III Pro Forma'!$F$351:$Z$351,1,MATCH('Cash Flow Roll-up'!T$2,'Phase III Pro Forma'!$F$284:$Z$284,0)),0)</f>
        <v>0</v>
      </c>
      <c r="U14" s="151">
        <f ca="1">+IFERROR(INDEX('Phase III Pro Forma'!$F$351:$Z$351,1,MATCH('Cash Flow Roll-up'!U$2,'Phase III Pro Forma'!$F$284:$Z$284,0)),0)</f>
        <v>0</v>
      </c>
      <c r="V14" s="151">
        <f ca="1">+IFERROR(INDEX('Phase III Pro Forma'!$F$351:$Z$351,1,MATCH('Cash Flow Roll-up'!V$2,'Phase III Pro Forma'!$F$284:$Z$284,0)),0)</f>
        <v>0</v>
      </c>
      <c r="W14" s="151">
        <f ca="1">+IFERROR(INDEX('Phase III Pro Forma'!$F$351:$Z$351,1,MATCH('Cash Flow Roll-up'!W$2,'Phase III Pro Forma'!$F$284:$Z$284,0)),0)</f>
        <v>0</v>
      </c>
      <c r="X14" s="151">
        <f ca="1">+IFERROR(INDEX('Phase III Pro Forma'!$F$351:$Z$351,1,MATCH('Cash Flow Roll-up'!X$2,'Phase III Pro Forma'!$F$284:$Z$284,0)),0)</f>
        <v>0</v>
      </c>
      <c r="Y14" s="151">
        <f ca="1">+IFERROR(INDEX('Phase III Pro Forma'!$F$351:$Z$351,1,MATCH('Cash Flow Roll-up'!Y$2,'Phase III Pro Forma'!$F$284:$Z$284,0)),0)</f>
        <v>0</v>
      </c>
      <c r="Z14" s="151">
        <f ca="1">+IFERROR(INDEX('Phase III Pro Forma'!$F$351:$Z$351,1,MATCH('Cash Flow Roll-up'!Z$2,'Phase III Pro Forma'!$F$284:$Z$284,0)),0)</f>
        <v>0</v>
      </c>
    </row>
    <row r="15" spans="2:26">
      <c r="B15" s="166" t="s">
        <v>379</v>
      </c>
      <c r="C15" s="166"/>
      <c r="D15" s="166"/>
      <c r="E15" s="166"/>
      <c r="F15" s="167">
        <f t="shared" ref="F15:Z15" ca="1" si="3">+SUM(F12:F14)</f>
        <v>-62857885.033285916</v>
      </c>
      <c r="G15" s="167">
        <f t="shared" ca="1" si="3"/>
        <v>-162385036.82123646</v>
      </c>
      <c r="H15" s="167">
        <f t="shared" ca="1" si="3"/>
        <v>-174424937.04290992</v>
      </c>
      <c r="I15" s="167">
        <f t="shared" ca="1" si="3"/>
        <v>33875730.208293185</v>
      </c>
      <c r="J15" s="167">
        <f t="shared" ca="1" si="3"/>
        <v>-47365164.897346929</v>
      </c>
      <c r="K15" s="167">
        <f t="shared" ca="1" si="3"/>
        <v>-61888670.175149277</v>
      </c>
      <c r="L15" s="167">
        <f t="shared" ca="1" si="3"/>
        <v>-42733438.201853968</v>
      </c>
      <c r="M15" s="167">
        <f t="shared" ca="1" si="3"/>
        <v>50767171.9366064</v>
      </c>
      <c r="N15" s="167">
        <f t="shared" ca="1" si="3"/>
        <v>69584187.49768436</v>
      </c>
      <c r="O15" s="167">
        <f t="shared" ca="1" si="3"/>
        <v>87892855.38955313</v>
      </c>
      <c r="P15" s="167">
        <f t="shared" ca="1" si="3"/>
        <v>1371316882.0915842</v>
      </c>
      <c r="Q15" s="167">
        <f t="shared" ca="1" si="3"/>
        <v>0</v>
      </c>
      <c r="R15" s="167">
        <f t="shared" ca="1" si="3"/>
        <v>0</v>
      </c>
      <c r="S15" s="167">
        <f t="shared" ca="1" si="3"/>
        <v>0</v>
      </c>
      <c r="T15" s="167">
        <f t="shared" ca="1" si="3"/>
        <v>0</v>
      </c>
      <c r="U15" s="167">
        <f t="shared" ca="1" si="3"/>
        <v>0</v>
      </c>
      <c r="V15" s="167">
        <f t="shared" ca="1" si="3"/>
        <v>0</v>
      </c>
      <c r="W15" s="167">
        <f t="shared" ca="1" si="3"/>
        <v>0</v>
      </c>
      <c r="X15" s="167">
        <f t="shared" ca="1" si="3"/>
        <v>0</v>
      </c>
      <c r="Y15" s="167">
        <f t="shared" ca="1" si="3"/>
        <v>0</v>
      </c>
      <c r="Z15" s="167">
        <f t="shared" ca="1" si="3"/>
        <v>0</v>
      </c>
    </row>
    <row r="17" spans="2:26" ht="15.5">
      <c r="B17" s="190" t="s">
        <v>375</v>
      </c>
      <c r="C17" s="190"/>
      <c r="D17" s="191">
        <f ca="1">+IRR(F15:Z15)</f>
        <v>0.15581331388884045</v>
      </c>
    </row>
    <row r="18" spans="2:26" ht="15.5">
      <c r="B18" s="194" t="s">
        <v>335</v>
      </c>
      <c r="C18" s="193"/>
      <c r="D18" s="225">
        <f ca="1">+SUM(F15:Z15)</f>
        <v>1061781694.9519389</v>
      </c>
    </row>
    <row r="20" spans="2:26" ht="15.5">
      <c r="B20" s="148" t="s">
        <v>592</v>
      </c>
    </row>
    <row r="21" spans="2:26" ht="15.5">
      <c r="B21" s="33" t="s">
        <v>21</v>
      </c>
      <c r="D21" s="48">
        <f ca="1">+SUM(F21:Z21)</f>
        <v>515308264.31219155</v>
      </c>
      <c r="F21" s="34">
        <f ca="1">+IFERROR(INDEX('Phase I Pro Forma'!$F$380:$Z$380,1,MATCH('Cash Flow Roll-up'!F$2,'Phase I Pro Forma'!$F$284:$Z$284,0)),0)</f>
        <v>-49657729.176295877</v>
      </c>
      <c r="G21" s="34">
        <f ca="1">+IFERROR(INDEX('Phase I Pro Forma'!$F$380:$Z$380,1,MATCH('Cash Flow Roll-up'!G$2,'Phase I Pro Forma'!$F$284:$Z$284,0)),0)</f>
        <v>-128284179.0887768</v>
      </c>
      <c r="H21" s="34">
        <f ca="1">+IFERROR(INDEX('Phase I Pro Forma'!$F$380:$Z$380,1,MATCH('Cash Flow Roll-up'!H$2,'Phase I Pro Forma'!$F$284:$Z$284,0)),0)</f>
        <v>-58675480.184836447</v>
      </c>
      <c r="I21" s="34">
        <f ca="1">+IFERROR(INDEX('Phase I Pro Forma'!$F$380:$Z$380,1,MATCH('Cash Flow Roll-up'!I$2,'Phase I Pro Forma'!$F$284:$Z$284,0)),0)</f>
        <v>13334593.452630492</v>
      </c>
      <c r="J21" s="34">
        <f ca="1">+IFERROR(INDEX('Phase I Pro Forma'!$F$380:$Z$380,1,MATCH('Cash Flow Roll-up'!J$2,'Phase I Pro Forma'!$F$284:$Z$284,0)),0)</f>
        <v>29205328.9003626</v>
      </c>
      <c r="K21" s="34">
        <f ca="1">+IFERROR(INDEX('Phase I Pro Forma'!$F$380:$Z$380,1,MATCH('Cash Flow Roll-up'!K$2,'Phase I Pro Forma'!$F$284:$Z$284,0)),0)</f>
        <v>-24075247.154559352</v>
      </c>
      <c r="L21" s="34">
        <f ca="1">+IFERROR(INDEX('Phase I Pro Forma'!$F$380:$Z$380,1,MATCH('Cash Flow Roll-up'!L$2,'Phase I Pro Forma'!$F$284:$Z$284,0)),0)</f>
        <v>31514092.714733601</v>
      </c>
      <c r="M21" s="34">
        <f ca="1">+IFERROR(INDEX('Phase I Pro Forma'!$F$380:$Z$380,1,MATCH('Cash Flow Roll-up'!M$2,'Phase I Pro Forma'!$F$284:$Z$284,0)),0)</f>
        <v>31659850.608250096</v>
      </c>
      <c r="N21" s="34">
        <f ca="1">+IFERROR(INDEX('Phase I Pro Forma'!$F$380:$Z$380,1,MATCH('Cash Flow Roll-up'!N$2,'Phase I Pro Forma'!$F$284:$Z$284,0)),0)</f>
        <v>31853449.408631399</v>
      </c>
      <c r="O21" s="34">
        <f ca="1">+IFERROR(INDEX('Phase I Pro Forma'!$F$380:$Z$380,1,MATCH('Cash Flow Roll-up'!O$2,'Phase I Pro Forma'!$F$284:$Z$284,0)),0)</f>
        <v>32050721.282819819</v>
      </c>
      <c r="P21" s="34">
        <f ca="1">+IFERROR(INDEX('Phase I Pro Forma'!$F$380:$Z$380,1,MATCH('Cash Flow Roll-up'!P$2,'Phase I Pro Forma'!$F$284:$Z$284,0)),0)</f>
        <v>606382863.54923201</v>
      </c>
      <c r="Q21" s="34">
        <f ca="1">+IFERROR(INDEX('Phase I Pro Forma'!$F$380:$Z$380,1,MATCH('Cash Flow Roll-up'!Q$2,'Phase I Pro Forma'!$F$284:$Z$284,0)),0)</f>
        <v>0</v>
      </c>
      <c r="R21" s="34">
        <f ca="1">+IFERROR(INDEX('Phase I Pro Forma'!$F$380:$Z$380,1,MATCH('Cash Flow Roll-up'!R$2,'Phase I Pro Forma'!$F$284:$Z$284,0)),0)</f>
        <v>0</v>
      </c>
      <c r="S21" s="34">
        <f ca="1">+IFERROR(INDEX('Phase I Pro Forma'!$F$380:$Z$380,1,MATCH('Cash Flow Roll-up'!S$2,'Phase I Pro Forma'!$F$284:$Z$284,0)),0)</f>
        <v>0</v>
      </c>
      <c r="T21" s="34">
        <f ca="1">+IFERROR(INDEX('Phase I Pro Forma'!$F$380:$Z$380,1,MATCH('Cash Flow Roll-up'!T$2,'Phase I Pro Forma'!$F$284:$Z$284,0)),0)</f>
        <v>0</v>
      </c>
      <c r="U21" s="34">
        <f ca="1">+IFERROR(INDEX('Phase I Pro Forma'!$F$380:$Z$380,1,MATCH('Cash Flow Roll-up'!U$2,'Phase I Pro Forma'!$F$284:$Z$284,0)),0)</f>
        <v>0</v>
      </c>
      <c r="V21" s="34">
        <f ca="1">+IFERROR(INDEX('Phase I Pro Forma'!$F$380:$Z$380,1,MATCH('Cash Flow Roll-up'!V$2,'Phase I Pro Forma'!$F$284:$Z$284,0)),0)</f>
        <v>0</v>
      </c>
      <c r="W21" s="34">
        <f ca="1">+IFERROR(INDEX('Phase I Pro Forma'!$F$380:$Z$380,1,MATCH('Cash Flow Roll-up'!W$2,'Phase I Pro Forma'!$F$284:$Z$284,0)),0)</f>
        <v>0</v>
      </c>
      <c r="X21" s="34">
        <f ca="1">+IFERROR(INDEX('Phase I Pro Forma'!$F$380:$Z$380,1,MATCH('Cash Flow Roll-up'!X$2,'Phase I Pro Forma'!$F$284:$Z$284,0)),0)</f>
        <v>0</v>
      </c>
      <c r="Y21" s="34">
        <f ca="1">+IFERROR(INDEX('Phase I Pro Forma'!$F$380:$Z$380,1,MATCH('Cash Flow Roll-up'!Y$2,'Phase I Pro Forma'!$F$284:$Z$284,0)),0)</f>
        <v>0</v>
      </c>
      <c r="Z21" s="34">
        <f ca="1">+IFERROR(INDEX('Phase I Pro Forma'!$F$380:$Z$380,1,MATCH('Cash Flow Roll-up'!Z$2,'Phase I Pro Forma'!$F$284:$Z$284,0)),0)</f>
        <v>0</v>
      </c>
    </row>
    <row r="22" spans="2:26" ht="15.5">
      <c r="B22" s="33" t="s">
        <v>357</v>
      </c>
      <c r="D22" s="24">
        <f ca="1">+SUM(F22:Z22)</f>
        <v>129780712.38905239</v>
      </c>
      <c r="F22" s="151">
        <f>+IFERROR(INDEX('Phase II Pro Forma'!$F$385:$Z$385,1,MATCH('Cash Flow Roll-up'!F$2,'Phase II Pro Forma'!$F$287:$Z$287,0)),0)</f>
        <v>0</v>
      </c>
      <c r="G22" s="151">
        <f>+IFERROR(INDEX('Phase II Pro Forma'!$F$385:$Z$385,1,MATCH('Cash Flow Roll-up'!G$2,'Phase II Pro Forma'!$F$287:$Z$287,0)),0)</f>
        <v>0</v>
      </c>
      <c r="H22" s="151">
        <f ca="1">+IFERROR(INDEX('Phase II Pro Forma'!$F$385:$Z$385,1,MATCH('Cash Flow Roll-up'!H$2,'Phase II Pro Forma'!$F$287:$Z$287,0)),0)</f>
        <v>-79120220.079062372</v>
      </c>
      <c r="I22" s="151">
        <f ca="1">+IFERROR(INDEX('Phase II Pro Forma'!$F$385:$Z$385,1,MATCH('Cash Flow Roll-up'!I$2,'Phase II Pro Forma'!$F$287:$Z$287,0)),0)</f>
        <v>27127086.356571987</v>
      </c>
      <c r="J22" s="151">
        <f ca="1">+IFERROR(INDEX('Phase II Pro Forma'!$F$385:$Z$385,1,MATCH('Cash Flow Roll-up'!J$2,'Phase II Pro Forma'!$F$287:$Z$287,0)),0)</f>
        <v>-1087501.7840327502</v>
      </c>
      <c r="K22" s="151">
        <f ca="1">+IFERROR(INDEX('Phase II Pro Forma'!$F$385:$Z$385,1,MATCH('Cash Flow Roll-up'!K$2,'Phase II Pro Forma'!$F$287:$Z$287,0)),0)</f>
        <v>-21325255.553001806</v>
      </c>
      <c r="L22" s="151">
        <f ca="1">+IFERROR(INDEX('Phase II Pro Forma'!$F$385:$Z$385,1,MATCH('Cash Flow Roll-up'!L$2,'Phase II Pro Forma'!$F$287:$Z$287,0)),0)</f>
        <v>12057488.625704177</v>
      </c>
      <c r="M22" s="151">
        <f ca="1">+IFERROR(INDEX('Phase II Pro Forma'!$F$385:$Z$385,1,MATCH('Cash Flow Roll-up'!M$2,'Phase II Pro Forma'!$F$287:$Z$287,0)),0)</f>
        <v>12057488.630517902</v>
      </c>
      <c r="N22" s="151">
        <f ca="1">+IFERROR(INDEX('Phase II Pro Forma'!$F$385:$Z$385,1,MATCH('Cash Flow Roll-up'!N$2,'Phase II Pro Forma'!$F$287:$Z$287,0)),0)</f>
        <v>12749665.741149765</v>
      </c>
      <c r="O22" s="151">
        <f ca="1">+IFERROR(INDEX('Phase II Pro Forma'!$F$385:$Z$385,1,MATCH('Cash Flow Roll-up'!O$2,'Phase II Pro Forma'!$F$287:$Z$287,0)),0)</f>
        <v>12749665.747435093</v>
      </c>
      <c r="P22" s="151">
        <f ca="1">+IFERROR(INDEX('Phase II Pro Forma'!$F$385:$Z$385,1,MATCH('Cash Flow Roll-up'!P$2,'Phase II Pro Forma'!$F$287:$Z$287,0)),0)</f>
        <v>154572294.70377022</v>
      </c>
      <c r="Q22" s="151">
        <f ca="1">+IFERROR(INDEX('Phase II Pro Forma'!$F$385:$Z$385,1,MATCH('Cash Flow Roll-up'!Q$2,'Phase II Pro Forma'!$F$287:$Z$287,0)),0)</f>
        <v>0</v>
      </c>
      <c r="R22" s="151">
        <f ca="1">+IFERROR(INDEX('Phase II Pro Forma'!$F$385:$Z$385,1,MATCH('Cash Flow Roll-up'!R$2,'Phase II Pro Forma'!$F$287:$Z$287,0)),0)</f>
        <v>0</v>
      </c>
      <c r="S22" s="151">
        <f ca="1">+IFERROR(INDEX('Phase II Pro Forma'!$F$385:$Z$385,1,MATCH('Cash Flow Roll-up'!S$2,'Phase II Pro Forma'!$F$287:$Z$287,0)),0)</f>
        <v>0</v>
      </c>
      <c r="T22" s="151">
        <f ca="1">+IFERROR(INDEX('Phase II Pro Forma'!$F$385:$Z$385,1,MATCH('Cash Flow Roll-up'!T$2,'Phase II Pro Forma'!$F$287:$Z$287,0)),0)</f>
        <v>0</v>
      </c>
      <c r="U22" s="151">
        <f ca="1">+IFERROR(INDEX('Phase II Pro Forma'!$F$385:$Z$385,1,MATCH('Cash Flow Roll-up'!U$2,'Phase II Pro Forma'!$F$287:$Z$287,0)),0)</f>
        <v>0</v>
      </c>
      <c r="V22" s="151">
        <f ca="1">+IFERROR(INDEX('Phase II Pro Forma'!$F$385:$Z$385,1,MATCH('Cash Flow Roll-up'!V$2,'Phase II Pro Forma'!$F$287:$Z$287,0)),0)</f>
        <v>0</v>
      </c>
      <c r="W22" s="151">
        <f ca="1">+IFERROR(INDEX('Phase II Pro Forma'!$F$385:$Z$385,1,MATCH('Cash Flow Roll-up'!W$2,'Phase II Pro Forma'!$F$287:$Z$287,0)),0)</f>
        <v>0</v>
      </c>
      <c r="X22" s="151">
        <f ca="1">+IFERROR(INDEX('Phase II Pro Forma'!$F$385:$Z$385,1,MATCH('Cash Flow Roll-up'!X$2,'Phase II Pro Forma'!$F$287:$Z$287,0)),0)</f>
        <v>0</v>
      </c>
      <c r="Y22" s="151">
        <f ca="1">+IFERROR(INDEX('Phase II Pro Forma'!$F$385:$Z$385,1,MATCH('Cash Flow Roll-up'!Y$2,'Phase II Pro Forma'!$F$287:$Z$287,0)),0)</f>
        <v>0</v>
      </c>
      <c r="Z22" s="151">
        <f ca="1">+IFERROR(INDEX('Phase II Pro Forma'!$F$385:$Z$385,1,MATCH('Cash Flow Roll-up'!Z$2,'Phase II Pro Forma'!$F$287:$Z$287,0)),0)</f>
        <v>0</v>
      </c>
    </row>
    <row r="23" spans="2:26" ht="15.5">
      <c r="B23" s="33" t="s">
        <v>360</v>
      </c>
      <c r="D23" s="24">
        <f ca="1">+SUM(F23:Z23)</f>
        <v>305770889.08843482</v>
      </c>
      <c r="F23" s="151">
        <f>+IFERROR(INDEX('Phase III Pro Forma'!$F$380:$Z$380,1,MATCH('Cash Flow Roll-up'!F$2,'Phase III Pro Forma'!$F$284:$Z$284,0)),0)</f>
        <v>0</v>
      </c>
      <c r="G23" s="151">
        <f>+IFERROR(INDEX('Phase III Pro Forma'!$F$380:$Z$380,1,MATCH('Cash Flow Roll-up'!G$2,'Phase III Pro Forma'!$F$284:$Z$284,0)),0)</f>
        <v>0</v>
      </c>
      <c r="H23" s="151">
        <f>+IFERROR(INDEX('Phase III Pro Forma'!$F$380:$Z$380,1,MATCH('Cash Flow Roll-up'!H$2,'Phase III Pro Forma'!$F$284:$Z$284,0)),0)</f>
        <v>0</v>
      </c>
      <c r="I23" s="151">
        <f>+IFERROR(INDEX('Phase III Pro Forma'!$F$380:$Z$380,1,MATCH('Cash Flow Roll-up'!I$2,'Phase III Pro Forma'!$F$284:$Z$284,0)),0)</f>
        <v>0</v>
      </c>
      <c r="J23" s="151">
        <f ca="1">+IFERROR(INDEX('Phase III Pro Forma'!$F$380:$Z$380,1,MATCH('Cash Flow Roll-up'!J$2,'Phase III Pro Forma'!$F$284:$Z$284,0)),0)</f>
        <v>-63136357.219474562</v>
      </c>
      <c r="K23" s="151">
        <f ca="1">+IFERROR(INDEX('Phase III Pro Forma'!$F$380:$Z$380,1,MATCH('Cash Flow Roll-up'!K$2,'Phase III Pro Forma'!$F$284:$Z$284,0)),0)</f>
        <v>-115859344.70712338</v>
      </c>
      <c r="L23" s="151">
        <f ca="1">+IFERROR(INDEX('Phase III Pro Forma'!$F$380:$Z$380,1,MATCH('Cash Flow Roll-up'!L$2,'Phase III Pro Forma'!$F$284:$Z$284,0)),0)</f>
        <v>-73719724.111053467</v>
      </c>
      <c r="M23" s="151">
        <f ca="1">+IFERROR(INDEX('Phase III Pro Forma'!$F$380:$Z$380,1,MATCH('Cash Flow Roll-up'!M$2,'Phase III Pro Forma'!$F$284:$Z$284,0)),0)</f>
        <v>0</v>
      </c>
      <c r="N23" s="151">
        <f ca="1">+IFERROR(INDEX('Phase III Pro Forma'!$F$380:$Z$380,1,MATCH('Cash Flow Roll-up'!N$2,'Phase III Pro Forma'!$F$284:$Z$284,0)),0)</f>
        <v>13979666.382238423</v>
      </c>
      <c r="O23" s="151">
        <f ca="1">+IFERROR(INDEX('Phase III Pro Forma'!$F$380:$Z$380,1,MATCH('Cash Flow Roll-up'!O$2,'Phase III Pro Forma'!$F$284:$Z$284,0)),0)</f>
        <v>29457565.37943057</v>
      </c>
      <c r="P23" s="151">
        <f ca="1">+IFERROR(INDEX('Phase III Pro Forma'!$F$380:$Z$380,1,MATCH('Cash Flow Roll-up'!P$2,'Phase III Pro Forma'!$F$284:$Z$284,0)),0)</f>
        <v>515049083.36441702</v>
      </c>
      <c r="Q23" s="151">
        <f ca="1">+IFERROR(INDEX('Phase III Pro Forma'!$F$380:$Z$380,1,MATCH('Cash Flow Roll-up'!Q$2,'Phase III Pro Forma'!$F$284:$Z$284,0)),0)</f>
        <v>0</v>
      </c>
      <c r="R23" s="151">
        <f ca="1">+IFERROR(INDEX('Phase III Pro Forma'!$F$380:$Z$380,1,MATCH('Cash Flow Roll-up'!R$2,'Phase III Pro Forma'!$F$284:$Z$284,0)),0)</f>
        <v>0</v>
      </c>
      <c r="S23" s="151">
        <f ca="1">+IFERROR(INDEX('Phase III Pro Forma'!$F$380:$Z$380,1,MATCH('Cash Flow Roll-up'!S$2,'Phase III Pro Forma'!$F$284:$Z$284,0)),0)</f>
        <v>0</v>
      </c>
      <c r="T23" s="151">
        <f ca="1">+IFERROR(INDEX('Phase III Pro Forma'!$F$380:$Z$380,1,MATCH('Cash Flow Roll-up'!T$2,'Phase III Pro Forma'!$F$284:$Z$284,0)),0)</f>
        <v>0</v>
      </c>
      <c r="U23" s="151">
        <f ca="1">+IFERROR(INDEX('Phase III Pro Forma'!$F$380:$Z$380,1,MATCH('Cash Flow Roll-up'!U$2,'Phase III Pro Forma'!$F$284:$Z$284,0)),0)</f>
        <v>0</v>
      </c>
      <c r="V23" s="151">
        <f ca="1">+IFERROR(INDEX('Phase III Pro Forma'!$F$380:$Z$380,1,MATCH('Cash Flow Roll-up'!V$2,'Phase III Pro Forma'!$F$284:$Z$284,0)),0)</f>
        <v>0</v>
      </c>
      <c r="W23" s="151">
        <f ca="1">+IFERROR(INDEX('Phase III Pro Forma'!$F$380:$Z$380,1,MATCH('Cash Flow Roll-up'!W$2,'Phase III Pro Forma'!$F$284:$Z$284,0)),0)</f>
        <v>0</v>
      </c>
      <c r="X23" s="151">
        <f ca="1">+IFERROR(INDEX('Phase III Pro Forma'!$F$380:$Z$380,1,MATCH('Cash Flow Roll-up'!X$2,'Phase III Pro Forma'!$F$284:$Z$284,0)),0)</f>
        <v>0</v>
      </c>
      <c r="Y23" s="151">
        <f ca="1">+IFERROR(INDEX('Phase III Pro Forma'!$F$380:$Z$380,1,MATCH('Cash Flow Roll-up'!Y$2,'Phase III Pro Forma'!$F$284:$Z$284,0)),0)</f>
        <v>0</v>
      </c>
      <c r="Z23" s="151">
        <f ca="1">+IFERROR(INDEX('Phase III Pro Forma'!$F$380:$Z$380,1,MATCH('Cash Flow Roll-up'!Z$2,'Phase III Pro Forma'!$F$284:$Z$284,0)),0)</f>
        <v>0</v>
      </c>
    </row>
    <row r="24" spans="2:26">
      <c r="B24" s="166" t="s">
        <v>595</v>
      </c>
      <c r="C24" s="166"/>
      <c r="D24" s="166"/>
      <c r="E24" s="166"/>
      <c r="F24" s="167">
        <f t="shared" ref="F24:Z24" ca="1" si="4">+SUM(F21:F23)</f>
        <v>-49657729.176295877</v>
      </c>
      <c r="G24" s="167">
        <f t="shared" ca="1" si="4"/>
        <v>-128284179.0887768</v>
      </c>
      <c r="H24" s="167">
        <f t="shared" ca="1" si="4"/>
        <v>-137795700.26389882</v>
      </c>
      <c r="I24" s="167">
        <f t="shared" ca="1" si="4"/>
        <v>40461679.809202477</v>
      </c>
      <c r="J24" s="167">
        <f t="shared" ca="1" si="4"/>
        <v>-35018530.103144713</v>
      </c>
      <c r="K24" s="167">
        <f t="shared" ca="1" si="4"/>
        <v>-161259847.41468453</v>
      </c>
      <c r="L24" s="167">
        <f t="shared" ca="1" si="4"/>
        <v>-30148142.770615689</v>
      </c>
      <c r="M24" s="167">
        <f t="shared" ca="1" si="4"/>
        <v>43717339.238767996</v>
      </c>
      <c r="N24" s="167">
        <f t="shared" ca="1" si="4"/>
        <v>58582781.532019593</v>
      </c>
      <c r="O24" s="167">
        <f t="shared" ca="1" si="4"/>
        <v>74257952.409685493</v>
      </c>
      <c r="P24" s="167">
        <f t="shared" ca="1" si="4"/>
        <v>1276004241.6174192</v>
      </c>
      <c r="Q24" s="167">
        <f t="shared" ca="1" si="4"/>
        <v>0</v>
      </c>
      <c r="R24" s="167">
        <f t="shared" ca="1" si="4"/>
        <v>0</v>
      </c>
      <c r="S24" s="167">
        <f t="shared" ca="1" si="4"/>
        <v>0</v>
      </c>
      <c r="T24" s="167">
        <f t="shared" ca="1" si="4"/>
        <v>0</v>
      </c>
      <c r="U24" s="167">
        <f t="shared" ca="1" si="4"/>
        <v>0</v>
      </c>
      <c r="V24" s="167">
        <f t="shared" ca="1" si="4"/>
        <v>0</v>
      </c>
      <c r="W24" s="167">
        <f t="shared" ca="1" si="4"/>
        <v>0</v>
      </c>
      <c r="X24" s="167">
        <f t="shared" ca="1" si="4"/>
        <v>0</v>
      </c>
      <c r="Y24" s="167">
        <f t="shared" ca="1" si="4"/>
        <v>0</v>
      </c>
      <c r="Z24" s="167">
        <f t="shared" ca="1" si="4"/>
        <v>0</v>
      </c>
    </row>
    <row r="26" spans="2:26" ht="15.5">
      <c r="B26" s="190" t="s">
        <v>593</v>
      </c>
      <c r="C26" s="190"/>
      <c r="D26" s="191">
        <f ca="1">+IRR(F24:Z24)</f>
        <v>0.15859433871224327</v>
      </c>
    </row>
    <row r="27" spans="2:26" ht="15.5">
      <c r="B27" s="194" t="s">
        <v>594</v>
      </c>
      <c r="C27" s="193"/>
      <c r="D27" s="228">
        <f ca="1">+D26/(1-Assumptions!$M$192)</f>
        <v>0.20075232748385222</v>
      </c>
    </row>
    <row r="29" spans="2:26" ht="15.5">
      <c r="B29" s="148" t="s">
        <v>596</v>
      </c>
    </row>
    <row r="30" spans="2:26" ht="15.5">
      <c r="B30" s="33" t="s">
        <v>21</v>
      </c>
      <c r="D30" s="48">
        <f ca="1">+SUM(F30:Z30)</f>
        <v>357159834.71222591</v>
      </c>
      <c r="F30" s="34">
        <f ca="1">+IFERROR(INDEX('Phase I Pro Forma'!$F$420:$Z$420,1,MATCH('Cash Flow Roll-up'!F$2,'Phase I Pro Forma'!$F$284:$Z$284,0)),0)</f>
        <v>-49657729.176295877</v>
      </c>
      <c r="G30" s="34">
        <f ca="1">+IFERROR(INDEX('Phase I Pro Forma'!$F$420:$Z$420,1,MATCH('Cash Flow Roll-up'!G$2,'Phase I Pro Forma'!$F$284:$Z$284,0)),0)</f>
        <v>-19458572.424865175</v>
      </c>
      <c r="H30" s="34">
        <f ca="1">+IFERROR(INDEX('Phase I Pro Forma'!$F$420:$Z$420,1,MATCH('Cash Flow Roll-up'!H$2,'Phase I Pro Forma'!$F$284:$Z$284,0)),0)</f>
        <v>0</v>
      </c>
      <c r="I30" s="34">
        <f ca="1">+IFERROR(INDEX('Phase I Pro Forma'!$F$420:$Z$420,1,MATCH('Cash Flow Roll-up'!I$2,'Phase I Pro Forma'!$F$284:$Z$284,0)),0)</f>
        <v>72464260.233897582</v>
      </c>
      <c r="J30" s="34">
        <f ca="1">+IFERROR(INDEX('Phase I Pro Forma'!$F$420:$Z$420,1,MATCH('Cash Flow Roll-up'!J$2,'Phase I Pro Forma'!$F$284:$Z$284,0)),0)</f>
        <v>9142107.6627297811</v>
      </c>
      <c r="K30" s="34">
        <f ca="1">+IFERROR(INDEX('Phase I Pro Forma'!$F$420:$Z$420,1,MATCH('Cash Flow Roll-up'!K$2,'Phase I Pro Forma'!$F$284:$Z$284,0)),0)</f>
        <v>-6345230.0023838934</v>
      </c>
      <c r="L30" s="34">
        <f ca="1">+IFERROR(INDEX('Phase I Pro Forma'!$F$420:$Z$420,1,MATCH('Cash Flow Roll-up'!L$2,'Phase I Pro Forma'!$F$284:$Z$284,0)),0)</f>
        <v>11340339.93538948</v>
      </c>
      <c r="M30" s="34">
        <f ca="1">+IFERROR(INDEX('Phase I Pro Forma'!$F$420:$Z$420,1,MATCH('Cash Flow Roll-up'!M$2,'Phase I Pro Forma'!$F$284:$Z$284,0)),0)</f>
        <v>11425387.108374503</v>
      </c>
      <c r="N30" s="34">
        <f ca="1">+IFERROR(INDEX('Phase I Pro Forma'!$F$420:$Z$420,1,MATCH('Cash Flow Roll-up'!N$2,'Phase I Pro Forma'!$F$284:$Z$284,0)),0)</f>
        <v>11554328.991389785</v>
      </c>
      <c r="O30" s="34">
        <f ca="1">+IFERROR(INDEX('Phase I Pro Forma'!$F$420:$Z$420,1,MATCH('Cash Flow Roll-up'!O$2,'Phase I Pro Forma'!$F$284:$Z$284,0)),0)</f>
        <v>11682741.248583395</v>
      </c>
      <c r="P30" s="34">
        <f ca="1">+IFERROR(INDEX('Phase I Pro Forma'!$F$420:$Z$420,1,MATCH('Cash Flow Roll-up'!P$2,'Phase I Pro Forma'!$F$284:$Z$284,0)),0)</f>
        <v>305012201.13540632</v>
      </c>
      <c r="Q30" s="34">
        <f ca="1">+IFERROR(INDEX('Phase I Pro Forma'!$F$420:$Z$420,1,MATCH('Cash Flow Roll-up'!Q$2,'Phase I Pro Forma'!$F$284:$Z$284,0)),0)</f>
        <v>0</v>
      </c>
      <c r="R30" s="34">
        <f ca="1">+IFERROR(INDEX('Phase I Pro Forma'!$F$420:$Z$420,1,MATCH('Cash Flow Roll-up'!R$2,'Phase I Pro Forma'!$F$284:$Z$284,0)),0)</f>
        <v>0</v>
      </c>
      <c r="S30" s="34">
        <f ca="1">+IFERROR(INDEX('Phase I Pro Forma'!$F$420:$Z$420,1,MATCH('Cash Flow Roll-up'!S$2,'Phase I Pro Forma'!$F$284:$Z$284,0)),0)</f>
        <v>0</v>
      </c>
      <c r="T30" s="34">
        <f ca="1">+IFERROR(INDEX('Phase I Pro Forma'!$F$420:$Z$420,1,MATCH('Cash Flow Roll-up'!T$2,'Phase I Pro Forma'!$F$284:$Z$284,0)),0)</f>
        <v>0</v>
      </c>
      <c r="U30" s="34">
        <f ca="1">+IFERROR(INDEX('Phase I Pro Forma'!$F$420:$Z$420,1,MATCH('Cash Flow Roll-up'!U$2,'Phase I Pro Forma'!$F$284:$Z$284,0)),0)</f>
        <v>0</v>
      </c>
      <c r="V30" s="34">
        <f ca="1">+IFERROR(INDEX('Phase I Pro Forma'!$F$420:$Z$420,1,MATCH('Cash Flow Roll-up'!V$2,'Phase I Pro Forma'!$F$284:$Z$284,0)),0)</f>
        <v>0</v>
      </c>
      <c r="W30" s="34">
        <f ca="1">+IFERROR(INDEX('Phase I Pro Forma'!$F$420:$Z$420,1,MATCH('Cash Flow Roll-up'!W$2,'Phase I Pro Forma'!$F$284:$Z$284,0)),0)</f>
        <v>0</v>
      </c>
      <c r="X30" s="34">
        <f ca="1">+IFERROR(INDEX('Phase I Pro Forma'!$F$420:$Z$420,1,MATCH('Cash Flow Roll-up'!X$2,'Phase I Pro Forma'!$F$284:$Z$284,0)),0)</f>
        <v>0</v>
      </c>
      <c r="Y30" s="34">
        <f ca="1">+IFERROR(INDEX('Phase I Pro Forma'!$F$420:$Z$420,1,MATCH('Cash Flow Roll-up'!Y$2,'Phase I Pro Forma'!$F$284:$Z$284,0)),0)</f>
        <v>0</v>
      </c>
      <c r="Z30" s="34">
        <f ca="1">+IFERROR(INDEX('Phase I Pro Forma'!$F$420:$Z$420,1,MATCH('Cash Flow Roll-up'!Z$2,'Phase I Pro Forma'!$F$284:$Z$284,0)),0)</f>
        <v>0</v>
      </c>
    </row>
    <row r="31" spans="2:26" ht="15.5">
      <c r="B31" s="33" t="s">
        <v>357</v>
      </c>
      <c r="D31" s="24">
        <f ca="1">+SUM(F31:Z31)</f>
        <v>120076436.71632014</v>
      </c>
      <c r="F31" s="151">
        <f>+IFERROR(INDEX('Phase II Pro Forma'!$F$427:$Z$427,1,MATCH('Cash Flow Roll-up'!F$2,'Phase II Pro Forma'!$F$287:$Z$287,0)),0)</f>
        <v>0</v>
      </c>
      <c r="G31" s="151">
        <f>+IFERROR(INDEX('Phase II Pro Forma'!$F$427:$Z$427,1,MATCH('Cash Flow Roll-up'!G$2,'Phase II Pro Forma'!$F$287:$Z$287,0)),0)</f>
        <v>0</v>
      </c>
      <c r="H31" s="151">
        <f ca="1">+IFERROR(INDEX('Phase II Pro Forma'!$F$427:$Z$427,1,MATCH('Cash Flow Roll-up'!H$2,'Phase II Pro Forma'!$F$287:$Z$287,0)),0)</f>
        <v>-50969107.331240423</v>
      </c>
      <c r="I31" s="151">
        <f ca="1">+IFERROR(INDEX('Phase II Pro Forma'!$F$427:$Z$427,1,MATCH('Cash Flow Roll-up'!I$2,'Phase II Pro Forma'!$F$287:$Z$287,0)),0)</f>
        <v>65237394.974527918</v>
      </c>
      <c r="J31" s="151">
        <f ca="1">+IFERROR(INDEX('Phase II Pro Forma'!$F$427:$Z$427,1,MATCH('Cash Flow Roll-up'!J$2,'Phase II Pro Forma'!$F$287:$Z$287,0)),0)</f>
        <v>0</v>
      </c>
      <c r="K31" s="151">
        <f ca="1">+IFERROR(INDEX('Phase II Pro Forma'!$F$427:$Z$427,1,MATCH('Cash Flow Roll-up'!K$2,'Phase II Pro Forma'!$F$287:$Z$287,0)),0)</f>
        <v>-12295250.230947196</v>
      </c>
      <c r="L31" s="151">
        <f ca="1">+IFERROR(INDEX('Phase II Pro Forma'!$F$427:$Z$427,1,MATCH('Cash Flow Roll-up'!L$2,'Phase II Pro Forma'!$F$287:$Z$287,0)),0)</f>
        <v>6720803.0340909697</v>
      </c>
      <c r="M31" s="151">
        <f ca="1">+IFERROR(INDEX('Phase II Pro Forma'!$F$427:$Z$427,1,MATCH('Cash Flow Roll-up'!M$2,'Phase II Pro Forma'!$F$287:$Z$287,0)),0)</f>
        <v>6709613.4574631471</v>
      </c>
      <c r="N31" s="151">
        <f ca="1">+IFERROR(INDEX('Phase II Pro Forma'!$F$427:$Z$427,1,MATCH('Cash Flow Roll-up'!N$2,'Phase II Pro Forma'!$F$287:$Z$287,0)),0)</f>
        <v>7389929.6117669679</v>
      </c>
      <c r="O31" s="151">
        <f ca="1">+IFERROR(INDEX('Phase II Pro Forma'!$F$427:$Z$427,1,MATCH('Cash Flow Roll-up'!O$2,'Phase II Pro Forma'!$F$287:$Z$287,0)),0)</f>
        <v>7377357.0043445751</v>
      </c>
      <c r="P31" s="151">
        <f ca="1">+IFERROR(INDEX('Phase II Pro Forma'!$F$427:$Z$427,1,MATCH('Cash Flow Roll-up'!P$2,'Phase II Pro Forma'!$F$287:$Z$287,0)),0)</f>
        <v>89905696.196314201</v>
      </c>
      <c r="Q31" s="151">
        <f ca="1">+IFERROR(INDEX('Phase II Pro Forma'!$F$427:$Z$427,1,MATCH('Cash Flow Roll-up'!Q$2,'Phase II Pro Forma'!$F$287:$Z$287,0)),0)</f>
        <v>0</v>
      </c>
      <c r="R31" s="151">
        <f ca="1">+IFERROR(INDEX('Phase II Pro Forma'!$F$427:$Z$427,1,MATCH('Cash Flow Roll-up'!R$2,'Phase II Pro Forma'!$F$287:$Z$287,0)),0)</f>
        <v>0</v>
      </c>
      <c r="S31" s="151">
        <f ca="1">+IFERROR(INDEX('Phase II Pro Forma'!$F$427:$Z$427,1,MATCH('Cash Flow Roll-up'!S$2,'Phase II Pro Forma'!$F$287:$Z$287,0)),0)</f>
        <v>0</v>
      </c>
      <c r="T31" s="151">
        <f ca="1">+IFERROR(INDEX('Phase II Pro Forma'!$F$427:$Z$427,1,MATCH('Cash Flow Roll-up'!T$2,'Phase II Pro Forma'!$F$287:$Z$287,0)),0)</f>
        <v>0</v>
      </c>
      <c r="U31" s="151">
        <f ca="1">+IFERROR(INDEX('Phase II Pro Forma'!$F$427:$Z$427,1,MATCH('Cash Flow Roll-up'!U$2,'Phase II Pro Forma'!$F$287:$Z$287,0)),0)</f>
        <v>0</v>
      </c>
      <c r="V31" s="151">
        <f ca="1">+IFERROR(INDEX('Phase II Pro Forma'!$F$427:$Z$427,1,MATCH('Cash Flow Roll-up'!V$2,'Phase II Pro Forma'!$F$287:$Z$287,0)),0)</f>
        <v>0</v>
      </c>
      <c r="W31" s="151">
        <f ca="1">+IFERROR(INDEX('Phase II Pro Forma'!$F$427:$Z$427,1,MATCH('Cash Flow Roll-up'!W$2,'Phase II Pro Forma'!$F$287:$Z$287,0)),0)</f>
        <v>0</v>
      </c>
      <c r="X31" s="151">
        <f ca="1">+IFERROR(INDEX('Phase II Pro Forma'!$F$427:$Z$427,1,MATCH('Cash Flow Roll-up'!X$2,'Phase II Pro Forma'!$F$287:$Z$287,0)),0)</f>
        <v>0</v>
      </c>
      <c r="Y31" s="151">
        <f ca="1">+IFERROR(INDEX('Phase II Pro Forma'!$F$427:$Z$427,1,MATCH('Cash Flow Roll-up'!Y$2,'Phase II Pro Forma'!$F$287:$Z$287,0)),0)</f>
        <v>0</v>
      </c>
      <c r="Z31" s="151">
        <f ca="1">+IFERROR(INDEX('Phase II Pro Forma'!$F$427:$Z$427,1,MATCH('Cash Flow Roll-up'!Z$2,'Phase II Pro Forma'!$F$287:$Z$287,0)),0)</f>
        <v>0</v>
      </c>
    </row>
    <row r="32" spans="2:26" ht="15.5">
      <c r="B32" s="33" t="s">
        <v>360</v>
      </c>
      <c r="D32" s="24">
        <f ca="1">+SUM(F32:Z32)</f>
        <v>201466520.85650006</v>
      </c>
      <c r="F32" s="151">
        <f>+IFERROR(INDEX('Phase III Pro Forma'!$F$420:$Z$420,1,MATCH('Cash Flow Roll-up'!F$2,'Phase III Pro Forma'!$F$284:$Z$284,0)),0)</f>
        <v>0</v>
      </c>
      <c r="G32" s="151">
        <f>+IFERROR(INDEX('Phase III Pro Forma'!$F$420:$Z$420,1,MATCH('Cash Flow Roll-up'!G$2,'Phase III Pro Forma'!$F$284:$Z$284,0)),0)</f>
        <v>0</v>
      </c>
      <c r="H32" s="151">
        <f>+IFERROR(INDEX('Phase III Pro Forma'!$F$420:$Z$420,1,MATCH('Cash Flow Roll-up'!H$2,'Phase III Pro Forma'!$F$284:$Z$284,0)),0)</f>
        <v>0</v>
      </c>
      <c r="I32" s="151">
        <f>+IFERROR(INDEX('Phase III Pro Forma'!$F$420:$Z$420,1,MATCH('Cash Flow Roll-up'!I$2,'Phase III Pro Forma'!$F$284:$Z$284,0)),0)</f>
        <v>0</v>
      </c>
      <c r="J32" s="151">
        <f ca="1">+IFERROR(INDEX('Phase III Pro Forma'!$F$420:$Z$420,1,MATCH('Cash Flow Roll-up'!J$2,'Phase III Pro Forma'!$F$284:$Z$284,0)),0)</f>
        <v>-61310788.557606936</v>
      </c>
      <c r="K32" s="151">
        <f ca="1">+IFERROR(INDEX('Phase III Pro Forma'!$F$420:$Z$420,1,MATCH('Cash Flow Roll-up'!K$2,'Phase III Pro Forma'!$F$284:$Z$284,0)),0)</f>
        <v>-14668024.097959127</v>
      </c>
      <c r="L32" s="151">
        <f ca="1">+IFERROR(INDEX('Phase III Pro Forma'!$F$420:$Z$420,1,MATCH('Cash Flow Roll-up'!L$2,'Phase III Pro Forma'!$F$284:$Z$284,0)),0)</f>
        <v>0</v>
      </c>
      <c r="M32" s="151">
        <f ca="1">+IFERROR(INDEX('Phase III Pro Forma'!$F$420:$Z$420,1,MATCH('Cash Flow Roll-up'!M$2,'Phase III Pro Forma'!$F$284:$Z$284,0)),0)</f>
        <v>0</v>
      </c>
      <c r="N32" s="151">
        <f ca="1">+IFERROR(INDEX('Phase III Pro Forma'!$F$420:$Z$420,1,MATCH('Cash Flow Roll-up'!N$2,'Phase III Pro Forma'!$F$284:$Z$284,0)),0)</f>
        <v>87261272.653562054</v>
      </c>
      <c r="O32" s="151">
        <f ca="1">+IFERROR(INDEX('Phase III Pro Forma'!$F$420:$Z$420,1,MATCH('Cash Flow Roll-up'!O$2,'Phase III Pro Forma'!$F$284:$Z$284,0)),0)</f>
        <v>8447846.2797500789</v>
      </c>
      <c r="P32" s="151">
        <f ca="1">+IFERROR(INDEX('Phase III Pro Forma'!$F$420:$Z$420,1,MATCH('Cash Flow Roll-up'!P$2,'Phase III Pro Forma'!$F$284:$Z$284,0)),0)</f>
        <v>181736214.57875371</v>
      </c>
      <c r="Q32" s="151">
        <f ca="1">+IFERROR(INDEX('Phase III Pro Forma'!$F$420:$Z$420,1,MATCH('Cash Flow Roll-up'!Q$2,'Phase III Pro Forma'!$F$284:$Z$284,0)),0)</f>
        <v>0</v>
      </c>
      <c r="R32" s="151">
        <f ca="1">+IFERROR(INDEX('Phase III Pro Forma'!$F$420:$Z$420,1,MATCH('Cash Flow Roll-up'!R$2,'Phase III Pro Forma'!$F$284:$Z$284,0)),0)</f>
        <v>0</v>
      </c>
      <c r="S32" s="151">
        <f ca="1">+IFERROR(INDEX('Phase III Pro Forma'!$F$420:$Z$420,1,MATCH('Cash Flow Roll-up'!S$2,'Phase III Pro Forma'!$F$284:$Z$284,0)),0)</f>
        <v>0</v>
      </c>
      <c r="T32" s="151">
        <f ca="1">+IFERROR(INDEX('Phase III Pro Forma'!$F$420:$Z$420,1,MATCH('Cash Flow Roll-up'!T$2,'Phase III Pro Forma'!$F$284:$Z$284,0)),0)</f>
        <v>0</v>
      </c>
      <c r="U32" s="151">
        <f ca="1">+IFERROR(INDEX('Phase III Pro Forma'!$F$420:$Z$420,1,MATCH('Cash Flow Roll-up'!U$2,'Phase III Pro Forma'!$F$284:$Z$284,0)),0)</f>
        <v>0</v>
      </c>
      <c r="V32" s="151">
        <f ca="1">+IFERROR(INDEX('Phase III Pro Forma'!$F$420:$Z$420,1,MATCH('Cash Flow Roll-up'!V$2,'Phase III Pro Forma'!$F$284:$Z$284,0)),0)</f>
        <v>0</v>
      </c>
      <c r="W32" s="151">
        <f ca="1">+IFERROR(INDEX('Phase III Pro Forma'!$F$420:$Z$420,1,MATCH('Cash Flow Roll-up'!W$2,'Phase III Pro Forma'!$F$284:$Z$284,0)),0)</f>
        <v>0</v>
      </c>
      <c r="X32" s="151">
        <f ca="1">+IFERROR(INDEX('Phase III Pro Forma'!$F$420:$Z$420,1,MATCH('Cash Flow Roll-up'!X$2,'Phase III Pro Forma'!$F$284:$Z$284,0)),0)</f>
        <v>0</v>
      </c>
      <c r="Y32" s="151">
        <f ca="1">+IFERROR(INDEX('Phase III Pro Forma'!$F$420:$Z$420,1,MATCH('Cash Flow Roll-up'!Y$2,'Phase III Pro Forma'!$F$284:$Z$284,0)),0)</f>
        <v>0</v>
      </c>
      <c r="Z32" s="151">
        <f ca="1">+IFERROR(INDEX('Phase III Pro Forma'!$F$420:$Z$420,1,MATCH('Cash Flow Roll-up'!Z$2,'Phase III Pro Forma'!$F$284:$Z$284,0)),0)</f>
        <v>0</v>
      </c>
    </row>
    <row r="33" spans="2:26">
      <c r="B33" s="166" t="s">
        <v>595</v>
      </c>
      <c r="C33" s="166"/>
      <c r="D33" s="166"/>
      <c r="E33" s="166"/>
      <c r="F33" s="167">
        <f t="shared" ref="F33:Z33" ca="1" si="5">+SUM(F30:F32)</f>
        <v>-49657729.176295877</v>
      </c>
      <c r="G33" s="167">
        <f t="shared" ca="1" si="5"/>
        <v>-19458572.424865175</v>
      </c>
      <c r="H33" s="167">
        <f t="shared" ca="1" si="5"/>
        <v>-50969107.331240423</v>
      </c>
      <c r="I33" s="167">
        <f t="shared" ca="1" si="5"/>
        <v>137701655.20842549</v>
      </c>
      <c r="J33" s="167">
        <f t="shared" ca="1" si="5"/>
        <v>-52168680.894877151</v>
      </c>
      <c r="K33" s="167">
        <f t="shared" ca="1" si="5"/>
        <v>-33308504.331290219</v>
      </c>
      <c r="L33" s="167">
        <f t="shared" ca="1" si="5"/>
        <v>18061142.969480447</v>
      </c>
      <c r="M33" s="167">
        <f t="shared" ca="1" si="5"/>
        <v>18135000.565837651</v>
      </c>
      <c r="N33" s="167">
        <f t="shared" ca="1" si="5"/>
        <v>106205531.25671881</v>
      </c>
      <c r="O33" s="167">
        <f t="shared" ca="1" si="5"/>
        <v>27507944.532678049</v>
      </c>
      <c r="P33" s="167">
        <f t="shared" ca="1" si="5"/>
        <v>576654111.9104743</v>
      </c>
      <c r="Q33" s="167">
        <f t="shared" ca="1" si="5"/>
        <v>0</v>
      </c>
      <c r="R33" s="167">
        <f t="shared" ca="1" si="5"/>
        <v>0</v>
      </c>
      <c r="S33" s="167">
        <f t="shared" ca="1" si="5"/>
        <v>0</v>
      </c>
      <c r="T33" s="167">
        <f t="shared" ca="1" si="5"/>
        <v>0</v>
      </c>
      <c r="U33" s="167">
        <f t="shared" ca="1" si="5"/>
        <v>0</v>
      </c>
      <c r="V33" s="167">
        <f t="shared" ca="1" si="5"/>
        <v>0</v>
      </c>
      <c r="W33" s="167">
        <f t="shared" ca="1" si="5"/>
        <v>0</v>
      </c>
      <c r="X33" s="167">
        <f t="shared" ca="1" si="5"/>
        <v>0</v>
      </c>
      <c r="Y33" s="167">
        <f t="shared" ca="1" si="5"/>
        <v>0</v>
      </c>
      <c r="Z33" s="167">
        <f t="shared" ca="1" si="5"/>
        <v>0</v>
      </c>
    </row>
    <row r="35" spans="2:26" ht="15.5">
      <c r="B35" s="190" t="s">
        <v>593</v>
      </c>
      <c r="C35" s="190"/>
      <c r="D35" s="191">
        <f ca="1">+IRR(F33:Z33)</f>
        <v>0.31100657248579422</v>
      </c>
    </row>
    <row r="36" spans="2:26" ht="15.5">
      <c r="B36" s="194" t="s">
        <v>594</v>
      </c>
      <c r="C36" s="193"/>
      <c r="D36" s="228">
        <f ca="1">+D35/(1-Assumptions!$M$192)</f>
        <v>0.39367920567822051</v>
      </c>
    </row>
    <row r="38" spans="2:26" ht="15.5">
      <c r="B38" s="148" t="s">
        <v>619</v>
      </c>
    </row>
    <row r="39" spans="2:26">
      <c r="B39" s="550" t="s">
        <v>626</v>
      </c>
      <c r="C39" s="550"/>
      <c r="D39" s="550"/>
      <c r="E39" s="550"/>
      <c r="F39" s="551">
        <f ca="1">+IF(F3&lt;0,F3,0)</f>
        <v>-62857885.033285916</v>
      </c>
      <c r="G39" s="551">
        <f t="shared" ref="G39:Z39" ca="1" si="6">+IF(G3&lt;0,G3,0)</f>
        <v>-24631104.335272372</v>
      </c>
      <c r="H39" s="551">
        <f t="shared" ca="1" si="6"/>
        <v>0</v>
      </c>
      <c r="I39" s="551">
        <f t="shared" ca="1" si="6"/>
        <v>0</v>
      </c>
      <c r="J39" s="551">
        <f t="shared" ca="1" si="6"/>
        <v>0</v>
      </c>
      <c r="K39" s="551">
        <f t="shared" ca="1" si="6"/>
        <v>0</v>
      </c>
      <c r="L39" s="551">
        <f t="shared" ca="1" si="6"/>
        <v>0</v>
      </c>
      <c r="M39" s="551">
        <f t="shared" ca="1" si="6"/>
        <v>0</v>
      </c>
      <c r="N39" s="551">
        <f t="shared" ca="1" si="6"/>
        <v>0</v>
      </c>
      <c r="O39" s="551">
        <f t="shared" ca="1" si="6"/>
        <v>0</v>
      </c>
      <c r="P39" s="551">
        <f t="shared" ca="1" si="6"/>
        <v>0</v>
      </c>
      <c r="Q39" s="551">
        <f t="shared" ca="1" si="6"/>
        <v>0</v>
      </c>
      <c r="R39" s="551">
        <f t="shared" ca="1" si="6"/>
        <v>0</v>
      </c>
      <c r="S39" s="551">
        <f t="shared" ca="1" si="6"/>
        <v>0</v>
      </c>
      <c r="T39" s="551">
        <f t="shared" ca="1" si="6"/>
        <v>0</v>
      </c>
      <c r="U39" s="551">
        <f t="shared" ca="1" si="6"/>
        <v>0</v>
      </c>
      <c r="V39" s="551">
        <f t="shared" ca="1" si="6"/>
        <v>0</v>
      </c>
      <c r="W39" s="551">
        <f t="shared" ca="1" si="6"/>
        <v>0</v>
      </c>
      <c r="X39" s="551">
        <f t="shared" ca="1" si="6"/>
        <v>0</v>
      </c>
      <c r="Y39" s="551">
        <f t="shared" ca="1" si="6"/>
        <v>0</v>
      </c>
      <c r="Z39" s="551">
        <f t="shared" ca="1" si="6"/>
        <v>0</v>
      </c>
    </row>
    <row r="40" spans="2:26">
      <c r="B40" s="548" t="s">
        <v>627</v>
      </c>
      <c r="C40" s="548"/>
      <c r="D40" s="548"/>
      <c r="E40" s="548"/>
      <c r="F40" s="549">
        <f ca="1">+IF(F3&gt;0,MIN(F3,-SUM($F$39:$Z$39)-SUM($E40:E$40)),0)</f>
        <v>0</v>
      </c>
      <c r="G40" s="549">
        <f ca="1">+IF(G3&gt;0,MIN(G3,-SUM($F$39:$Z$39)-SUM($E40:F$40)),0)</f>
        <v>0</v>
      </c>
      <c r="H40" s="549">
        <f ca="1">+IF(H3&gt;0,MIN(H3,-SUM($F$39:$Z$39)-SUM($E40:G$40)),0)</f>
        <v>0</v>
      </c>
      <c r="I40" s="549">
        <f ca="1">+IF(I3&gt;0,MIN(I3,-SUM($F$39:$Z$39)-SUM($E40:H$40)),0)</f>
        <v>71667757.512128755</v>
      </c>
      <c r="J40" s="549">
        <f ca="1">+IF(J3&gt;0,MIN(J3,-SUM($F$39:$Z$39)-SUM($E40:I$40)),0)</f>
        <v>9576755.7472895402</v>
      </c>
      <c r="K40" s="549">
        <f ca="1">+IF(K3&gt;0,MIN(K3,-SUM($F$39:$Z$39)-SUM($E40:J$40)),0)</f>
        <v>6244476.1091399938</v>
      </c>
      <c r="L40" s="549">
        <f ca="1">+IF(L3&gt;0,MIN(L3,-SUM($F$39:$Z$39)-SUM($E40:K$40)),0)</f>
        <v>0</v>
      </c>
      <c r="M40" s="549">
        <f ca="1">+IF(M3&gt;0,MIN(M3,-SUM($F$39:$Z$39)-SUM($E40:L$40)),0)</f>
        <v>0</v>
      </c>
      <c r="N40" s="549">
        <f ca="1">+IF(N3&gt;0,MIN(N3,-SUM($F$39:$Z$39)-SUM($E40:M$40)),0)</f>
        <v>0</v>
      </c>
      <c r="O40" s="549">
        <f ca="1">+IF(O3&gt;0,MIN(O3,-SUM($F$39:$Z$39)-SUM($E40:N$40)),0)</f>
        <v>0</v>
      </c>
      <c r="P40" s="549">
        <f ca="1">+IF(P3&gt;0,MIN(P3,-SUM($F$39:$Z$39)-SUM($E40:O$40)),0)</f>
        <v>0</v>
      </c>
      <c r="Q40" s="549">
        <f ca="1">+IF(Q3&gt;0,MIN(Q3,-SUM($F$39:$Z$39)-SUM($E40:P$40)),0)</f>
        <v>0</v>
      </c>
      <c r="R40" s="549">
        <f ca="1">+IF(R3&gt;0,MIN(R3,-SUM($F$39:$Z$39)-SUM($E40:Q$40)),0)</f>
        <v>0</v>
      </c>
      <c r="S40" s="549">
        <f ca="1">+IF(S3&gt;0,MIN(S3,-SUM($F$39:$Z$39)-SUM($E40:R$40)),0)</f>
        <v>0</v>
      </c>
      <c r="T40" s="549">
        <f ca="1">+IF(T3&gt;0,MIN(T3,-SUM($F$39:$Z$39)-SUM($E40:S$40)),0)</f>
        <v>0</v>
      </c>
      <c r="U40" s="549">
        <f ca="1">+IF(U3&gt;0,MIN(U3,-SUM($F$39:$Z$39)-SUM($E40:T$40)),0)</f>
        <v>0</v>
      </c>
      <c r="V40" s="549">
        <f ca="1">+IF(V3&gt;0,MIN(V3,-SUM($F$39:$Z$39)-SUM($E40:U$40)),0)</f>
        <v>0</v>
      </c>
      <c r="W40" s="549">
        <f ca="1">+IF(W3&gt;0,MIN(W3,-SUM($F$39:$Z$39)-SUM($E40:V$40)),0)</f>
        <v>0</v>
      </c>
      <c r="X40" s="549">
        <f ca="1">+IF(X3&gt;0,MIN(X3,-SUM($F$39:$Z$39)-SUM($E40:W$40)),0)</f>
        <v>0</v>
      </c>
      <c r="Y40" s="549">
        <f ca="1">+IF(Y3&gt;0,MIN(Y3,-SUM($F$39:$Z$39)-SUM($E40:X$40)),0)</f>
        <v>0</v>
      </c>
      <c r="Z40" s="549">
        <f ca="1">+IF(Z3&gt;0,MIN(Z3,-SUM($F$39:$Z$39)-SUM($E40:Y$40)),0)</f>
        <v>0</v>
      </c>
    </row>
    <row r="41" spans="2:26">
      <c r="B41" s="550" t="s">
        <v>624</v>
      </c>
      <c r="C41" s="550"/>
      <c r="D41" s="550"/>
      <c r="E41" s="550"/>
      <c r="F41" s="551">
        <f>+IF(F4&lt;0,F4,0)</f>
        <v>0</v>
      </c>
      <c r="G41" s="551">
        <f t="shared" ref="G41:Z41" si="7">+IF(G4&lt;0,G4,0)</f>
        <v>0</v>
      </c>
      <c r="H41" s="551">
        <f t="shared" ca="1" si="7"/>
        <v>-64517857.38131699</v>
      </c>
      <c r="I41" s="551">
        <f t="shared" ca="1" si="7"/>
        <v>0</v>
      </c>
      <c r="J41" s="551">
        <f t="shared" ca="1" si="7"/>
        <v>0</v>
      </c>
      <c r="K41" s="551">
        <f t="shared" ca="1" si="7"/>
        <v>-530335.46177449962</v>
      </c>
      <c r="L41" s="551">
        <f t="shared" ca="1" si="7"/>
        <v>0</v>
      </c>
      <c r="M41" s="551">
        <f t="shared" ca="1" si="7"/>
        <v>0</v>
      </c>
      <c r="N41" s="551">
        <f t="shared" ca="1" si="7"/>
        <v>0</v>
      </c>
      <c r="O41" s="551">
        <f t="shared" ca="1" si="7"/>
        <v>0</v>
      </c>
      <c r="P41" s="551">
        <f t="shared" ca="1" si="7"/>
        <v>0</v>
      </c>
      <c r="Q41" s="551">
        <f t="shared" ca="1" si="7"/>
        <v>0</v>
      </c>
      <c r="R41" s="551">
        <f t="shared" ca="1" si="7"/>
        <v>0</v>
      </c>
      <c r="S41" s="551">
        <f t="shared" ca="1" si="7"/>
        <v>0</v>
      </c>
      <c r="T41" s="551">
        <f t="shared" ca="1" si="7"/>
        <v>0</v>
      </c>
      <c r="U41" s="551">
        <f t="shared" ca="1" si="7"/>
        <v>0</v>
      </c>
      <c r="V41" s="551">
        <f t="shared" ca="1" si="7"/>
        <v>0</v>
      </c>
      <c r="W41" s="551">
        <f t="shared" ca="1" si="7"/>
        <v>0</v>
      </c>
      <c r="X41" s="551">
        <f t="shared" ca="1" si="7"/>
        <v>0</v>
      </c>
      <c r="Y41" s="551">
        <f t="shared" ca="1" si="7"/>
        <v>0</v>
      </c>
      <c r="Z41" s="551">
        <f t="shared" ca="1" si="7"/>
        <v>0</v>
      </c>
    </row>
    <row r="42" spans="2:26">
      <c r="B42" s="548" t="s">
        <v>625</v>
      </c>
      <c r="C42" s="548"/>
      <c r="D42" s="548"/>
      <c r="E42" s="548"/>
      <c r="F42" s="549">
        <f>+IF(F4&gt;0,MIN(F4,-SUM($F$41:$Z$41)-SUM($E42:E$42)),0)</f>
        <v>0</v>
      </c>
      <c r="G42" s="549">
        <f>+IF(G4&gt;0,MIN(G4,-SUM($F$41:$Z$41)-SUM($E42:F$42)),0)</f>
        <v>0</v>
      </c>
      <c r="H42" s="549">
        <f ca="1">+IF(H4&gt;0,MIN(H4,-SUM($F$41:$Z$41)-SUM($E42:G$42)),0)</f>
        <v>0</v>
      </c>
      <c r="I42" s="549">
        <f ca="1">+IF(I4&gt;0,MIN(I4,-SUM($F$41:$Z$41)-SUM($E42:H$42)),0)</f>
        <v>65048192.843091488</v>
      </c>
      <c r="J42" s="549">
        <f ca="1">+IF(J4&gt;0,MIN(J4,-SUM($F$41:$Z$41)-SUM($E42:I$42)),0)</f>
        <v>0</v>
      </c>
      <c r="K42" s="549">
        <f ca="1">+IF(K4&gt;0,MIN(K4,-SUM($F$41:$Z$41)-SUM($E42:J$42)),0)</f>
        <v>0</v>
      </c>
      <c r="L42" s="549">
        <f ca="1">+IF(L4&gt;0,MIN(L4,-SUM($F$41:$Z$41)-SUM($E42:K$42)),0)</f>
        <v>0</v>
      </c>
      <c r="M42" s="549">
        <f ca="1">+IF(M4&gt;0,MIN(M4,-SUM($F$41:$Z$41)-SUM($E42:L$42)),0)</f>
        <v>0</v>
      </c>
      <c r="N42" s="549">
        <f ca="1">+IF(N4&gt;0,MIN(N4,-SUM($F$41:$Z$41)-SUM($E42:M$42)),0)</f>
        <v>0</v>
      </c>
      <c r="O42" s="549">
        <f ca="1">+IF(O4&gt;0,MIN(O4,-SUM($F$41:$Z$41)-SUM($E42:N$42)),0)</f>
        <v>0</v>
      </c>
      <c r="P42" s="549">
        <f ca="1">+IF(P4&gt;0,MIN(P4,-SUM($F$41:$Z$41)-SUM($E42:O$42)),0)</f>
        <v>0</v>
      </c>
      <c r="Q42" s="549">
        <f ca="1">+IF(Q4&gt;0,MIN(Q4,-SUM($F$41:$Z$41)-SUM($E42:P$42)),0)</f>
        <v>0</v>
      </c>
      <c r="R42" s="549">
        <f ca="1">+IF(R4&gt;0,MIN(R4,-SUM($F$41:$Z$41)-SUM($E42:Q$42)),0)</f>
        <v>0</v>
      </c>
      <c r="S42" s="549">
        <f ca="1">+IF(S4&gt;0,MIN(S4,-SUM($F$41:$Z$41)-SUM($E42:R$42)),0)</f>
        <v>0</v>
      </c>
      <c r="T42" s="549">
        <f ca="1">+IF(T4&gt;0,MIN(T4,-SUM($F$41:$Z$41)-SUM($E42:S$42)),0)</f>
        <v>0</v>
      </c>
      <c r="U42" s="549">
        <f ca="1">+IF(U4&gt;0,MIN(U4,-SUM($F$41:$Z$41)-SUM($E42:T$42)),0)</f>
        <v>0</v>
      </c>
      <c r="V42" s="549">
        <f ca="1">+IF(V4&gt;0,MIN(V4,-SUM($F$41:$Z$41)-SUM($E42:U$42)),0)</f>
        <v>0</v>
      </c>
      <c r="W42" s="549">
        <f ca="1">+IF(W4&gt;0,MIN(W4,-SUM($F$41:$Z$41)-SUM($E42:V$42)),0)</f>
        <v>0</v>
      </c>
      <c r="X42" s="549">
        <f ca="1">+IF(X4&gt;0,MIN(X4,-SUM($F$41:$Z$41)-SUM($E42:W$42)),0)</f>
        <v>0</v>
      </c>
      <c r="Y42" s="549">
        <f ca="1">+IF(Y4&gt;0,MIN(Y4,-SUM($F$41:$Z$41)-SUM($E42:X$42)),0)</f>
        <v>0</v>
      </c>
      <c r="Z42" s="549">
        <f ca="1">+IF(Z4&gt;0,MIN(Z4,-SUM($F$41:$Z$41)-SUM($E42:Y$42)),0)</f>
        <v>0</v>
      </c>
    </row>
    <row r="43" spans="2:26">
      <c r="B43" s="550" t="s">
        <v>620</v>
      </c>
      <c r="C43" s="550"/>
      <c r="D43" s="550"/>
      <c r="E43" s="550"/>
      <c r="F43" s="551">
        <f>+IF(F5&lt;0,F5,0)</f>
        <v>0</v>
      </c>
      <c r="G43" s="551">
        <f t="shared" ref="G43:Z43" si="8">+IF(G5&lt;0,G5,0)</f>
        <v>0</v>
      </c>
      <c r="H43" s="551">
        <f t="shared" si="8"/>
        <v>0</v>
      </c>
      <c r="I43" s="551">
        <f t="shared" si="8"/>
        <v>0</v>
      </c>
      <c r="J43" s="551">
        <f t="shared" ca="1" si="8"/>
        <v>-77608593.110894859</v>
      </c>
      <c r="K43" s="551">
        <f t="shared" ca="1" si="8"/>
        <v>0</v>
      </c>
      <c r="L43" s="551">
        <f t="shared" ca="1" si="8"/>
        <v>0</v>
      </c>
      <c r="M43" s="551">
        <f t="shared" ca="1" si="8"/>
        <v>0</v>
      </c>
      <c r="N43" s="551">
        <f t="shared" ca="1" si="8"/>
        <v>0</v>
      </c>
      <c r="O43" s="551">
        <f t="shared" ca="1" si="8"/>
        <v>0</v>
      </c>
      <c r="P43" s="551">
        <f t="shared" ca="1" si="8"/>
        <v>0</v>
      </c>
      <c r="Q43" s="551">
        <f t="shared" ca="1" si="8"/>
        <v>0</v>
      </c>
      <c r="R43" s="551">
        <f t="shared" ca="1" si="8"/>
        <v>0</v>
      </c>
      <c r="S43" s="551">
        <f t="shared" ca="1" si="8"/>
        <v>0</v>
      </c>
      <c r="T43" s="551">
        <f t="shared" ca="1" si="8"/>
        <v>0</v>
      </c>
      <c r="U43" s="551">
        <f t="shared" ca="1" si="8"/>
        <v>0</v>
      </c>
      <c r="V43" s="551">
        <f t="shared" ca="1" si="8"/>
        <v>0</v>
      </c>
      <c r="W43" s="551">
        <f t="shared" ca="1" si="8"/>
        <v>0</v>
      </c>
      <c r="X43" s="551">
        <f t="shared" ca="1" si="8"/>
        <v>0</v>
      </c>
      <c r="Y43" s="551">
        <f t="shared" ca="1" si="8"/>
        <v>0</v>
      </c>
      <c r="Z43" s="551">
        <f t="shared" ca="1" si="8"/>
        <v>0</v>
      </c>
    </row>
    <row r="44" spans="2:26">
      <c r="B44" s="548" t="s">
        <v>621</v>
      </c>
      <c r="C44" s="548"/>
      <c r="D44" s="548"/>
      <c r="E44" s="548"/>
      <c r="F44" s="549">
        <f>+IF(F5&gt;0,MIN(F5,-SUM($F$43:$Z$43)-SUM($E44:E$44)),0)</f>
        <v>0</v>
      </c>
      <c r="G44" s="549">
        <f>+IF(G5&gt;0,MIN(G5,-SUM($F$43:$Z$43)-SUM($E44:F$44)),0)</f>
        <v>0</v>
      </c>
      <c r="H44" s="549">
        <f>+IF(H5&gt;0,MIN(H5,-SUM($F$43:$Z$43)-SUM($E44:G$44)),0)</f>
        <v>0</v>
      </c>
      <c r="I44" s="549">
        <f>+IF(I5&gt;0,MIN(I5,-SUM($F$43:$Z$43)-SUM($E44:H$44)),0)</f>
        <v>0</v>
      </c>
      <c r="J44" s="549">
        <f ca="1">+IF(J5&gt;0,MIN(J5,-SUM($F$43:$Z$43)-SUM($E44:I$44)),0)</f>
        <v>0</v>
      </c>
      <c r="K44" s="549">
        <f ca="1">+IF(K5&gt;0,MIN(K5,-SUM($F$43:$Z$43)-SUM($E44:J$44)),0)</f>
        <v>0</v>
      </c>
      <c r="L44" s="549">
        <f ca="1">+IF(L5&gt;0,MIN(L5,-SUM($F$43:$Z$43)-SUM($E44:K$44)),0)</f>
        <v>0</v>
      </c>
      <c r="M44" s="549">
        <f ca="1">+IF(M5&gt;0,MIN(M5,-SUM($F$43:$Z$43)-SUM($E44:L$44)),0)</f>
        <v>0</v>
      </c>
      <c r="N44" s="549">
        <f ca="1">+IF(N5&gt;0,MIN(N5,-SUM($F$43:$Z$43)-SUM($E44:M$44)),0)</f>
        <v>77608593.110894859</v>
      </c>
      <c r="O44" s="549">
        <f ca="1">+IF(O5&gt;0,MIN(O5,-SUM($F$43:$Z$43)-SUM($E44:N$44)),0)</f>
        <v>0</v>
      </c>
      <c r="P44" s="549">
        <f ca="1">+IF(P5&gt;0,MIN(P5,-SUM($F$43:$Z$43)-SUM($E44:O$44)),0)</f>
        <v>0</v>
      </c>
      <c r="Q44" s="549">
        <f ca="1">+IF(Q5&gt;0,MIN(Q5,-SUM($F$43:$Z$43)-SUM($E44:P$44)),0)</f>
        <v>0</v>
      </c>
      <c r="R44" s="549">
        <f ca="1">+IF(R5&gt;0,MIN(R5,-SUM($F$43:$Z$43)-SUM($E44:Q$44)),0)</f>
        <v>0</v>
      </c>
      <c r="S44" s="549">
        <f ca="1">+IF(S5&gt;0,MIN(S5,-SUM($F$43:$Z$43)-SUM($E44:R$44)),0)</f>
        <v>0</v>
      </c>
      <c r="T44" s="549">
        <f ca="1">+IF(T5&gt;0,MIN(T5,-SUM($F$43:$Z$43)-SUM($E44:S$44)),0)</f>
        <v>0</v>
      </c>
      <c r="U44" s="549">
        <f ca="1">+IF(U5&gt;0,MIN(U5,-SUM($F$43:$Z$43)-SUM($E44:T$44)),0)</f>
        <v>0</v>
      </c>
      <c r="V44" s="549">
        <f ca="1">+IF(V5&gt;0,MIN(V5,-SUM($F$43:$Z$43)-SUM($E44:U$44)),0)</f>
        <v>0</v>
      </c>
      <c r="W44" s="549">
        <f ca="1">+IF(W5&gt;0,MIN(W5,-SUM($F$43:$Z$43)-SUM($E44:V$44)),0)</f>
        <v>0</v>
      </c>
      <c r="X44" s="549">
        <f ca="1">+IF(X5&gt;0,MIN(X5,-SUM($F$43:$Z$43)-SUM($E44:W$44)),0)</f>
        <v>0</v>
      </c>
      <c r="Y44" s="549">
        <f ca="1">+IF(Y5&gt;0,MIN(Y5,-SUM($F$43:$Z$43)-SUM($E44:X$44)),0)</f>
        <v>0</v>
      </c>
      <c r="Z44" s="549">
        <f ca="1">+IF(Z5&gt;0,MIN(Z5,-SUM($F$43:$Z$43)-SUM($E44:Y$44)),0)</f>
        <v>0</v>
      </c>
    </row>
    <row r="45" spans="2:26" ht="15.5">
      <c r="B45" s="120" t="s">
        <v>622</v>
      </c>
      <c r="C45" s="120"/>
      <c r="D45" s="120"/>
      <c r="E45" s="120"/>
      <c r="F45" s="121">
        <f ca="1">+IF(F6&lt;0,F6,0)</f>
        <v>-62857885.033285916</v>
      </c>
      <c r="G45" s="121">
        <f t="shared" ref="G45:Z45" ca="1" si="9">+IF(G6&lt;0,G6,0)</f>
        <v>-24631104.335272372</v>
      </c>
      <c r="H45" s="121">
        <f t="shared" ca="1" si="9"/>
        <v>-64517857.38131699</v>
      </c>
      <c r="I45" s="121">
        <f t="shared" ca="1" si="9"/>
        <v>0</v>
      </c>
      <c r="J45" s="121">
        <f t="shared" ca="1" si="9"/>
        <v>-68031837.36360532</v>
      </c>
      <c r="K45" s="121">
        <f t="shared" ca="1" si="9"/>
        <v>0</v>
      </c>
      <c r="L45" s="121">
        <f t="shared" ca="1" si="9"/>
        <v>0</v>
      </c>
      <c r="M45" s="121">
        <f t="shared" ca="1" si="9"/>
        <v>0</v>
      </c>
      <c r="N45" s="121">
        <f t="shared" ca="1" si="9"/>
        <v>0</v>
      </c>
      <c r="O45" s="121">
        <f t="shared" ca="1" si="9"/>
        <v>0</v>
      </c>
      <c r="P45" s="121">
        <f t="shared" ca="1" si="9"/>
        <v>0</v>
      </c>
      <c r="Q45" s="121">
        <f t="shared" ca="1" si="9"/>
        <v>0</v>
      </c>
      <c r="R45" s="121">
        <f t="shared" ca="1" si="9"/>
        <v>0</v>
      </c>
      <c r="S45" s="121">
        <f t="shared" ca="1" si="9"/>
        <v>0</v>
      </c>
      <c r="T45" s="121">
        <f t="shared" ca="1" si="9"/>
        <v>0</v>
      </c>
      <c r="U45" s="121">
        <f t="shared" ca="1" si="9"/>
        <v>0</v>
      </c>
      <c r="V45" s="121">
        <f t="shared" ca="1" si="9"/>
        <v>0</v>
      </c>
      <c r="W45" s="121">
        <f t="shared" ca="1" si="9"/>
        <v>0</v>
      </c>
      <c r="X45" s="121">
        <f t="shared" ca="1" si="9"/>
        <v>0</v>
      </c>
      <c r="Y45" s="121">
        <f t="shared" ca="1" si="9"/>
        <v>0</v>
      </c>
      <c r="Z45" s="121">
        <f t="shared" ca="1" si="9"/>
        <v>0</v>
      </c>
    </row>
    <row r="46" spans="2:26" ht="15.5">
      <c r="B46" s="122" t="s">
        <v>623</v>
      </c>
      <c r="C46" s="122"/>
      <c r="D46" s="122"/>
      <c r="E46" s="122"/>
      <c r="F46" s="553">
        <f ca="1">+IF(F6&gt;0,MIN(F6,-SUM($F$45:$Z$45)-SUM($E$46:E46)),0)</f>
        <v>0</v>
      </c>
      <c r="G46" s="553">
        <f ca="1">+IF(G6&gt;0,MIN(G6,-SUM($F$45:$Z$45)-SUM($E$46:F46)),0)</f>
        <v>0</v>
      </c>
      <c r="H46" s="553">
        <f ca="1">+IF(H6&gt;0,MIN(H6,-SUM($F$45:$Z$45)-SUM($E$46:G46)),0)</f>
        <v>0</v>
      </c>
      <c r="I46" s="553">
        <f ca="1">+IF(I6&gt;0,MIN(I6,-SUM($F$45:$Z$45)-SUM($E$46:H46)),0)</f>
        <v>136905152.48665667</v>
      </c>
      <c r="J46" s="553">
        <f ca="1">+IF(J6&gt;0,MIN(J6,-SUM($F$45:$Z$45)-SUM($E$46:I46)),0)</f>
        <v>0</v>
      </c>
      <c r="K46" s="553">
        <f ca="1">+IF(K6&gt;0,MIN(K6,-SUM($F$45:$Z$45)-SUM($E$46:J46)),0)</f>
        <v>9278031.8139887359</v>
      </c>
      <c r="L46" s="553">
        <f ca="1">+IF(L6&gt;0,MIN(L6,-SUM($F$45:$Z$45)-SUM($E$46:K46)),0)</f>
        <v>19709333.759185959</v>
      </c>
      <c r="M46" s="553">
        <f ca="1">+IF(M6&gt;0,MIN(M6,-SUM($F$45:$Z$45)-SUM($E$46:L46)),0)</f>
        <v>19893837.427958388</v>
      </c>
      <c r="N46" s="553">
        <f ca="1">+IF(N6&gt;0,MIN(N6,-SUM($F$45:$Z$45)-SUM($E$46:M46)),0)</f>
        <v>34252328.625690818</v>
      </c>
      <c r="O46" s="553">
        <f ca="1">+IF(O6&gt;0,MIN(O6,-SUM($F$45:$Z$45)-SUM($E$46:N46)),0)</f>
        <v>0</v>
      </c>
      <c r="P46" s="553">
        <f ca="1">+IF(P6&gt;0,MIN(P6,-SUM($F$45:$Z$45)-SUM($E$46:O46)),0)</f>
        <v>0</v>
      </c>
      <c r="Q46" s="553">
        <f ca="1">+IF(Q6&gt;0,MIN(Q6,-SUM($F$45:$Z$45)-SUM($E$46:P46)),0)</f>
        <v>0</v>
      </c>
      <c r="R46" s="553">
        <f ca="1">+IF(R6&gt;0,MIN(R6,-SUM($F$45:$Z$45)-SUM($E$46:Q46)),0)</f>
        <v>0</v>
      </c>
      <c r="S46" s="553">
        <f ca="1">+IF(S6&gt;0,MIN(S6,-SUM($F$45:$Z$45)-SUM($E$46:R46)),0)</f>
        <v>0</v>
      </c>
      <c r="T46" s="553">
        <f ca="1">+IF(T6&gt;0,MIN(T6,-SUM($F$45:$Z$45)-SUM($E$46:S46)),0)</f>
        <v>0</v>
      </c>
      <c r="U46" s="553">
        <f ca="1">+IF(U6&gt;0,MIN(U6,-SUM($F$45:$Z$45)-SUM($E$46:T46)),0)</f>
        <v>0</v>
      </c>
      <c r="V46" s="553">
        <f ca="1">+IF(V6&gt;0,MIN(V6,-SUM($F$45:$Z$45)-SUM($E$46:U46)),0)</f>
        <v>0</v>
      </c>
      <c r="W46" s="553">
        <f ca="1">+IF(W6&gt;0,MIN(W6,-SUM($F$45:$Z$45)-SUM($E$46:V46)),0)</f>
        <v>0</v>
      </c>
      <c r="X46" s="553">
        <f ca="1">+IF(X6&gt;0,MIN(X6,-SUM($F$45:$Z$45)-SUM($E$46:W46)),0)</f>
        <v>0</v>
      </c>
      <c r="Y46" s="553">
        <f ca="1">+IF(Y6&gt;0,MIN(Y6,-SUM($F$45:$Z$45)-SUM($E$46:X46)),0)</f>
        <v>0</v>
      </c>
      <c r="Z46" s="553">
        <f ca="1">+IF(Z6&gt;0,MIN(Z6,-SUM($F$45:$Z$45)-SUM($E$46:Y46)),0)</f>
        <v>0</v>
      </c>
    </row>
    <row r="47" spans="2:26" ht="15.5">
      <c r="B47" s="554" t="s">
        <v>628</v>
      </c>
      <c r="C47" s="157"/>
      <c r="D47" s="157"/>
      <c r="E47" s="157"/>
      <c r="F47" s="552">
        <f>+F2</f>
        <v>44561</v>
      </c>
      <c r="G47" s="552">
        <f t="shared" ref="G47:Z47" si="10">+G2</f>
        <v>44926</v>
      </c>
      <c r="H47" s="552">
        <f t="shared" si="10"/>
        <v>45291</v>
      </c>
      <c r="I47" s="552">
        <f t="shared" si="10"/>
        <v>45657</v>
      </c>
      <c r="J47" s="552">
        <f t="shared" si="10"/>
        <v>46022</v>
      </c>
      <c r="K47" s="552">
        <f t="shared" si="10"/>
        <v>46387</v>
      </c>
      <c r="L47" s="552">
        <f t="shared" si="10"/>
        <v>46752</v>
      </c>
      <c r="M47" s="552">
        <f t="shared" si="10"/>
        <v>47118</v>
      </c>
      <c r="N47" s="552">
        <f t="shared" si="10"/>
        <v>47483</v>
      </c>
      <c r="O47" s="552">
        <f t="shared" si="10"/>
        <v>47848</v>
      </c>
      <c r="P47" s="552">
        <f t="shared" si="10"/>
        <v>48213</v>
      </c>
      <c r="Q47" s="552">
        <f t="shared" si="10"/>
        <v>48579</v>
      </c>
      <c r="R47" s="552">
        <f t="shared" si="10"/>
        <v>48944</v>
      </c>
      <c r="S47" s="552">
        <f t="shared" si="10"/>
        <v>49309</v>
      </c>
      <c r="T47" s="552">
        <f t="shared" si="10"/>
        <v>49674</v>
      </c>
      <c r="U47" s="552">
        <f t="shared" si="10"/>
        <v>50040</v>
      </c>
      <c r="V47" s="552">
        <f t="shared" si="10"/>
        <v>50405</v>
      </c>
      <c r="W47" s="552">
        <f t="shared" si="10"/>
        <v>50770</v>
      </c>
      <c r="X47" s="552">
        <f t="shared" si="10"/>
        <v>51135</v>
      </c>
      <c r="Y47" s="552">
        <f t="shared" si="10"/>
        <v>51501</v>
      </c>
      <c r="Z47" s="552">
        <f t="shared" si="10"/>
        <v>51866</v>
      </c>
    </row>
    <row r="48" spans="2:26">
      <c r="B48" s="157" t="s">
        <v>21</v>
      </c>
      <c r="C48" s="157"/>
      <c r="D48" s="157"/>
      <c r="E48" s="157"/>
      <c r="F48" s="340">
        <f ca="1">-SUM($F39:F40)</f>
        <v>62857885.033285916</v>
      </c>
      <c r="G48" s="340">
        <f ca="1">-SUM($F39:G40)</f>
        <v>87488989.368558288</v>
      </c>
      <c r="H48" s="340">
        <f ca="1">-SUM($F39:H40)</f>
        <v>87488989.368558288</v>
      </c>
      <c r="I48" s="340">
        <f ca="1">-SUM($F39:I40)</f>
        <v>15821231.856429532</v>
      </c>
      <c r="J48" s="340">
        <f ca="1">-SUM($F39:J40)</f>
        <v>6244476.1091399919</v>
      </c>
      <c r="K48" s="340">
        <f ca="1">-SUM($F39:K40)</f>
        <v>0</v>
      </c>
      <c r="L48" s="340">
        <f ca="1">-SUM($F39:L40)</f>
        <v>-1.862645149230957E-9</v>
      </c>
      <c r="M48" s="340">
        <f ca="1">-SUM($F39:M40)</f>
        <v>-1.862645149230957E-9</v>
      </c>
      <c r="N48" s="340">
        <f ca="1">-SUM($F39:N40)</f>
        <v>-1.862645149230957E-9</v>
      </c>
      <c r="O48" s="340">
        <f ca="1">-SUM($F39:O40)</f>
        <v>-1.862645149230957E-9</v>
      </c>
      <c r="P48" s="340">
        <f ca="1">-SUM($F39:P40)</f>
        <v>-1.862645149230957E-9</v>
      </c>
      <c r="Q48" s="340">
        <f ca="1">-SUM($F39:Q40)</f>
        <v>-1.862645149230957E-9</v>
      </c>
      <c r="R48" s="340">
        <f ca="1">-SUM($F39:R40)</f>
        <v>-1.862645149230957E-9</v>
      </c>
      <c r="S48" s="340">
        <f ca="1">-SUM($F39:S40)</f>
        <v>-1.862645149230957E-9</v>
      </c>
      <c r="T48" s="340">
        <f ca="1">-SUM($F39:T40)</f>
        <v>-1.862645149230957E-9</v>
      </c>
      <c r="U48" s="340">
        <f ca="1">-SUM($F39:U40)</f>
        <v>-1.862645149230957E-9</v>
      </c>
      <c r="V48" s="340">
        <f ca="1">-SUM($F39:V40)</f>
        <v>-1.862645149230957E-9</v>
      </c>
      <c r="W48" s="340">
        <f ca="1">-SUM($F39:W40)</f>
        <v>-1.862645149230957E-9</v>
      </c>
      <c r="X48" s="340">
        <f ca="1">-SUM($F39:X40)</f>
        <v>-1.862645149230957E-9</v>
      </c>
      <c r="Y48" s="340">
        <f ca="1">-SUM($F39:Y40)</f>
        <v>-1.862645149230957E-9</v>
      </c>
      <c r="Z48" s="340">
        <f ca="1">-SUM($F39:Z40)</f>
        <v>-1.862645149230957E-9</v>
      </c>
    </row>
    <row r="49" spans="2:26">
      <c r="B49" s="157" t="s">
        <v>357</v>
      </c>
      <c r="C49" s="157"/>
      <c r="D49" s="157"/>
      <c r="E49" s="157"/>
      <c r="F49" s="340">
        <f>-SUM($F41:F42)</f>
        <v>0</v>
      </c>
      <c r="G49" s="340">
        <f>-SUM($F41:G42)</f>
        <v>0</v>
      </c>
      <c r="H49" s="340">
        <f ca="1">-SUM($F41:H42)</f>
        <v>64517857.38131699</v>
      </c>
      <c r="I49" s="340">
        <f ca="1">-SUM($F41:I42)</f>
        <v>-530335.46177449822</v>
      </c>
      <c r="J49" s="340">
        <f ca="1">-SUM($F41:J42)</f>
        <v>-530335.46177449822</v>
      </c>
      <c r="K49" s="340">
        <f ca="1">-SUM($F41:K42)</f>
        <v>0</v>
      </c>
      <c r="L49" s="340">
        <f ca="1">-SUM($F41:L42)</f>
        <v>0</v>
      </c>
      <c r="M49" s="340">
        <f ca="1">-SUM($F41:M42)</f>
        <v>0</v>
      </c>
      <c r="N49" s="340">
        <f ca="1">-SUM($F41:N42)</f>
        <v>0</v>
      </c>
      <c r="O49" s="340">
        <f ca="1">-SUM($F41:O42)</f>
        <v>0</v>
      </c>
      <c r="P49" s="340">
        <f ca="1">-SUM($F41:P42)</f>
        <v>0</v>
      </c>
      <c r="Q49" s="340">
        <f ca="1">-SUM($F41:Q42)</f>
        <v>0</v>
      </c>
      <c r="R49" s="340">
        <f ca="1">-SUM($F41:R42)</f>
        <v>0</v>
      </c>
      <c r="S49" s="340">
        <f ca="1">-SUM($F41:S42)</f>
        <v>0</v>
      </c>
      <c r="T49" s="340">
        <f ca="1">-SUM($F41:T42)</f>
        <v>0</v>
      </c>
      <c r="U49" s="340">
        <f ca="1">-SUM($F41:U42)</f>
        <v>0</v>
      </c>
      <c r="V49" s="340">
        <f ca="1">-SUM($F41:V42)</f>
        <v>0</v>
      </c>
      <c r="W49" s="340">
        <f ca="1">-SUM($F41:W42)</f>
        <v>0</v>
      </c>
      <c r="X49" s="340">
        <f ca="1">-SUM($F41:X42)</f>
        <v>0</v>
      </c>
      <c r="Y49" s="340">
        <f ca="1">-SUM($F41:Y42)</f>
        <v>0</v>
      </c>
      <c r="Z49" s="340">
        <f ca="1">-SUM($F41:Z42)</f>
        <v>0</v>
      </c>
    </row>
    <row r="50" spans="2:26">
      <c r="B50" s="157" t="s">
        <v>360</v>
      </c>
      <c r="C50" s="157"/>
      <c r="D50" s="157"/>
      <c r="E50" s="157"/>
      <c r="F50" s="340">
        <f>-SUM($F43:F44)</f>
        <v>0</v>
      </c>
      <c r="G50" s="340">
        <f>-SUM($F43:G44)</f>
        <v>0</v>
      </c>
      <c r="H50" s="340">
        <f>-SUM($F43:H44)</f>
        <v>0</v>
      </c>
      <c r="I50" s="340">
        <f>-SUM($F43:I44)</f>
        <v>0</v>
      </c>
      <c r="J50" s="340">
        <f ca="1">-SUM($F43:J44)</f>
        <v>77608593.110894859</v>
      </c>
      <c r="K50" s="340">
        <f ca="1">-SUM($F43:K44)</f>
        <v>77608593.110894859</v>
      </c>
      <c r="L50" s="340">
        <f ca="1">-SUM($F43:L44)</f>
        <v>77608593.110894859</v>
      </c>
      <c r="M50" s="340">
        <f ca="1">-SUM($F43:M44)</f>
        <v>77608593.110894859</v>
      </c>
      <c r="N50" s="340">
        <f ca="1">-SUM($F43:N44)</f>
        <v>0</v>
      </c>
      <c r="O50" s="340">
        <f ca="1">-SUM($F43:O44)</f>
        <v>0</v>
      </c>
      <c r="P50" s="340">
        <f ca="1">-SUM($F43:P44)</f>
        <v>0</v>
      </c>
      <c r="Q50" s="340">
        <f ca="1">-SUM($F43:Q44)</f>
        <v>0</v>
      </c>
      <c r="R50" s="340">
        <f ca="1">-SUM($F43:R44)</f>
        <v>0</v>
      </c>
      <c r="S50" s="340">
        <f ca="1">-SUM($F43:S44)</f>
        <v>0</v>
      </c>
      <c r="T50" s="340">
        <f ca="1">-SUM($F43:T44)</f>
        <v>0</v>
      </c>
      <c r="U50" s="340">
        <f ca="1">-SUM($F43:U44)</f>
        <v>0</v>
      </c>
      <c r="V50" s="340">
        <f ca="1">-SUM($F43:V44)</f>
        <v>0</v>
      </c>
      <c r="W50" s="340">
        <f ca="1">-SUM($F43:W44)</f>
        <v>0</v>
      </c>
      <c r="X50" s="340">
        <f ca="1">-SUM($F43:X44)</f>
        <v>0</v>
      </c>
      <c r="Y50" s="340">
        <f ca="1">-SUM($F43:Y44)</f>
        <v>0</v>
      </c>
      <c r="Z50" s="340">
        <f ca="1">-SUM($F43:Z44)</f>
        <v>0</v>
      </c>
    </row>
    <row r="51" spans="2:26">
      <c r="B51" s="157" t="s">
        <v>618</v>
      </c>
      <c r="C51" s="157"/>
      <c r="D51" s="157"/>
      <c r="E51" s="157"/>
      <c r="F51" s="340">
        <f ca="1">-SUM($F45:F46)</f>
        <v>62857885.033285916</v>
      </c>
      <c r="G51" s="340">
        <f ca="1">-SUM($F45:G46)</f>
        <v>87488989.368558288</v>
      </c>
      <c r="H51" s="340">
        <f ca="1">-SUM($F45:H46)</f>
        <v>152006846.74987528</v>
      </c>
      <c r="I51" s="340">
        <f ca="1">-SUM($F45:I46)</f>
        <v>15101694.263218611</v>
      </c>
      <c r="J51" s="340">
        <f ca="1">-SUM($F45:J46)</f>
        <v>83133531.626823932</v>
      </c>
      <c r="K51" s="340">
        <f ca="1">-SUM($F45:K46)</f>
        <v>73855499.812835202</v>
      </c>
      <c r="L51" s="340">
        <f ca="1">-SUM($F45:L46)</f>
        <v>54146166.053649247</v>
      </c>
      <c r="M51" s="340">
        <f ca="1">-SUM($F45:M46)</f>
        <v>34252328.625690863</v>
      </c>
      <c r="N51" s="340">
        <f ca="1">-SUM($F45:N46)</f>
        <v>0</v>
      </c>
      <c r="O51" s="340">
        <f ca="1">-SUM($F45:O46)</f>
        <v>4.4703483581542969E-8</v>
      </c>
      <c r="P51" s="340">
        <f ca="1">-SUM($F45:P46)</f>
        <v>4.4703483581542969E-8</v>
      </c>
      <c r="Q51" s="340">
        <f ca="1">-SUM($F45:Q46)</f>
        <v>4.4703483581542969E-8</v>
      </c>
      <c r="R51" s="340">
        <f ca="1">-SUM($F45:R46)</f>
        <v>4.4703483581542969E-8</v>
      </c>
      <c r="S51" s="340">
        <f ca="1">-SUM($F45:S46)</f>
        <v>4.4703483581542969E-8</v>
      </c>
      <c r="T51" s="340">
        <f ca="1">-SUM($F45:T46)</f>
        <v>4.4703483581542969E-8</v>
      </c>
      <c r="U51" s="340">
        <f ca="1">-SUM($F45:U46)</f>
        <v>4.4703483581542969E-8</v>
      </c>
      <c r="V51" s="340">
        <f ca="1">-SUM($F45:V46)</f>
        <v>4.4703483581542969E-8</v>
      </c>
      <c r="W51" s="340">
        <f ca="1">-SUM($F45:W46)</f>
        <v>4.4703483581542969E-8</v>
      </c>
      <c r="X51" s="340">
        <f ca="1">-SUM($F45:X46)</f>
        <v>4.4703483581542969E-8</v>
      </c>
      <c r="Y51" s="340">
        <f ca="1">-SUM($F45:Y46)</f>
        <v>4.4703483581542969E-8</v>
      </c>
      <c r="Z51" s="340">
        <f ca="1">-SUM($F45:Z46)</f>
        <v>4.4703483581542969E-8</v>
      </c>
    </row>
    <row r="54" spans="2:26">
      <c r="C54" s="41" t="s">
        <v>609</v>
      </c>
      <c r="D54" s="41" t="s">
        <v>610</v>
      </c>
      <c r="E54" s="41" t="s">
        <v>611</v>
      </c>
    </row>
    <row r="55" spans="2:26">
      <c r="B55" s="41" t="s">
        <v>21</v>
      </c>
      <c r="C55" s="116">
        <f ca="1">+'Phase I Pro Forma'!$D$353</f>
        <v>0.14466080366738621</v>
      </c>
      <c r="D55" s="116">
        <f ca="1">+'Phase I Pro Forma'!$D$311</f>
        <v>0.26008083120371395</v>
      </c>
      <c r="E55" s="116">
        <f ca="1">+'Phase I Pro Forma'!$D$423</f>
        <v>0.37369436990935456</v>
      </c>
    </row>
    <row r="56" spans="2:26">
      <c r="B56" s="41" t="s">
        <v>357</v>
      </c>
      <c r="C56" s="116">
        <f ca="1">+'Phase II Pro Forma'!$D$358</f>
        <v>0.15590292187162347</v>
      </c>
      <c r="D56" s="116">
        <f ca="1">+'Phase II Pro Forma'!$D$315</f>
        <v>0.32546783189453388</v>
      </c>
      <c r="E56" s="116">
        <f ca="1">+'Phase II Pro Forma'!$D$430</f>
        <v>0.54026291475144572</v>
      </c>
    </row>
    <row r="57" spans="2:26">
      <c r="B57" s="41" t="s">
        <v>360</v>
      </c>
      <c r="C57" s="116">
        <f ca="1">+'Phase III Pro Forma'!$D$353</f>
        <v>0.18557150677640988</v>
      </c>
      <c r="D57" s="116">
        <f ca="1">+'Phase III Pro Forma'!$D$311</f>
        <v>0.31217669917177293</v>
      </c>
      <c r="E57" s="116">
        <f ca="1">+'Phase III Pro Forma'!$D$423</f>
        <v>0.36994413526401992</v>
      </c>
    </row>
    <row r="58" spans="2:26">
      <c r="B58" s="41" t="s">
        <v>17</v>
      </c>
      <c r="C58" s="116">
        <f ca="1">+D17</f>
        <v>0.15581331388884045</v>
      </c>
      <c r="D58" s="116">
        <f ca="1">+D8</f>
        <v>0.28068633693696654</v>
      </c>
      <c r="E58" s="116">
        <f ca="1">+D36</f>
        <v>0.39367920567822051</v>
      </c>
    </row>
  </sheetData>
  <phoneticPr fontId="79"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B3:AU22"/>
  <sheetViews>
    <sheetView showGridLines="0" zoomScale="55" zoomScaleNormal="55" workbookViewId="0">
      <selection activeCell="E10" sqref="E10"/>
    </sheetView>
  </sheetViews>
  <sheetFormatPr defaultColWidth="14.453125" defaultRowHeight="16" customHeight="1"/>
  <cols>
    <col min="1" max="1" width="8.6328125" style="41" customWidth="1"/>
    <col min="2" max="2" width="17.6328125" style="41" customWidth="1"/>
    <col min="3" max="4" width="8.6328125" style="41" customWidth="1"/>
    <col min="5" max="5" width="18" style="41" customWidth="1"/>
    <col min="6" max="6" width="16.36328125" style="41" customWidth="1"/>
    <col min="7" max="7" width="16.81640625" style="41" bestFit="1" customWidth="1"/>
    <col min="8" max="16384" width="14.453125" style="41"/>
  </cols>
  <sheetData>
    <row r="3" spans="2:47" ht="16" customHeight="1">
      <c r="B3" s="148" t="s">
        <v>576</v>
      </c>
      <c r="F3" s="150"/>
      <c r="G3" s="150">
        <f>+'Cash Flow Roll-up'!F2</f>
        <v>44561</v>
      </c>
      <c r="H3" s="150">
        <f>+EOMONTH(G3,12)</f>
        <v>44926</v>
      </c>
      <c r="I3" s="150">
        <f t="shared" ref="I3:AB3" si="0">+EOMONTH(H3,12)</f>
        <v>45291</v>
      </c>
      <c r="J3" s="150">
        <f t="shared" si="0"/>
        <v>45657</v>
      </c>
      <c r="K3" s="150">
        <f t="shared" si="0"/>
        <v>46022</v>
      </c>
      <c r="L3" s="150">
        <f t="shared" si="0"/>
        <v>46387</v>
      </c>
      <c r="M3" s="150">
        <f t="shared" si="0"/>
        <v>46752</v>
      </c>
      <c r="N3" s="150">
        <f t="shared" si="0"/>
        <v>47118</v>
      </c>
      <c r="O3" s="150">
        <f t="shared" si="0"/>
        <v>47483</v>
      </c>
      <c r="P3" s="150">
        <f t="shared" si="0"/>
        <v>47848</v>
      </c>
      <c r="Q3" s="150">
        <f t="shared" si="0"/>
        <v>48213</v>
      </c>
      <c r="R3" s="150">
        <f t="shared" si="0"/>
        <v>48579</v>
      </c>
      <c r="S3" s="150">
        <f t="shared" si="0"/>
        <v>48944</v>
      </c>
      <c r="T3" s="150">
        <f t="shared" si="0"/>
        <v>49309</v>
      </c>
      <c r="U3" s="150">
        <f t="shared" si="0"/>
        <v>49674</v>
      </c>
      <c r="V3" s="150">
        <f t="shared" si="0"/>
        <v>50040</v>
      </c>
      <c r="W3" s="150">
        <f t="shared" si="0"/>
        <v>50405</v>
      </c>
      <c r="X3" s="150">
        <f t="shared" si="0"/>
        <v>50770</v>
      </c>
      <c r="Y3" s="150">
        <f t="shared" si="0"/>
        <v>51135</v>
      </c>
      <c r="Z3" s="150">
        <f t="shared" si="0"/>
        <v>51501</v>
      </c>
      <c r="AA3" s="150">
        <f t="shared" si="0"/>
        <v>51866</v>
      </c>
      <c r="AB3" s="150">
        <f t="shared" si="0"/>
        <v>52231</v>
      </c>
      <c r="AC3" s="150">
        <f t="shared" ref="AC3" si="1">+EOMONTH(AB3,12)</f>
        <v>52596</v>
      </c>
      <c r="AD3" s="150">
        <f t="shared" ref="AD3" si="2">+EOMONTH(AC3,12)</f>
        <v>52962</v>
      </c>
      <c r="AE3" s="150">
        <f t="shared" ref="AE3" si="3">+EOMONTH(AD3,12)</f>
        <v>53327</v>
      </c>
      <c r="AF3" s="150">
        <f t="shared" ref="AF3" si="4">+EOMONTH(AE3,12)</f>
        <v>53692</v>
      </c>
      <c r="AG3" s="150">
        <f t="shared" ref="AG3" si="5">+EOMONTH(AF3,12)</f>
        <v>54057</v>
      </c>
      <c r="AH3" s="150">
        <f t="shared" ref="AH3" si="6">+EOMONTH(AG3,12)</f>
        <v>54423</v>
      </c>
      <c r="AI3" s="150">
        <f t="shared" ref="AI3" si="7">+EOMONTH(AH3,12)</f>
        <v>54788</v>
      </c>
      <c r="AJ3" s="150">
        <f t="shared" ref="AJ3" si="8">+EOMONTH(AI3,12)</f>
        <v>55153</v>
      </c>
      <c r="AK3" s="150">
        <f t="shared" ref="AK3" si="9">+EOMONTH(AJ3,12)</f>
        <v>55518</v>
      </c>
      <c r="AL3" s="150">
        <f t="shared" ref="AL3" si="10">+EOMONTH(AK3,12)</f>
        <v>55884</v>
      </c>
      <c r="AM3" s="150">
        <f t="shared" ref="AM3" si="11">+EOMONTH(AL3,12)</f>
        <v>56249</v>
      </c>
      <c r="AN3" s="150">
        <f t="shared" ref="AN3" si="12">+EOMONTH(AM3,12)</f>
        <v>56614</v>
      </c>
      <c r="AO3" s="150">
        <f t="shared" ref="AO3" si="13">+EOMONTH(AN3,12)</f>
        <v>56979</v>
      </c>
      <c r="AP3" s="150">
        <f t="shared" ref="AP3" si="14">+EOMONTH(AO3,12)</f>
        <v>57345</v>
      </c>
      <c r="AQ3" s="150">
        <f t="shared" ref="AQ3" si="15">+EOMONTH(AP3,12)</f>
        <v>57710</v>
      </c>
      <c r="AR3" s="150">
        <f t="shared" ref="AR3" si="16">+EOMONTH(AQ3,12)</f>
        <v>58075</v>
      </c>
      <c r="AS3" s="150">
        <f t="shared" ref="AS3" si="17">+EOMONTH(AR3,12)</f>
        <v>58440</v>
      </c>
      <c r="AT3" s="150">
        <f t="shared" ref="AT3" si="18">+EOMONTH(AS3,12)</f>
        <v>58806</v>
      </c>
      <c r="AU3" s="150">
        <f t="shared" ref="AU3" si="19">+EOMONTH(AT3,12)</f>
        <v>59171</v>
      </c>
    </row>
    <row r="4" spans="2:47" ht="16" customHeight="1">
      <c r="B4" s="33" t="s">
        <v>612</v>
      </c>
      <c r="D4" s="48"/>
      <c r="F4" s="34">
        <f>+NPV($E$10,G4:AU4)</f>
        <v>15398186.713020956</v>
      </c>
      <c r="G4" s="151">
        <f>+SUMIF(Assumptions!$F$22:$H$22,'Public Benefits'!G$3,Infra!$G$6:$I$6)+SUMIF(Assumptions!$F$24:$H$24,'Public Benefits'!G$3,Infra!$G$7:$I$7)</f>
        <v>8700000</v>
      </c>
      <c r="H4" s="151">
        <f>+SUMIF(Assumptions!$F$22:$H$22,'Public Benefits'!H$3,Infra!$G$6:$I$6)+SUMIF(Assumptions!$F$24:$H$24,'Public Benefits'!H$3,Infra!$G$7:$I$7)</f>
        <v>292500</v>
      </c>
      <c r="I4" s="151">
        <f>+SUMIF(Assumptions!$F$22:$H$22,'Public Benefits'!I$3,Infra!$G$6:$I$6)+SUMIF(Assumptions!$F$24:$H$24,'Public Benefits'!I$3,Infra!$G$7:$I$7)</f>
        <v>8010000</v>
      </c>
      <c r="J4" s="151">
        <f>+SUMIF(Assumptions!$F$22:$H$22,'Public Benefits'!J$3,Infra!$G$6:$I$6)+SUMIF(Assumptions!$F$24:$H$24,'Public Benefits'!J$3,Infra!$G$7:$I$7)</f>
        <v>337500</v>
      </c>
      <c r="K4" s="151">
        <f>+SUMIF(Assumptions!$F$22:$H$22,'Public Benefits'!K$3,Infra!$G$6:$I$6)+SUMIF(Assumptions!$F$24:$H$24,'Public Benefits'!K$3,Infra!$G$7:$I$7)</f>
        <v>0</v>
      </c>
      <c r="L4" s="151">
        <f>+SUMIF(Assumptions!$F$22:$H$22,'Public Benefits'!L$3,Infra!$G$6:$I$6)+SUMIF(Assumptions!$F$24:$H$24,'Public Benefits'!L$3,Infra!$G$7:$I$7)</f>
        <v>3900000</v>
      </c>
      <c r="M4" s="151">
        <f>+SUMIF(Assumptions!$F$22:$H$22,'Public Benefits'!M$3,Infra!$G$6:$I$6)+SUMIF(Assumptions!$F$24:$H$24,'Public Benefits'!M$3,Infra!$G$7:$I$7)</f>
        <v>0</v>
      </c>
      <c r="N4" s="151">
        <f>+SUMIF(Assumptions!$F$22:$H$22,'Public Benefits'!N$3,Infra!$G$6:$I$6)+SUMIF(Assumptions!$F$24:$H$24,'Public Benefits'!N$3,Infra!$G$7:$I$7)</f>
        <v>0</v>
      </c>
      <c r="O4" s="151">
        <f>+SUMIF(Assumptions!$F$22:$H$22,'Public Benefits'!O$3,Infra!$G$6:$I$6)+SUMIF(Assumptions!$F$24:$H$24,'Public Benefits'!O$3,Infra!$G$7:$I$7)</f>
        <v>0</v>
      </c>
      <c r="P4" s="151">
        <f>+SUMIF(Assumptions!$F$22:$H$22,'Public Benefits'!P$3,Infra!$G$6:$I$6)+SUMIF(Assumptions!$F$24:$H$24,'Public Benefits'!P$3,Infra!$G$7:$I$7)</f>
        <v>0</v>
      </c>
      <c r="Q4" s="151">
        <f>+SUMIF(Assumptions!$F$22:$H$22,'Public Benefits'!Q$3,Infra!$G$6:$I$6)+SUMIF(Assumptions!$F$24:$H$24,'Public Benefits'!Q$3,Infra!$G$7:$I$7)</f>
        <v>0</v>
      </c>
      <c r="R4" s="151">
        <f>+SUMIF(Assumptions!$F$22:$H$22,'Public Benefits'!R$3,Infra!$G$6:$I$6)+SUMIF(Assumptions!$F$24:$H$24,'Public Benefits'!R$3,Infra!$G$7:$I$7)</f>
        <v>0</v>
      </c>
      <c r="S4" s="151">
        <f>+SUMIF(Assumptions!$F$22:$H$22,'Public Benefits'!S$3,Infra!$G$6:$I$6)+SUMIF(Assumptions!$F$24:$H$24,'Public Benefits'!S$3,Infra!$G$7:$I$7)</f>
        <v>0</v>
      </c>
      <c r="T4" s="151">
        <f>+SUMIF(Assumptions!$F$22:$H$22,'Public Benefits'!T$3,Infra!$G$6:$I$6)+SUMIF(Assumptions!$F$24:$H$24,'Public Benefits'!T$3,Infra!$G$7:$I$7)</f>
        <v>0</v>
      </c>
      <c r="U4" s="151">
        <f>+SUMIF(Assumptions!$F$22:$H$22,'Public Benefits'!U$3,Infra!$G$6:$I$6)+SUMIF(Assumptions!$F$24:$H$24,'Public Benefits'!U$3,Infra!$G$7:$I$7)</f>
        <v>0</v>
      </c>
      <c r="V4" s="151">
        <f>+SUMIF(Assumptions!$F$22:$H$22,'Public Benefits'!V$3,Infra!$G$6:$I$6)+SUMIF(Assumptions!$F$24:$H$24,'Public Benefits'!V$3,Infra!$G$7:$I$7)</f>
        <v>0</v>
      </c>
      <c r="W4" s="151">
        <f>+SUMIF(Assumptions!$F$22:$H$22,'Public Benefits'!W$3,Infra!$G$6:$I$6)+SUMIF(Assumptions!$F$24:$H$24,'Public Benefits'!W$3,Infra!$G$7:$I$7)</f>
        <v>0</v>
      </c>
      <c r="X4" s="151">
        <f>+SUMIF(Assumptions!$F$22:$H$22,'Public Benefits'!X$3,Infra!$G$6:$I$6)+SUMIF(Assumptions!$F$24:$H$24,'Public Benefits'!X$3,Infra!$G$7:$I$7)</f>
        <v>0</v>
      </c>
      <c r="Y4" s="151">
        <f>+SUMIF(Assumptions!$F$22:$H$22,'Public Benefits'!Y$3,Infra!$G$6:$I$6)+SUMIF(Assumptions!$F$24:$H$24,'Public Benefits'!Y$3,Infra!$G$7:$I$7)</f>
        <v>0</v>
      </c>
      <c r="Z4" s="151">
        <f>+SUMIF(Assumptions!$F$22:$H$22,'Public Benefits'!Z$3,Infra!$G$6:$I$6)+SUMIF(Assumptions!$F$24:$H$24,'Public Benefits'!Z$3,Infra!$G$7:$I$7)</f>
        <v>0</v>
      </c>
      <c r="AA4" s="151">
        <f>+SUMIF(Assumptions!$F$22:$H$22,'Public Benefits'!AA$3,Infra!$G$6:$I$6)+SUMIF(Assumptions!$F$24:$H$24,'Public Benefits'!AA$3,Infra!$G$7:$I$7)</f>
        <v>0</v>
      </c>
      <c r="AB4" s="151">
        <f>+SUMIF(Assumptions!$F$22:$H$22,'Public Benefits'!AB$3,Infra!$G$6:$I$6)+SUMIF(Assumptions!$F$24:$H$24,'Public Benefits'!AB$3,Infra!$G$7:$I$7)</f>
        <v>0</v>
      </c>
      <c r="AC4" s="151">
        <f>+SUMIF(Assumptions!$F$22:$H$22,'Public Benefits'!AC$3,Infra!$G$6:$I$6)+SUMIF(Assumptions!$F$24:$H$24,'Public Benefits'!AC$3,Infra!$G$7:$I$7)</f>
        <v>0</v>
      </c>
      <c r="AD4" s="151">
        <f>+SUMIF(Assumptions!$F$22:$H$22,'Public Benefits'!AD$3,Infra!$G$6:$I$6)+SUMIF(Assumptions!$F$24:$H$24,'Public Benefits'!AD$3,Infra!$G$7:$I$7)</f>
        <v>0</v>
      </c>
      <c r="AE4" s="151">
        <f>+SUMIF(Assumptions!$F$22:$H$22,'Public Benefits'!AE$3,Infra!$G$6:$I$6)+SUMIF(Assumptions!$F$24:$H$24,'Public Benefits'!AE$3,Infra!$G$7:$I$7)</f>
        <v>0</v>
      </c>
      <c r="AF4" s="151">
        <f>+SUMIF(Assumptions!$F$22:$H$22,'Public Benefits'!AF$3,Infra!$G$6:$I$6)+SUMIF(Assumptions!$F$24:$H$24,'Public Benefits'!AF$3,Infra!$G$7:$I$7)</f>
        <v>0</v>
      </c>
      <c r="AG4" s="151">
        <f>+SUMIF(Assumptions!$F$22:$H$22,'Public Benefits'!AG$3,Infra!$G$6:$I$6)+SUMIF(Assumptions!$F$24:$H$24,'Public Benefits'!AG$3,Infra!$G$7:$I$7)</f>
        <v>0</v>
      </c>
      <c r="AH4" s="151">
        <f>+SUMIF(Assumptions!$F$22:$H$22,'Public Benefits'!AH$3,Infra!$G$6:$I$6)+SUMIF(Assumptions!$F$24:$H$24,'Public Benefits'!AH$3,Infra!$G$7:$I$7)</f>
        <v>0</v>
      </c>
      <c r="AI4" s="151">
        <f>+SUMIF(Assumptions!$F$22:$H$22,'Public Benefits'!AI$3,Infra!$G$6:$I$6)+SUMIF(Assumptions!$F$24:$H$24,'Public Benefits'!AI$3,Infra!$G$7:$I$7)</f>
        <v>0</v>
      </c>
      <c r="AJ4" s="151">
        <f>+SUMIF(Assumptions!$F$22:$H$22,'Public Benefits'!AJ$3,Infra!$G$6:$I$6)+SUMIF(Assumptions!$F$24:$H$24,'Public Benefits'!AJ$3,Infra!$G$7:$I$7)</f>
        <v>0</v>
      </c>
      <c r="AK4" s="151">
        <f>+SUMIF(Assumptions!$F$22:$H$22,'Public Benefits'!AK$3,Infra!$G$6:$I$6)+SUMIF(Assumptions!$F$24:$H$24,'Public Benefits'!AK$3,Infra!$G$7:$I$7)</f>
        <v>0</v>
      </c>
      <c r="AL4" s="151">
        <f>+SUMIF(Assumptions!$F$22:$H$22,'Public Benefits'!AL$3,Infra!$G$6:$I$6)+SUMIF(Assumptions!$F$24:$H$24,'Public Benefits'!AL$3,Infra!$G$7:$I$7)</f>
        <v>0</v>
      </c>
      <c r="AM4" s="151">
        <f>+SUMIF(Assumptions!$F$22:$H$22,'Public Benefits'!AM$3,Infra!$G$6:$I$6)+SUMIF(Assumptions!$F$24:$H$24,'Public Benefits'!AM$3,Infra!$G$7:$I$7)</f>
        <v>0</v>
      </c>
      <c r="AN4" s="151">
        <f>+SUMIF(Assumptions!$F$22:$H$22,'Public Benefits'!AN$3,Infra!$G$6:$I$6)+SUMIF(Assumptions!$F$24:$H$24,'Public Benefits'!AN$3,Infra!$G$7:$I$7)</f>
        <v>0</v>
      </c>
      <c r="AO4" s="151">
        <f>+SUMIF(Assumptions!$F$22:$H$22,'Public Benefits'!AO$3,Infra!$G$6:$I$6)+SUMIF(Assumptions!$F$24:$H$24,'Public Benefits'!AO$3,Infra!$G$7:$I$7)</f>
        <v>0</v>
      </c>
      <c r="AP4" s="151">
        <f>+SUMIF(Assumptions!$F$22:$H$22,'Public Benefits'!AP$3,Infra!$G$6:$I$6)+SUMIF(Assumptions!$F$24:$H$24,'Public Benefits'!AP$3,Infra!$G$7:$I$7)</f>
        <v>0</v>
      </c>
      <c r="AQ4" s="151">
        <f>+SUMIF(Assumptions!$F$22:$H$22,'Public Benefits'!AQ$3,Infra!$G$6:$I$6)+SUMIF(Assumptions!$F$24:$H$24,'Public Benefits'!AQ$3,Infra!$G$7:$I$7)</f>
        <v>0</v>
      </c>
      <c r="AR4" s="151">
        <f>+SUMIF(Assumptions!$F$22:$H$22,'Public Benefits'!AR$3,Infra!$G$6:$I$6)+SUMIF(Assumptions!$F$24:$H$24,'Public Benefits'!AR$3,Infra!$G$7:$I$7)</f>
        <v>0</v>
      </c>
      <c r="AS4" s="151">
        <f>+SUMIF(Assumptions!$F$22:$H$22,'Public Benefits'!AS$3,Infra!$G$6:$I$6)+SUMIF(Assumptions!$F$24:$H$24,'Public Benefits'!AS$3,Infra!$G$7:$I$7)</f>
        <v>0</v>
      </c>
      <c r="AT4" s="151">
        <f>+SUMIF(Assumptions!$F$22:$H$22,'Public Benefits'!AT$3,Infra!$G$6:$I$6)+SUMIF(Assumptions!$F$24:$H$24,'Public Benefits'!AT$3,Infra!$G$7:$I$7)</f>
        <v>0</v>
      </c>
      <c r="AU4" s="151">
        <f>+SUMIF(Assumptions!$F$22:$H$22,'Public Benefits'!AU$3,Infra!$G$6:$I$6)+SUMIF(Assumptions!$F$24:$H$24,'Public Benefits'!AU$3,Infra!$G$7:$I$7)</f>
        <v>0</v>
      </c>
    </row>
    <row r="5" spans="2:47" ht="16" customHeight="1">
      <c r="B5" s="33" t="s">
        <v>496</v>
      </c>
      <c r="D5" s="24"/>
      <c r="F5" s="34">
        <f>+NPV($E$10,G5:AU5)</f>
        <v>0</v>
      </c>
      <c r="G5" s="151">
        <f>+IF(G$3=Assumptions!$H$22,Infra!$I$15,0)</f>
        <v>0</v>
      </c>
      <c r="H5" s="151">
        <f>+IF(H$3=Assumptions!$H$22,Infra!$I$15,0)</f>
        <v>0</v>
      </c>
      <c r="I5" s="151">
        <f>+IF(I$3=Assumptions!$H$22,Infra!$I$15,0)</f>
        <v>0</v>
      </c>
      <c r="J5" s="151">
        <f>+IF(J$3=Assumptions!$H$22,Infra!$I$15,0)</f>
        <v>0</v>
      </c>
      <c r="K5" s="151">
        <f>+IF(K$3=Assumptions!$H$22,Infra!$I$15,0)</f>
        <v>0</v>
      </c>
      <c r="L5" s="151">
        <f>+IF(L$3=Assumptions!$H$22,Infra!$I$15,0)</f>
        <v>0</v>
      </c>
      <c r="M5" s="151">
        <f>+IF(M$3=Assumptions!$H$22,Infra!$I$15,0)</f>
        <v>0</v>
      </c>
      <c r="N5" s="151">
        <f>+IF(N$3=Assumptions!$H$22,Infra!$I$15,0)</f>
        <v>0</v>
      </c>
      <c r="O5" s="151">
        <f>+IF(O$3=Assumptions!$H$22,Infra!$I$15,0)</f>
        <v>0</v>
      </c>
      <c r="P5" s="151">
        <f>+IF(P$3=Assumptions!$H$22,Infra!$I$15,0)</f>
        <v>0</v>
      </c>
      <c r="Q5" s="151">
        <f>+IF(Q$3=Assumptions!$H$22,Infra!$I$15,0)</f>
        <v>0</v>
      </c>
      <c r="R5" s="151">
        <f>+IF(R$3=Assumptions!$H$22,Infra!$I$15,0)</f>
        <v>0</v>
      </c>
      <c r="S5" s="151">
        <f>+IF(S$3=Assumptions!$H$22,Infra!$I$15,0)</f>
        <v>0</v>
      </c>
      <c r="T5" s="151">
        <f>+IF(T$3=Assumptions!$H$22,Infra!$I$15,0)</f>
        <v>0</v>
      </c>
      <c r="U5" s="151">
        <f>+IF(U$3=Assumptions!$H$22,Infra!$I$15,0)</f>
        <v>0</v>
      </c>
      <c r="V5" s="151">
        <f>+IF(V$3=Assumptions!$H$22,Infra!$I$15,0)</f>
        <v>0</v>
      </c>
      <c r="W5" s="151">
        <f>+IF(W$3=Assumptions!$H$22,Infra!$I$15,0)</f>
        <v>0</v>
      </c>
      <c r="X5" s="151">
        <f>+IF(X$3=Assumptions!$H$22,Infra!$I$15,0)</f>
        <v>0</v>
      </c>
      <c r="Y5" s="151">
        <f>+IF(Y$3=Assumptions!$H$22,Infra!$I$15,0)</f>
        <v>0</v>
      </c>
      <c r="Z5" s="151">
        <f>+IF(Z$3=Assumptions!$H$22,Infra!$I$15,0)</f>
        <v>0</v>
      </c>
      <c r="AA5" s="151">
        <f>+IF(AA$3=Assumptions!$H$22,Infra!$I$15,0)</f>
        <v>0</v>
      </c>
      <c r="AB5" s="151">
        <f>+IF(AB$3=Assumptions!$H$22,Infra!$I$15,0)</f>
        <v>0</v>
      </c>
      <c r="AC5" s="151">
        <f>+IF(AC$3=Assumptions!$H$22,Infra!$I$15,0)</f>
        <v>0</v>
      </c>
      <c r="AD5" s="151">
        <f>+IF(AD$3=Assumptions!$H$22,Infra!$I$15,0)</f>
        <v>0</v>
      </c>
      <c r="AE5" s="151">
        <f>+IF(AE$3=Assumptions!$H$22,Infra!$I$15,0)</f>
        <v>0</v>
      </c>
      <c r="AF5" s="151">
        <f>+IF(AF$3=Assumptions!$H$22,Infra!$I$15,0)</f>
        <v>0</v>
      </c>
      <c r="AG5" s="151">
        <f>+IF(AG$3=Assumptions!$H$22,Infra!$I$15,0)</f>
        <v>0</v>
      </c>
      <c r="AH5" s="151">
        <f>+IF(AH$3=Assumptions!$H$22,Infra!$I$15,0)</f>
        <v>0</v>
      </c>
      <c r="AI5" s="151">
        <f>+IF(AI$3=Assumptions!$H$22,Infra!$I$15,0)</f>
        <v>0</v>
      </c>
      <c r="AJ5" s="151">
        <f>+IF(AJ$3=Assumptions!$H$22,Infra!$I$15,0)</f>
        <v>0</v>
      </c>
      <c r="AK5" s="151">
        <f>+IF(AK$3=Assumptions!$H$22,Infra!$I$15,0)</f>
        <v>0</v>
      </c>
      <c r="AL5" s="151">
        <f>+IF(AL$3=Assumptions!$H$22,Infra!$I$15,0)</f>
        <v>0</v>
      </c>
      <c r="AM5" s="151">
        <f>+IF(AM$3=Assumptions!$H$22,Infra!$I$15,0)</f>
        <v>0</v>
      </c>
      <c r="AN5" s="151">
        <f>+IF(AN$3=Assumptions!$H$22,Infra!$I$15,0)</f>
        <v>0</v>
      </c>
      <c r="AO5" s="151">
        <f>+IF(AO$3=Assumptions!$H$22,Infra!$I$15,0)</f>
        <v>0</v>
      </c>
      <c r="AP5" s="151">
        <f>+IF(AP$3=Assumptions!$H$22,Infra!$I$15,0)</f>
        <v>0</v>
      </c>
      <c r="AQ5" s="151">
        <f>+IF(AQ$3=Assumptions!$H$22,Infra!$I$15,0)</f>
        <v>0</v>
      </c>
      <c r="AR5" s="151">
        <f>+IF(AR$3=Assumptions!$H$22,Infra!$I$15,0)</f>
        <v>0</v>
      </c>
      <c r="AS5" s="151">
        <f>+IF(AS$3=Assumptions!$H$22,Infra!$I$15,0)</f>
        <v>0</v>
      </c>
      <c r="AT5" s="151">
        <f>+IF(AT$3=Assumptions!$H$22,Infra!$I$15,0)</f>
        <v>0</v>
      </c>
      <c r="AU5" s="151">
        <f>+IF(AU$3=Assumptions!$H$22,Infra!$I$15,0)</f>
        <v>0</v>
      </c>
    </row>
    <row r="6" spans="2:47" ht="16" customHeight="1">
      <c r="B6" s="33" t="s">
        <v>1227</v>
      </c>
      <c r="D6" s="24"/>
      <c r="F6" s="34">
        <f>+NPV($E$10,G6:AU6)</f>
        <v>0</v>
      </c>
      <c r="G6" s="151">
        <f>+IF(G$3=Assumptions!$F$24,Assumptions!$F$142*Budget!$D$39,0)</f>
        <v>0</v>
      </c>
      <c r="H6" s="151">
        <f>+IF(H$3=Assumptions!$F$24,Assumptions!$F$142*Budget!$D$39,0)</f>
        <v>0</v>
      </c>
      <c r="I6" s="151">
        <f>+IF(I$3=Assumptions!$F$24,Assumptions!$F$142*Budget!$D$39,0)</f>
        <v>0</v>
      </c>
      <c r="J6" s="151">
        <f>+IF(J$3=Assumptions!$F$24,Assumptions!$F$142*Budget!$D$39,0)</f>
        <v>0</v>
      </c>
      <c r="K6" s="151">
        <f>+IF(K$3=Assumptions!$F$24,Assumptions!$F$142*Budget!$D$39,0)</f>
        <v>0</v>
      </c>
      <c r="L6" s="151">
        <f>+IF(L$3=Assumptions!$F$24,Assumptions!$F$142*Budget!$D$39,0)</f>
        <v>0</v>
      </c>
      <c r="M6" s="151">
        <f>+IF(M$3=Assumptions!$F$24,Assumptions!$F$142*Budget!$D$39,0)</f>
        <v>0</v>
      </c>
      <c r="N6" s="151">
        <f>+IF(N$3=Assumptions!$F$24,Assumptions!$F$142*Budget!$D$39,0)</f>
        <v>0</v>
      </c>
      <c r="O6" s="151">
        <f>+IF(O$3=Assumptions!$F$24,Assumptions!$F$142*Budget!$D$39,0)</f>
        <v>0</v>
      </c>
      <c r="P6" s="151">
        <f>+IF(P$3=Assumptions!$F$24,Assumptions!$F$142*Budget!$D$39,0)</f>
        <v>0</v>
      </c>
      <c r="Q6" s="151">
        <f>+IF(Q$3=Assumptions!$F$24,Assumptions!$F$142*Budget!$D$39,0)</f>
        <v>0</v>
      </c>
      <c r="R6" s="151">
        <f>+IF(R$3=Assumptions!$F$24,Assumptions!$F$142*Budget!$D$39,0)</f>
        <v>0</v>
      </c>
      <c r="S6" s="151">
        <f>+IF(S$3=Assumptions!$F$24,Assumptions!$F$142*Budget!$D$39,0)</f>
        <v>0</v>
      </c>
      <c r="T6" s="151">
        <f>+IF(T$3=Assumptions!$F$24,Assumptions!$F$142*Budget!$D$39,0)</f>
        <v>0</v>
      </c>
      <c r="U6" s="151">
        <f>+IF(U$3=Assumptions!$F$24,Assumptions!$F$142*Budget!$D$39,0)</f>
        <v>0</v>
      </c>
      <c r="V6" s="151">
        <f>+IF(V$3=Assumptions!$F$24,Assumptions!$F$142*Budget!$D$39,0)</f>
        <v>0</v>
      </c>
      <c r="W6" s="151">
        <f>+IF(W$3=Assumptions!$F$24,Assumptions!$F$142*Budget!$D$39,0)</f>
        <v>0</v>
      </c>
      <c r="X6" s="151">
        <f>+IF(X$3=Assumptions!$F$24,Assumptions!$F$142*Budget!$D$39,0)</f>
        <v>0</v>
      </c>
      <c r="Y6" s="151">
        <f>+IF(Y$3=Assumptions!$F$24,Assumptions!$F$142*Budget!$D$39,0)</f>
        <v>0</v>
      </c>
      <c r="Z6" s="151">
        <f>+IF(Z$3=Assumptions!$F$24,Assumptions!$F$142*Budget!$D$39,0)</f>
        <v>0</v>
      </c>
      <c r="AA6" s="151">
        <f>+IF(AA$3=Assumptions!$F$24,Assumptions!$F$142*Budget!$D$39,0)</f>
        <v>0</v>
      </c>
      <c r="AB6" s="151">
        <f>+IF(AB$3=Assumptions!$F$24,Assumptions!$F$142*Budget!$D$39,0)</f>
        <v>0</v>
      </c>
      <c r="AC6" s="151">
        <f>+IF(AC$3=Assumptions!$F$24,Assumptions!$F$142*Budget!$D$39,0)</f>
        <v>0</v>
      </c>
      <c r="AD6" s="151">
        <f>+IF(AD$3=Assumptions!$F$24,Assumptions!$F$142*Budget!$D$39,0)</f>
        <v>0</v>
      </c>
      <c r="AE6" s="151">
        <f>+IF(AE$3=Assumptions!$F$24,Assumptions!$F$142*Budget!$D$39,0)</f>
        <v>0</v>
      </c>
      <c r="AF6" s="151">
        <f>+IF(AF$3=Assumptions!$F$24,Assumptions!$F$142*Budget!$D$39,0)</f>
        <v>0</v>
      </c>
      <c r="AG6" s="151">
        <f>+IF(AG$3=Assumptions!$F$24,Assumptions!$F$142*Budget!$D$39,0)</f>
        <v>0</v>
      </c>
      <c r="AH6" s="151">
        <f>+IF(AH$3=Assumptions!$F$24,Assumptions!$F$142*Budget!$D$39,0)</f>
        <v>0</v>
      </c>
      <c r="AI6" s="151">
        <f>+IF(AI$3=Assumptions!$F$24,Assumptions!$F$142*Budget!$D$39,0)</f>
        <v>0</v>
      </c>
      <c r="AJ6" s="151">
        <f>+IF(AJ$3=Assumptions!$F$24,Assumptions!$F$142*Budget!$D$39,0)</f>
        <v>0</v>
      </c>
      <c r="AK6" s="151">
        <f>+IF(AK$3=Assumptions!$F$24,Assumptions!$F$142*Budget!$D$39,0)</f>
        <v>0</v>
      </c>
      <c r="AL6" s="151">
        <f>+IF(AL$3=Assumptions!$F$24,Assumptions!$F$142*Budget!$D$39,0)</f>
        <v>0</v>
      </c>
      <c r="AM6" s="151">
        <f>+IF(AM$3=Assumptions!$F$24,Assumptions!$F$142*Budget!$D$39,0)</f>
        <v>0</v>
      </c>
      <c r="AN6" s="151">
        <f>+IF(AN$3=Assumptions!$F$24,Assumptions!$F$142*Budget!$D$39,0)</f>
        <v>0</v>
      </c>
      <c r="AO6" s="151">
        <f>+IF(AO$3=Assumptions!$F$24,Assumptions!$F$142*Budget!$D$39,0)</f>
        <v>0</v>
      </c>
      <c r="AP6" s="151">
        <f>+IF(AP$3=Assumptions!$F$24,Assumptions!$F$142*Budget!$D$39,0)</f>
        <v>0</v>
      </c>
      <c r="AQ6" s="151">
        <f>+IF(AQ$3=Assumptions!$F$24,Assumptions!$F$142*Budget!$D$39,0)</f>
        <v>0</v>
      </c>
      <c r="AR6" s="151">
        <f>+IF(AR$3=Assumptions!$F$24,Assumptions!$F$142*Budget!$D$39,0)</f>
        <v>0</v>
      </c>
      <c r="AS6" s="151">
        <f>+IF(AS$3=Assumptions!$F$24,Assumptions!$F$142*Budget!$D$39,0)</f>
        <v>0</v>
      </c>
      <c r="AT6" s="151">
        <f>+IF(AT$3=Assumptions!$F$24,Assumptions!$F$142*Budget!$D$39,0)</f>
        <v>0</v>
      </c>
      <c r="AU6" s="151">
        <f>+IF(AU$3=Assumptions!$F$24,Assumptions!$F$142*Budget!$D$39,0)</f>
        <v>0</v>
      </c>
    </row>
    <row r="7" spans="2:47" ht="16" customHeight="1">
      <c r="B7" s="33" t="s">
        <v>1228</v>
      </c>
      <c r="D7" s="24"/>
      <c r="F7" s="34">
        <f>+NPV($E$10,G7:AU7)</f>
        <v>30233063.214641966</v>
      </c>
      <c r="G7" s="151">
        <f>+G14-G13</f>
        <v>0</v>
      </c>
      <c r="H7" s="151">
        <f t="shared" ref="H7:AU7" si="20">+H14-H13</f>
        <v>0</v>
      </c>
      <c r="I7" s="151">
        <f>+I14-I13</f>
        <v>0</v>
      </c>
      <c r="J7" s="151">
        <f t="shared" si="20"/>
        <v>0</v>
      </c>
      <c r="K7" s="151">
        <f t="shared" si="20"/>
        <v>0</v>
      </c>
      <c r="L7" s="151">
        <f t="shared" si="20"/>
        <v>0</v>
      </c>
      <c r="M7" s="151">
        <f t="shared" si="20"/>
        <v>5248857.7884666007</v>
      </c>
      <c r="N7" s="151">
        <f t="shared" si="20"/>
        <v>10497715.576933201</v>
      </c>
      <c r="O7" s="151">
        <f t="shared" si="20"/>
        <v>10497715.576933201</v>
      </c>
      <c r="P7" s="151">
        <f t="shared" si="20"/>
        <v>11022601.35577986</v>
      </c>
      <c r="Q7" s="151">
        <f t="shared" si="20"/>
        <v>11022601.35577986</v>
      </c>
      <c r="R7" s="151">
        <f t="shared" si="20"/>
        <v>11022601.35577986</v>
      </c>
      <c r="S7" s="151">
        <f t="shared" si="20"/>
        <v>11022601.35577986</v>
      </c>
      <c r="T7" s="151">
        <f t="shared" si="20"/>
        <v>11022601.35577986</v>
      </c>
      <c r="U7" s="151">
        <f t="shared" si="20"/>
        <v>11573731.423568852</v>
      </c>
      <c r="V7" s="151">
        <f t="shared" si="20"/>
        <v>11573731.423568852</v>
      </c>
      <c r="W7" s="151">
        <f t="shared" si="20"/>
        <v>11573731.423568852</v>
      </c>
      <c r="X7" s="151">
        <f t="shared" si="20"/>
        <v>11573731.423568852</v>
      </c>
      <c r="Y7" s="151">
        <f t="shared" si="20"/>
        <v>11573731.423568852</v>
      </c>
      <c r="Z7" s="151">
        <f t="shared" si="20"/>
        <v>12152417.994747296</v>
      </c>
      <c r="AA7" s="151">
        <f t="shared" si="20"/>
        <v>12152417.994747296</v>
      </c>
      <c r="AB7" s="151">
        <f t="shared" si="20"/>
        <v>0</v>
      </c>
      <c r="AC7" s="151">
        <f t="shared" si="20"/>
        <v>0</v>
      </c>
      <c r="AD7" s="151">
        <f t="shared" si="20"/>
        <v>0</v>
      </c>
      <c r="AE7" s="151">
        <f t="shared" si="20"/>
        <v>0</v>
      </c>
      <c r="AF7" s="151">
        <f t="shared" si="20"/>
        <v>0</v>
      </c>
      <c r="AG7" s="151">
        <f t="shared" si="20"/>
        <v>0</v>
      </c>
      <c r="AH7" s="151">
        <f t="shared" si="20"/>
        <v>0</v>
      </c>
      <c r="AI7" s="151">
        <f t="shared" si="20"/>
        <v>0</v>
      </c>
      <c r="AJ7" s="151">
        <f t="shared" si="20"/>
        <v>0</v>
      </c>
      <c r="AK7" s="151">
        <f t="shared" si="20"/>
        <v>0</v>
      </c>
      <c r="AL7" s="151">
        <f t="shared" si="20"/>
        <v>0</v>
      </c>
      <c r="AM7" s="151">
        <f t="shared" si="20"/>
        <v>0</v>
      </c>
      <c r="AN7" s="151">
        <f t="shared" si="20"/>
        <v>0</v>
      </c>
      <c r="AO7" s="151">
        <f t="shared" si="20"/>
        <v>0</v>
      </c>
      <c r="AP7" s="151">
        <f t="shared" si="20"/>
        <v>0</v>
      </c>
      <c r="AQ7" s="151">
        <f t="shared" si="20"/>
        <v>0</v>
      </c>
      <c r="AR7" s="151">
        <f t="shared" si="20"/>
        <v>0</v>
      </c>
      <c r="AS7" s="151">
        <f t="shared" si="20"/>
        <v>0</v>
      </c>
      <c r="AT7" s="151">
        <f t="shared" si="20"/>
        <v>0</v>
      </c>
      <c r="AU7" s="151">
        <f t="shared" si="20"/>
        <v>0</v>
      </c>
    </row>
    <row r="8" spans="2:47" ht="16" customHeight="1">
      <c r="B8" s="33" t="s">
        <v>617</v>
      </c>
      <c r="D8" s="24"/>
      <c r="F8" s="34">
        <f ca="1">+NPV($E$10,G8:AU8)</f>
        <v>14626574.890403992</v>
      </c>
      <c r="G8" s="151">
        <f>+G22-G21</f>
        <v>0</v>
      </c>
      <c r="H8" s="151">
        <f t="shared" ref="H8:AU8" si="21">+H22-H21</f>
        <v>0</v>
      </c>
      <c r="I8" s="151">
        <f t="shared" ca="1" si="21"/>
        <v>0</v>
      </c>
      <c r="J8" s="151">
        <f t="shared" ca="1" si="21"/>
        <v>1585548.1852114093</v>
      </c>
      <c r="K8" s="151">
        <f t="shared" ca="1" si="21"/>
        <v>3217175.2947380487</v>
      </c>
      <c r="L8" s="151">
        <f t="shared" ca="1" si="21"/>
        <v>3263666.0844643172</v>
      </c>
      <c r="M8" s="151">
        <f t="shared" ca="1" si="21"/>
        <v>3310561.6713496959</v>
      </c>
      <c r="N8" s="151">
        <f t="shared" ca="1" si="21"/>
        <v>3357854.3864781847</v>
      </c>
      <c r="O8" s="151">
        <f t="shared" ca="1" si="21"/>
        <v>3405535.976773547</v>
      </c>
      <c r="P8" s="151">
        <f t="shared" ca="1" si="21"/>
        <v>3453597.4968701228</v>
      </c>
      <c r="Q8" s="151">
        <f t="shared" ca="1" si="21"/>
        <v>3502029.3205605615</v>
      </c>
      <c r="R8" s="151">
        <f t="shared" ca="1" si="21"/>
        <v>3550821.1398654655</v>
      </c>
      <c r="S8" s="151">
        <f t="shared" ca="1" si="21"/>
        <v>3599961.8958796784</v>
      </c>
      <c r="T8" s="151">
        <f t="shared" ca="1" si="21"/>
        <v>3649439.7601378113</v>
      </c>
      <c r="U8" s="151">
        <f t="shared" ca="1" si="21"/>
        <v>3699242.1033952888</v>
      </c>
      <c r="V8" s="151">
        <f t="shared" ca="1" si="21"/>
        <v>3749355.4633000214</v>
      </c>
      <c r="W8" s="151">
        <f t="shared" ca="1" si="21"/>
        <v>3799765.5090649594</v>
      </c>
      <c r="X8" s="151">
        <f t="shared" ca="1" si="21"/>
        <v>3850457.0067599453</v>
      </c>
      <c r="Y8" s="151">
        <f t="shared" ca="1" si="21"/>
        <v>3901413.7833788488</v>
      </c>
      <c r="Z8" s="151">
        <f t="shared" ca="1" si="21"/>
        <v>3952618.6877515297</v>
      </c>
      <c r="AA8" s="151">
        <f t="shared" ca="1" si="21"/>
        <v>4004053.5519883223</v>
      </c>
      <c r="AB8" s="151">
        <f t="shared" si="21"/>
        <v>0</v>
      </c>
      <c r="AC8" s="151">
        <f t="shared" si="21"/>
        <v>0</v>
      </c>
      <c r="AD8" s="151">
        <f t="shared" si="21"/>
        <v>0</v>
      </c>
      <c r="AE8" s="151">
        <f t="shared" si="21"/>
        <v>0</v>
      </c>
      <c r="AF8" s="151">
        <f t="shared" si="21"/>
        <v>0</v>
      </c>
      <c r="AG8" s="151">
        <f t="shared" si="21"/>
        <v>0</v>
      </c>
      <c r="AH8" s="151">
        <f t="shared" si="21"/>
        <v>0</v>
      </c>
      <c r="AI8" s="151">
        <f t="shared" si="21"/>
        <v>0</v>
      </c>
      <c r="AJ8" s="151">
        <f t="shared" si="21"/>
        <v>0</v>
      </c>
      <c r="AK8" s="151">
        <f t="shared" si="21"/>
        <v>0</v>
      </c>
      <c r="AL8" s="151">
        <f t="shared" si="21"/>
        <v>0</v>
      </c>
      <c r="AM8" s="151">
        <f t="shared" si="21"/>
        <v>0</v>
      </c>
      <c r="AN8" s="151">
        <f t="shared" si="21"/>
        <v>0</v>
      </c>
      <c r="AO8" s="151">
        <f t="shared" si="21"/>
        <v>0</v>
      </c>
      <c r="AP8" s="151">
        <f t="shared" si="21"/>
        <v>0</v>
      </c>
      <c r="AQ8" s="151">
        <f t="shared" si="21"/>
        <v>0</v>
      </c>
      <c r="AR8" s="151">
        <f t="shared" si="21"/>
        <v>0</v>
      </c>
      <c r="AS8" s="151">
        <f t="shared" si="21"/>
        <v>0</v>
      </c>
      <c r="AT8" s="151">
        <f t="shared" si="21"/>
        <v>0</v>
      </c>
      <c r="AU8" s="151">
        <f t="shared" si="21"/>
        <v>0</v>
      </c>
    </row>
    <row r="9" spans="2:47" ht="16" customHeight="1">
      <c r="B9" s="166" t="s">
        <v>17</v>
      </c>
      <c r="C9" s="166"/>
      <c r="D9" s="166"/>
      <c r="E9" s="166"/>
      <c r="F9" s="167"/>
      <c r="G9" s="167">
        <f t="shared" ref="G9:AU9" si="22">+SUM(G4:G8)</f>
        <v>8700000</v>
      </c>
      <c r="H9" s="167">
        <f t="shared" si="22"/>
        <v>292500</v>
      </c>
      <c r="I9" s="167">
        <f t="shared" ca="1" si="22"/>
        <v>8010000</v>
      </c>
      <c r="J9" s="167">
        <f t="shared" ca="1" si="22"/>
        <v>1923048.1852114093</v>
      </c>
      <c r="K9" s="167">
        <f t="shared" ca="1" si="22"/>
        <v>3217175.2947380487</v>
      </c>
      <c r="L9" s="167">
        <f t="shared" ca="1" si="22"/>
        <v>7163666.0844643172</v>
      </c>
      <c r="M9" s="167">
        <f t="shared" ca="1" si="22"/>
        <v>8559419.4598162957</v>
      </c>
      <c r="N9" s="167">
        <f t="shared" ca="1" si="22"/>
        <v>13855569.963411387</v>
      </c>
      <c r="O9" s="167">
        <f t="shared" ca="1" si="22"/>
        <v>13903251.553706748</v>
      </c>
      <c r="P9" s="167">
        <f t="shared" ca="1" si="22"/>
        <v>14476198.852649983</v>
      </c>
      <c r="Q9" s="167">
        <f t="shared" ca="1" si="22"/>
        <v>14524630.676340422</v>
      </c>
      <c r="R9" s="167">
        <f t="shared" ca="1" si="22"/>
        <v>14573422.495645326</v>
      </c>
      <c r="S9" s="167">
        <f t="shared" ca="1" si="22"/>
        <v>14622563.251659539</v>
      </c>
      <c r="T9" s="167">
        <f t="shared" ca="1" si="22"/>
        <v>14672041.115917671</v>
      </c>
      <c r="U9" s="167">
        <f t="shared" ca="1" si="22"/>
        <v>15272973.526964141</v>
      </c>
      <c r="V9" s="167">
        <f t="shared" ca="1" si="22"/>
        <v>15323086.886868874</v>
      </c>
      <c r="W9" s="167">
        <f t="shared" ca="1" si="22"/>
        <v>15373496.932633812</v>
      </c>
      <c r="X9" s="167">
        <f t="shared" ca="1" si="22"/>
        <v>15424188.430328798</v>
      </c>
      <c r="Y9" s="167">
        <f t="shared" ca="1" si="22"/>
        <v>15475145.206947701</v>
      </c>
      <c r="Z9" s="167">
        <f t="shared" ca="1" si="22"/>
        <v>16105036.682498826</v>
      </c>
      <c r="AA9" s="167">
        <f t="shared" ca="1" si="22"/>
        <v>16156471.546735618</v>
      </c>
      <c r="AB9" s="167">
        <f t="shared" si="22"/>
        <v>0</v>
      </c>
      <c r="AC9" s="167">
        <f t="shared" si="22"/>
        <v>0</v>
      </c>
      <c r="AD9" s="167">
        <f t="shared" si="22"/>
        <v>0</v>
      </c>
      <c r="AE9" s="167">
        <f t="shared" si="22"/>
        <v>0</v>
      </c>
      <c r="AF9" s="167">
        <f t="shared" si="22"/>
        <v>0</v>
      </c>
      <c r="AG9" s="167">
        <f t="shared" si="22"/>
        <v>0</v>
      </c>
      <c r="AH9" s="167">
        <f t="shared" si="22"/>
        <v>0</v>
      </c>
      <c r="AI9" s="167">
        <f t="shared" si="22"/>
        <v>0</v>
      </c>
      <c r="AJ9" s="167">
        <f t="shared" si="22"/>
        <v>0</v>
      </c>
      <c r="AK9" s="167">
        <f t="shared" si="22"/>
        <v>0</v>
      </c>
      <c r="AL9" s="167">
        <f t="shared" si="22"/>
        <v>0</v>
      </c>
      <c r="AM9" s="167">
        <f t="shared" si="22"/>
        <v>0</v>
      </c>
      <c r="AN9" s="167">
        <f t="shared" si="22"/>
        <v>0</v>
      </c>
      <c r="AO9" s="167">
        <f t="shared" si="22"/>
        <v>0</v>
      </c>
      <c r="AP9" s="167">
        <f t="shared" si="22"/>
        <v>0</v>
      </c>
      <c r="AQ9" s="167">
        <f t="shared" si="22"/>
        <v>0</v>
      </c>
      <c r="AR9" s="167">
        <f t="shared" si="22"/>
        <v>0</v>
      </c>
      <c r="AS9" s="167">
        <f t="shared" si="22"/>
        <v>0</v>
      </c>
      <c r="AT9" s="167">
        <f t="shared" si="22"/>
        <v>0</v>
      </c>
      <c r="AU9" s="167">
        <f t="shared" si="22"/>
        <v>0</v>
      </c>
    </row>
    <row r="10" spans="2:47" ht="16" customHeight="1">
      <c r="B10" s="119" t="s">
        <v>578</v>
      </c>
      <c r="C10" s="119"/>
      <c r="D10" s="119"/>
      <c r="E10" s="542">
        <v>0.13500000000000001</v>
      </c>
      <c r="F10" s="541">
        <f ca="1">+NPV(E10,G9:AU9)</f>
        <v>60257824.818066902</v>
      </c>
      <c r="AB10" s="207"/>
    </row>
    <row r="11" spans="2:47" ht="16" customHeight="1">
      <c r="AB11" s="207"/>
    </row>
    <row r="12" spans="2:47" ht="16" customHeight="1">
      <c r="B12" s="148" t="s">
        <v>1229</v>
      </c>
      <c r="AB12" s="207"/>
    </row>
    <row r="13" spans="2:47" ht="16" customHeight="1">
      <c r="B13" s="33" t="s">
        <v>1230</v>
      </c>
      <c r="G13" s="151">
        <v>0</v>
      </c>
      <c r="H13" s="151">
        <v>0</v>
      </c>
      <c r="I13" s="151">
        <v>0</v>
      </c>
      <c r="J13" s="151">
        <f>'Phase II Pro Forma'!F82</f>
        <v>0</v>
      </c>
      <c r="K13" s="151">
        <f>'Phase II Pro Forma'!G82</f>
        <v>0</v>
      </c>
      <c r="L13" s="151">
        <f>'Phase II Pro Forma'!H82</f>
        <v>0</v>
      </c>
      <c r="M13" s="151">
        <f>'Phase II Pro Forma'!I82</f>
        <v>4967587.5</v>
      </c>
      <c r="N13" s="151">
        <f>'Phase II Pro Forma'!J82</f>
        <v>9935175</v>
      </c>
      <c r="O13" s="151">
        <f>'Phase II Pro Forma'!K82</f>
        <v>9935175</v>
      </c>
      <c r="P13" s="151">
        <f>'Phase II Pro Forma'!L82</f>
        <v>10431933.75</v>
      </c>
      <c r="Q13" s="151">
        <f>'Phase II Pro Forma'!M82</f>
        <v>10431933.75</v>
      </c>
      <c r="R13" s="151">
        <f>'Phase II Pro Forma'!N82</f>
        <v>10431933.75</v>
      </c>
      <c r="S13" s="151">
        <f>'Phase II Pro Forma'!O82</f>
        <v>10431933.75</v>
      </c>
      <c r="T13" s="151">
        <f>'Phase II Pro Forma'!P82</f>
        <v>10431933.75</v>
      </c>
      <c r="U13" s="151">
        <f>'Phase II Pro Forma'!Q82</f>
        <v>10953530.4375</v>
      </c>
      <c r="V13" s="151">
        <f>'Phase II Pro Forma'!R82</f>
        <v>10953530.4375</v>
      </c>
      <c r="W13" s="151">
        <f>'Phase II Pro Forma'!S82</f>
        <v>10953530.4375</v>
      </c>
      <c r="X13" s="151">
        <f>'Phase II Pro Forma'!T82</f>
        <v>10953530.4375</v>
      </c>
      <c r="Y13" s="151">
        <f>'Phase II Pro Forma'!U82</f>
        <v>10953530.4375</v>
      </c>
      <c r="Z13" s="151">
        <f>'Phase II Pro Forma'!V82</f>
        <v>11501206.959375001</v>
      </c>
      <c r="AA13" s="151">
        <f>'Phase II Pro Forma'!W82</f>
        <v>11501206.959375001</v>
      </c>
      <c r="AB13" s="151"/>
      <c r="AC13" s="151"/>
      <c r="AD13" s="151"/>
      <c r="AE13" s="151"/>
      <c r="AF13" s="151"/>
      <c r="AG13" s="151"/>
      <c r="AH13" s="151"/>
      <c r="AI13" s="151"/>
      <c r="AJ13" s="151"/>
      <c r="AK13" s="151"/>
      <c r="AL13" s="151"/>
      <c r="AM13" s="151"/>
      <c r="AN13" s="151"/>
      <c r="AO13" s="151"/>
      <c r="AP13" s="151"/>
      <c r="AQ13" s="151"/>
      <c r="AR13" s="151"/>
      <c r="AS13" s="151"/>
      <c r="AT13" s="151"/>
      <c r="AU13" s="151"/>
    </row>
    <row r="14" spans="2:47" ht="16" customHeight="1">
      <c r="B14" s="33" t="s">
        <v>577</v>
      </c>
      <c r="G14" s="151">
        <f>+G13*(Assumptions!$H$161/Assumptions!$H$147)</f>
        <v>0</v>
      </c>
      <c r="H14" s="151">
        <f>+H13*(Assumptions!$H$161/Assumptions!$H$147)</f>
        <v>0</v>
      </c>
      <c r="I14" s="151">
        <f>+I13*(Assumptions!$H$161/Assumptions!$H$147)</f>
        <v>0</v>
      </c>
      <c r="J14" s="151">
        <f>+J13*(Assumptions!$H$161/Assumptions!$H$147)</f>
        <v>0</v>
      </c>
      <c r="K14" s="151">
        <f>+K13*(Assumptions!$H$161/Assumptions!$H$147)</f>
        <v>0</v>
      </c>
      <c r="L14" s="151">
        <f>+L13*(Assumptions!$H$161/Assumptions!$H$147)</f>
        <v>0</v>
      </c>
      <c r="M14" s="151">
        <f>+M13*(Assumptions!$H$161/Assumptions!$H$147)</f>
        <v>10216445.288466601</v>
      </c>
      <c r="N14" s="151">
        <f>+N13*(Assumptions!$H$161/Assumptions!$H$147)</f>
        <v>20432890.576933201</v>
      </c>
      <c r="O14" s="151">
        <f>+O13*(Assumptions!$H$161/Assumptions!$H$147)</f>
        <v>20432890.576933201</v>
      </c>
      <c r="P14" s="151">
        <f>+P13*(Assumptions!$H$161/Assumptions!$H$147)</f>
        <v>21454535.10577986</v>
      </c>
      <c r="Q14" s="151">
        <f>+Q13*(Assumptions!$H$161/Assumptions!$H$147)</f>
        <v>21454535.10577986</v>
      </c>
      <c r="R14" s="151">
        <f>+R13*(Assumptions!$H$161/Assumptions!$H$147)</f>
        <v>21454535.10577986</v>
      </c>
      <c r="S14" s="151">
        <f>+S13*(Assumptions!$H$161/Assumptions!$H$147)</f>
        <v>21454535.10577986</v>
      </c>
      <c r="T14" s="151">
        <f>+T13*(Assumptions!$H$161/Assumptions!$H$147)</f>
        <v>21454535.10577986</v>
      </c>
      <c r="U14" s="151">
        <f>+U13*(Assumptions!$H$161/Assumptions!$H$147)</f>
        <v>22527261.861068852</v>
      </c>
      <c r="V14" s="151">
        <f>+V13*(Assumptions!$H$161/Assumptions!$H$147)</f>
        <v>22527261.861068852</v>
      </c>
      <c r="W14" s="151">
        <f>+W13*(Assumptions!$H$161/Assumptions!$H$147)</f>
        <v>22527261.861068852</v>
      </c>
      <c r="X14" s="151">
        <f>+X13*(Assumptions!$H$161/Assumptions!$H$147)</f>
        <v>22527261.861068852</v>
      </c>
      <c r="Y14" s="151">
        <f>+Y13*(Assumptions!$H$161/Assumptions!$H$147)</f>
        <v>22527261.861068852</v>
      </c>
      <c r="Z14" s="151">
        <f>+Z13*(Assumptions!$H$161/Assumptions!$H$147)</f>
        <v>23653624.954122297</v>
      </c>
      <c r="AA14" s="151">
        <f>+AA13*(Assumptions!$H$161/Assumptions!$H$147)</f>
        <v>23653624.954122297</v>
      </c>
      <c r="AB14" s="151"/>
      <c r="AC14" s="151"/>
      <c r="AD14" s="151"/>
      <c r="AE14" s="151"/>
      <c r="AF14" s="151"/>
      <c r="AG14" s="151"/>
      <c r="AH14" s="151"/>
      <c r="AI14" s="151"/>
      <c r="AJ14" s="151"/>
      <c r="AK14" s="151"/>
      <c r="AL14" s="151"/>
      <c r="AM14" s="151"/>
      <c r="AN14" s="151"/>
      <c r="AO14" s="151"/>
      <c r="AP14" s="151"/>
      <c r="AQ14" s="151"/>
      <c r="AR14" s="151"/>
      <c r="AS14" s="151"/>
      <c r="AT14" s="151"/>
      <c r="AU14" s="151"/>
    </row>
    <row r="15" spans="2:47" ht="16" customHeight="1">
      <c r="AB15" s="207"/>
    </row>
    <row r="16" spans="2:47" ht="16" customHeight="1">
      <c r="B16" s="148" t="s">
        <v>710</v>
      </c>
      <c r="AB16" s="207"/>
    </row>
    <row r="17" spans="2:47" ht="16" customHeight="1">
      <c r="B17" s="33" t="s">
        <v>1230</v>
      </c>
      <c r="G17" s="151">
        <v>0</v>
      </c>
      <c r="H17" s="151">
        <v>0</v>
      </c>
      <c r="I17" s="151">
        <v>0</v>
      </c>
      <c r="J17" s="151">
        <f>'Phase II Pro Forma'!F244</f>
        <v>0</v>
      </c>
      <c r="K17" s="151">
        <f>'Phase II Pro Forma'!G244</f>
        <v>0</v>
      </c>
      <c r="L17" s="151">
        <f>'Phase II Pro Forma'!H244</f>
        <v>0</v>
      </c>
      <c r="M17" s="151">
        <f>'Phase II Pro Forma'!I244</f>
        <v>1897074</v>
      </c>
      <c r="N17" s="151">
        <f>'Phase II Pro Forma'!J244</f>
        <v>3794148</v>
      </c>
      <c r="O17" s="151">
        <f>'Phase II Pro Forma'!K244</f>
        <v>3794148</v>
      </c>
      <c r="P17" s="151">
        <f>'Phase II Pro Forma'!L244</f>
        <v>4173562.8000000003</v>
      </c>
      <c r="Q17" s="151">
        <f>'Phase II Pro Forma'!M244</f>
        <v>4173562.8000000003</v>
      </c>
      <c r="R17" s="151">
        <f>'Phase II Pro Forma'!N244</f>
        <v>4173562.8000000003</v>
      </c>
      <c r="S17" s="151">
        <f>'Phase II Pro Forma'!O244</f>
        <v>4173562.8000000003</v>
      </c>
      <c r="T17" s="151">
        <f>'Phase II Pro Forma'!P244</f>
        <v>4173562.8000000003</v>
      </c>
      <c r="U17" s="151">
        <f>'Phase II Pro Forma'!Q244</f>
        <v>4590919.080000001</v>
      </c>
      <c r="V17" s="151">
        <f>'Phase II Pro Forma'!R244</f>
        <v>4590919.080000001</v>
      </c>
      <c r="W17" s="151">
        <f>'Phase II Pro Forma'!S244</f>
        <v>4590919.080000001</v>
      </c>
      <c r="X17" s="151">
        <f>'Phase II Pro Forma'!T244</f>
        <v>4590919.080000001</v>
      </c>
      <c r="Y17" s="151">
        <f>'Phase II Pro Forma'!U244</f>
        <v>4590919.080000001</v>
      </c>
      <c r="Z17" s="151">
        <f>'Phase II Pro Forma'!V244</f>
        <v>5050010.9880000018</v>
      </c>
      <c r="AA17" s="151">
        <f>'Phase II Pro Forma'!W244</f>
        <v>5050010.9880000018</v>
      </c>
      <c r="AB17" s="151"/>
      <c r="AC17" s="151"/>
      <c r="AD17" s="151"/>
      <c r="AE17" s="151"/>
      <c r="AF17" s="151"/>
      <c r="AG17" s="151"/>
      <c r="AH17" s="151"/>
      <c r="AI17" s="151"/>
      <c r="AJ17" s="151"/>
      <c r="AK17" s="151"/>
      <c r="AL17" s="151"/>
      <c r="AM17" s="151"/>
      <c r="AN17" s="151"/>
      <c r="AO17" s="151"/>
      <c r="AP17" s="151"/>
      <c r="AQ17" s="151"/>
      <c r="AR17" s="151"/>
      <c r="AS17" s="151"/>
      <c r="AT17" s="151"/>
      <c r="AU17" s="151"/>
    </row>
    <row r="18" spans="2:47" ht="16" customHeight="1">
      <c r="B18" s="33" t="s">
        <v>577</v>
      </c>
      <c r="G18" s="151">
        <f>+G17*(Assumptions!$H$161/Assumptions!$H$147)</f>
        <v>0</v>
      </c>
      <c r="H18" s="151">
        <f>+H17*(Assumptions!$H$161/Assumptions!$H$147)</f>
        <v>0</v>
      </c>
      <c r="I18" s="151">
        <f>+I17*(Assumptions!$H$161/Assumptions!$H$147)</f>
        <v>0</v>
      </c>
      <c r="J18" s="151">
        <f>+J17*(Assumptions!$H$161/Assumptions!$H$147)</f>
        <v>0</v>
      </c>
      <c r="K18" s="151">
        <f>+K17*(Assumptions!$H$161/Assumptions!$H$147)</f>
        <v>0</v>
      </c>
      <c r="L18" s="151">
        <f>+L17*(Assumptions!$H$161/Assumptions!$H$147)</f>
        <v>0</v>
      </c>
      <c r="M18" s="151">
        <f>+M17*(Assumptions!$H$161/Assumptions!$H$147)</f>
        <v>3901562.4242496961</v>
      </c>
      <c r="N18" s="151">
        <f>+N17*(Assumptions!$H$161/Assumptions!$H$147)</f>
        <v>7803124.8484993922</v>
      </c>
      <c r="O18" s="151">
        <f>+O17*(Assumptions!$H$161/Assumptions!$H$147)</f>
        <v>7803124.8484993922</v>
      </c>
      <c r="P18" s="151">
        <f>+P17*(Assumptions!$H$161/Assumptions!$H$147)</f>
        <v>8583437.3333493322</v>
      </c>
      <c r="Q18" s="151">
        <f>+Q17*(Assumptions!$H$161/Assumptions!$H$147)</f>
        <v>8583437.3333493322</v>
      </c>
      <c r="R18" s="151">
        <f>+R17*(Assumptions!$H$161/Assumptions!$H$147)</f>
        <v>8583437.3333493322</v>
      </c>
      <c r="S18" s="151">
        <f>+S17*(Assumptions!$H$161/Assumptions!$H$147)</f>
        <v>8583437.3333493322</v>
      </c>
      <c r="T18" s="151">
        <f>+T17*(Assumptions!$H$161/Assumptions!$H$147)</f>
        <v>8583437.3333493322</v>
      </c>
      <c r="U18" s="151">
        <f>+U17*(Assumptions!$H$161/Assumptions!$H$147)</f>
        <v>9441781.0666842666</v>
      </c>
      <c r="V18" s="151">
        <f>+V17*(Assumptions!$H$161/Assumptions!$H$147)</f>
        <v>9441781.0666842666</v>
      </c>
      <c r="W18" s="151">
        <f>+W17*(Assumptions!$H$161/Assumptions!$H$147)</f>
        <v>9441781.0666842666</v>
      </c>
      <c r="X18" s="151">
        <f>+X17*(Assumptions!$H$161/Assumptions!$H$147)</f>
        <v>9441781.0666842666</v>
      </c>
      <c r="Y18" s="151">
        <f>+Y17*(Assumptions!$H$161/Assumptions!$H$147)</f>
        <v>9441781.0666842666</v>
      </c>
      <c r="Z18" s="151">
        <f>+Z17*(Assumptions!$H$161/Assumptions!$H$147)</f>
        <v>10385959.173352694</v>
      </c>
      <c r="AA18" s="151">
        <f>+AA17*(Assumptions!$H$161/Assumptions!$H$147)</f>
        <v>10385959.173352694</v>
      </c>
      <c r="AB18" s="151"/>
      <c r="AC18" s="151"/>
      <c r="AD18" s="151"/>
      <c r="AE18" s="151"/>
      <c r="AF18" s="151"/>
      <c r="AG18" s="151"/>
      <c r="AH18" s="151"/>
      <c r="AI18" s="151"/>
      <c r="AJ18" s="151"/>
      <c r="AK18" s="151"/>
      <c r="AL18" s="151"/>
      <c r="AM18" s="151"/>
      <c r="AN18" s="151"/>
      <c r="AO18" s="151"/>
      <c r="AP18" s="151"/>
      <c r="AQ18" s="151"/>
      <c r="AR18" s="151"/>
      <c r="AS18" s="151"/>
      <c r="AT18" s="151"/>
      <c r="AU18" s="151"/>
    </row>
    <row r="19" spans="2:47" ht="16" customHeight="1">
      <c r="AB19" s="207"/>
    </row>
    <row r="20" spans="2:47" ht="16" customHeight="1">
      <c r="B20" s="148" t="s">
        <v>615</v>
      </c>
      <c r="AB20" s="207"/>
    </row>
    <row r="21" spans="2:47" ht="16" customHeight="1">
      <c r="B21" s="33" t="s">
        <v>616</v>
      </c>
      <c r="G21" s="151">
        <f>+SUMIF('Phase I Pro Forma'!$F$74:$Z$74,'Public Benefits'!G$3,'Phase I Pro Forma'!$F$26:$Z$26)+SUMIF('Phase II Pro Forma'!$F$74:$Z$74,'Public Benefits'!G$3,'Phase II Pro Forma'!$F$26:$Z$26)+SUMIF('Phase III Pro Forma'!$F$74:$Z$74,'Public Benefits'!G$3,'Phase III Pro Forma'!$F$26:$Z$26)</f>
        <v>0</v>
      </c>
      <c r="H21" s="151">
        <f>+SUMIF('Phase I Pro Forma'!$F$74:$Z$74,'Public Benefits'!H$3,'Phase I Pro Forma'!$F$26:$Z$26)+SUMIF('Phase II Pro Forma'!$F$74:$Z$74,'Public Benefits'!H$3,'Phase II Pro Forma'!$F$26:$Z$26)+SUMIF('Phase III Pro Forma'!$F$74:$Z$74,'Public Benefits'!H$3,'Phase III Pro Forma'!$F$26:$Z$26)</f>
        <v>0</v>
      </c>
      <c r="I21" s="151">
        <f ca="1">+SUMIF('Phase I Pro Forma'!$F$74:$Z$74,'Public Benefits'!I$3,'Phase I Pro Forma'!$F$26:$Z$26)+SUMIF('Phase II Pro Forma'!$F$74:$Z$74,'Public Benefits'!I$3,'Phase II Pro Forma'!$F$26:$Z$26)+SUMIF('Phase III Pro Forma'!$F$74:$Z$74,'Public Benefits'!I$3,'Phase III Pro Forma'!$F$26:$Z$26)</f>
        <v>0</v>
      </c>
      <c r="J21" s="151">
        <f ca="1">+SUMIF('Phase I Pro Forma'!$F$74:$Z$74,'Public Benefits'!J$3,'Phase I Pro Forma'!$F$26:$Z$26)+SUMIF('Phase II Pro Forma'!$F$74:$Z$74,'Public Benefits'!J$3,'Phase II Pro Forma'!$F$26:$Z$26)+SUMIF('Phase III Pro Forma'!$F$74:$Z$74,'Public Benefits'!J$3,'Phase III Pro Forma'!$F$26:$Z$26)</f>
        <v>3875784.4527389999</v>
      </c>
      <c r="K21" s="151">
        <f ca="1">+SUMIF('Phase I Pro Forma'!$F$74:$Z$74,'Public Benefits'!K$3,'Phase I Pro Forma'!$F$26:$Z$26)+SUMIF('Phase II Pro Forma'!$F$74:$Z$74,'Public Benefits'!K$3,'Phase II Pro Forma'!$F$26:$Z$26)+SUMIF('Phase III Pro Forma'!$F$74:$Z$74,'Public Benefits'!K$3,'Phase III Pro Forma'!$F$26:$Z$26)</f>
        <v>7864206.2760263402</v>
      </c>
      <c r="L21" s="151">
        <f ca="1">+SUMIF('Phase I Pro Forma'!$F$74:$Z$74,'Public Benefits'!L$3,'Phase I Pro Forma'!$F$26:$Z$26)+SUMIF('Phase II Pro Forma'!$F$74:$Z$74,'Public Benefits'!L$3,'Phase II Pro Forma'!$F$26:$Z$26)+SUMIF('Phase III Pro Forma'!$F$74:$Z$74,'Public Benefits'!L$3,'Phase III Pro Forma'!$F$26:$Z$26)</f>
        <v>7977850.4286905527</v>
      </c>
      <c r="M21" s="151">
        <f ca="1">+SUMIF('Phase I Pro Forma'!$F$74:$Z$74,'Public Benefits'!M$3,'Phase I Pro Forma'!$F$26:$Z$26)+SUMIF('Phase II Pro Forma'!$F$74:$Z$74,'Public Benefits'!M$3,'Phase II Pro Forma'!$F$26:$Z$26)+SUMIF('Phase III Pro Forma'!$F$74:$Z$74,'Public Benefits'!M$3,'Phase III Pro Forma'!$F$26:$Z$26)</f>
        <v>8092484.085521481</v>
      </c>
      <c r="N21" s="151">
        <f ca="1">+SUMIF('Phase I Pro Forma'!$F$74:$Z$74,'Public Benefits'!N$3,'Phase I Pro Forma'!$F$26:$Z$26)+SUMIF('Phase II Pro Forma'!$F$74:$Z$74,'Public Benefits'!N$3,'Phase II Pro Forma'!$F$26:$Z$26)+SUMIF('Phase III Pro Forma'!$F$74:$Z$74,'Public Benefits'!N$3,'Phase III Pro Forma'!$F$26:$Z$26)</f>
        <v>8208088.5002800105</v>
      </c>
      <c r="O21" s="151">
        <f ca="1">+SUMIF('Phase I Pro Forma'!$F$74:$Z$74,'Public Benefits'!O$3,'Phase I Pro Forma'!$F$26:$Z$26)+SUMIF('Phase II Pro Forma'!$F$74:$Z$74,'Public Benefits'!O$3,'Phase II Pro Forma'!$F$26:$Z$26)+SUMIF('Phase III Pro Forma'!$F$74:$Z$74,'Public Benefits'!O$3,'Phase III Pro Forma'!$F$26:$Z$26)</f>
        <v>8324643.4987797793</v>
      </c>
      <c r="P21" s="151">
        <f ca="1">+SUMIF('Phase I Pro Forma'!$F$74:$Z$74,'Public Benefits'!P$3,'Phase I Pro Forma'!$F$26:$Z$26)+SUMIF('Phase II Pro Forma'!$F$74:$Z$74,'Public Benefits'!P$3,'Phase II Pro Forma'!$F$26:$Z$26)+SUMIF('Phase III Pro Forma'!$F$74:$Z$74,'Public Benefits'!P$3,'Phase III Pro Forma'!$F$26:$Z$26)</f>
        <v>8442127.2145714127</v>
      </c>
      <c r="Q21" s="151">
        <f ca="1">+SUMIF('Phase I Pro Forma'!$F$74:$Z$74,'Public Benefits'!Q$3,'Phase I Pro Forma'!$F$26:$Z$26)+SUMIF('Phase II Pro Forma'!$F$74:$Z$74,'Public Benefits'!Q$3,'Phase II Pro Forma'!$F$26:$Z$26)+SUMIF('Phase III Pro Forma'!$F$74:$Z$74,'Public Benefits'!Q$3,'Phase III Pro Forma'!$F$26:$Z$26)</f>
        <v>8560516.1169258207</v>
      </c>
      <c r="R21" s="151">
        <f ca="1">+SUMIF('Phase I Pro Forma'!$F$74:$Z$74,'Public Benefits'!R$3,'Phase I Pro Forma'!$F$26:$Z$26)+SUMIF('Phase II Pro Forma'!$F$74:$Z$74,'Public Benefits'!R$3,'Phase II Pro Forma'!$F$26:$Z$26)+SUMIF('Phase III Pro Forma'!$F$74:$Z$74,'Public Benefits'!R$3,'Phase III Pro Forma'!$F$26:$Z$26)</f>
        <v>8679785.0085600261</v>
      </c>
      <c r="S21" s="151">
        <f ca="1">+SUMIF('Phase I Pro Forma'!$F$74:$Z$74,'Public Benefits'!S$3,'Phase I Pro Forma'!$F$26:$Z$26)+SUMIF('Phase II Pro Forma'!$F$74:$Z$74,'Public Benefits'!S$3,'Phase II Pro Forma'!$F$26:$Z$26)+SUMIF('Phase III Pro Forma'!$F$74:$Z$74,'Public Benefits'!S$3,'Phase III Pro Forma'!$F$26:$Z$26)</f>
        <v>8799906.8565947656</v>
      </c>
      <c r="T21" s="151">
        <f ca="1">+SUMIF('Phase I Pro Forma'!$F$74:$Z$74,'Public Benefits'!T$3,'Phase I Pro Forma'!$F$26:$Z$26)+SUMIF('Phase II Pro Forma'!$F$74:$Z$74,'Public Benefits'!T$3,'Phase II Pro Forma'!$F$26:$Z$26)+SUMIF('Phase III Pro Forma'!$F$74:$Z$74,'Public Benefits'!T$3,'Phase III Pro Forma'!$F$26:$Z$26)</f>
        <v>8920852.7470035385</v>
      </c>
      <c r="U21" s="151">
        <f ca="1">+SUMIF('Phase I Pro Forma'!$F$74:$Z$74,'Public Benefits'!U$3,'Phase I Pro Forma'!$F$26:$Z$26)+SUMIF('Phase II Pro Forma'!$F$74:$Z$74,'Public Benefits'!U$3,'Phase II Pro Forma'!$F$26:$Z$26)+SUMIF('Phase III Pro Forma'!$F$74:$Z$74,'Public Benefits'!U$3,'Phase III Pro Forma'!$F$26:$Z$26)</f>
        <v>9042591.8082995936</v>
      </c>
      <c r="V21" s="151">
        <f ca="1">+SUMIF('Phase I Pro Forma'!$F$74:$Z$74,'Public Benefits'!V$3,'Phase I Pro Forma'!$F$26:$Z$26)+SUMIF('Phase II Pro Forma'!$F$74:$Z$74,'Public Benefits'!V$3,'Phase II Pro Forma'!$F$26:$Z$26)+SUMIF('Phase III Pro Forma'!$F$74:$Z$74,'Public Benefits'!V$3,'Phase III Pro Forma'!$F$26:$Z$26)</f>
        <v>9165091.1325111594</v>
      </c>
      <c r="W21" s="151">
        <f ca="1">+SUMIF('Phase I Pro Forma'!$F$74:$Z$74,'Public Benefits'!W$3,'Phase I Pro Forma'!$F$26:$Z$26)+SUMIF('Phase II Pro Forma'!$F$74:$Z$74,'Public Benefits'!W$3,'Phase II Pro Forma'!$F$26:$Z$26)+SUMIF('Phase III Pro Forma'!$F$74:$Z$74,'Public Benefits'!W$3,'Phase III Pro Forma'!$F$26:$Z$26)</f>
        <v>9288315.6888254602</v>
      </c>
      <c r="X21" s="151">
        <f ca="1">+SUMIF('Phase I Pro Forma'!$F$74:$Z$74,'Public Benefits'!X$3,'Phase I Pro Forma'!$F$26:$Z$26)+SUMIF('Phase II Pro Forma'!$F$74:$Z$74,'Public Benefits'!X$3,'Phase II Pro Forma'!$F$26:$Z$26)+SUMIF('Phase III Pro Forma'!$F$74:$Z$74,'Public Benefits'!X$3,'Phase III Pro Forma'!$F$26:$Z$26)</f>
        <v>9412228.2387465332</v>
      </c>
      <c r="Y21" s="151">
        <f ca="1">+SUMIF('Phase I Pro Forma'!$F$74:$Z$74,'Public Benefits'!Y$3,'Phase I Pro Forma'!$F$26:$Z$26)+SUMIF('Phase II Pro Forma'!$F$74:$Z$74,'Public Benefits'!Y$3,'Phase II Pro Forma'!$F$26:$Z$26)+SUMIF('Phase III Pro Forma'!$F$74:$Z$74,'Public Benefits'!Y$3,'Phase III Pro Forma'!$F$26:$Z$26)</f>
        <v>9536789.2482594103</v>
      </c>
      <c r="Z21" s="151">
        <f ca="1">+SUMIF('Phase I Pro Forma'!$F$74:$Z$74,'Public Benefits'!Z$3,'Phase I Pro Forma'!$F$26:$Z$26)+SUMIF('Phase II Pro Forma'!$F$74:$Z$74,'Public Benefits'!Z$3,'Phase II Pro Forma'!$F$26:$Z$26)+SUMIF('Phase III Pro Forma'!$F$74:$Z$74,'Public Benefits'!Z$3,'Phase III Pro Forma'!$F$26:$Z$26)</f>
        <v>9661956.7922815159</v>
      </c>
      <c r="AA21" s="151">
        <f ca="1">+SUMIF('Phase I Pro Forma'!$F$74:$Z$74,'Public Benefits'!AA$3,'Phase I Pro Forma'!$F$26:$Z$26)+SUMIF('Phase II Pro Forma'!$F$74:$Z$74,'Public Benefits'!AA$3,'Phase II Pro Forma'!$F$26:$Z$26)+SUMIF('Phase III Pro Forma'!$F$74:$Z$74,'Public Benefits'!AA$3,'Phase III Pro Forma'!$F$26:$Z$26)</f>
        <v>9787686.4604158998</v>
      </c>
      <c r="AB21" s="151"/>
      <c r="AC21" s="151"/>
      <c r="AD21" s="151"/>
      <c r="AE21" s="151"/>
      <c r="AF21" s="151"/>
      <c r="AG21" s="151"/>
      <c r="AH21" s="151"/>
      <c r="AI21" s="151"/>
      <c r="AJ21" s="151"/>
      <c r="AK21" s="151"/>
      <c r="AL21" s="151"/>
      <c r="AM21" s="151"/>
      <c r="AN21" s="151"/>
      <c r="AO21" s="151"/>
      <c r="AP21" s="151"/>
      <c r="AQ21" s="151"/>
      <c r="AR21" s="151"/>
      <c r="AS21" s="151"/>
      <c r="AT21" s="151"/>
      <c r="AU21" s="151"/>
    </row>
    <row r="22" spans="2:47" ht="16" customHeight="1">
      <c r="B22" s="33" t="s">
        <v>577</v>
      </c>
      <c r="G22" s="151">
        <f>+G21*AVERAGE(Assumptions!$F$63,Assumptions!$F$67,Assumptions!$F$71,Assumptions!$F$75,Assumptions!$F$79)/AVERAGE(Assumptions!$F$36,Assumptions!$F$40,Assumptions!$F$44,Assumptions!$F$48,Assumptions!$F$52)</f>
        <v>0</v>
      </c>
      <c r="H22" s="151">
        <f>+H21*AVERAGE(Assumptions!$F$63,Assumptions!$F$67,Assumptions!$F$71,Assumptions!$F$75,Assumptions!$F$79)/AVERAGE(Assumptions!$F$36,Assumptions!$F$40,Assumptions!$F$44,Assumptions!$F$48,Assumptions!$F$52)</f>
        <v>0</v>
      </c>
      <c r="I22" s="151">
        <f ca="1">+I21*AVERAGE(Assumptions!$F$63,Assumptions!$F$67,Assumptions!$F$71,Assumptions!$F$75,Assumptions!$F$79)/AVERAGE(Assumptions!$F$36,Assumptions!$F$40,Assumptions!$F$44,Assumptions!$F$48,Assumptions!$F$52)</f>
        <v>0</v>
      </c>
      <c r="J22" s="151">
        <f ca="1">+J21*AVERAGE(Assumptions!$F$63,Assumptions!$F$67,Assumptions!$F$71,Assumptions!$F$75,Assumptions!$F$79)/AVERAGE(Assumptions!$F$36,Assumptions!$F$40,Assumptions!$F$44,Assumptions!$F$48,Assumptions!$F$52)</f>
        <v>5461332.6379504092</v>
      </c>
      <c r="K22" s="151">
        <f ca="1">+K21*AVERAGE(Assumptions!$F$63,Assumptions!$F$67,Assumptions!$F$71,Assumptions!$F$75,Assumptions!$F$79)/AVERAGE(Assumptions!$F$36,Assumptions!$F$40,Assumptions!$F$44,Assumptions!$F$48,Assumptions!$F$52)</f>
        <v>11081381.570764389</v>
      </c>
      <c r="L22" s="151">
        <f ca="1">+L21*AVERAGE(Assumptions!$F$63,Assumptions!$F$67,Assumptions!$F$71,Assumptions!$F$75,Assumptions!$F$79)/AVERAGE(Assumptions!$F$36,Assumptions!$F$40,Assumptions!$F$44,Assumptions!$F$48,Assumptions!$F$52)</f>
        <v>11241516.51315487</v>
      </c>
      <c r="M22" s="151">
        <f ca="1">+M21*AVERAGE(Assumptions!$F$63,Assumptions!$F$67,Assumptions!$F$71,Assumptions!$F$75,Assumptions!$F$79)/AVERAGE(Assumptions!$F$36,Assumptions!$F$40,Assumptions!$F$44,Assumptions!$F$48,Assumptions!$F$52)</f>
        <v>11403045.756871177</v>
      </c>
      <c r="N22" s="151">
        <f ca="1">+N21*AVERAGE(Assumptions!$F$63,Assumptions!$F$67,Assumptions!$F$71,Assumptions!$F$75,Assumptions!$F$79)/AVERAGE(Assumptions!$F$36,Assumptions!$F$40,Assumptions!$F$44,Assumptions!$F$48,Assumptions!$F$52)</f>
        <v>11565942.886758195</v>
      </c>
      <c r="O22" s="151">
        <f ca="1">+O21*AVERAGE(Assumptions!$F$63,Assumptions!$F$67,Assumptions!$F$71,Assumptions!$F$75,Assumptions!$F$79)/AVERAGE(Assumptions!$F$36,Assumptions!$F$40,Assumptions!$F$44,Assumptions!$F$48,Assumptions!$F$52)</f>
        <v>11730179.475553326</v>
      </c>
      <c r="P22" s="151">
        <f ca="1">+P21*AVERAGE(Assumptions!$F$63,Assumptions!$F$67,Assumptions!$F$71,Assumptions!$F$75,Assumptions!$F$79)/AVERAGE(Assumptions!$F$36,Assumptions!$F$40,Assumptions!$F$44,Assumptions!$F$48,Assumptions!$F$52)</f>
        <v>11895724.711441536</v>
      </c>
      <c r="Q22" s="151">
        <f ca="1">+Q21*AVERAGE(Assumptions!$F$63,Assumptions!$F$67,Assumptions!$F$71,Assumptions!$F$75,Assumptions!$F$79)/AVERAGE(Assumptions!$F$36,Assumptions!$F$40,Assumptions!$F$44,Assumptions!$F$48,Assumptions!$F$52)</f>
        <v>12062545.437486382</v>
      </c>
      <c r="R22" s="151">
        <f ca="1">+R21*AVERAGE(Assumptions!$F$63,Assumptions!$F$67,Assumptions!$F$71,Assumptions!$F$75,Assumptions!$F$79)/AVERAGE(Assumptions!$F$36,Assumptions!$F$40,Assumptions!$F$44,Assumptions!$F$48,Assumptions!$F$52)</f>
        <v>12230606.148425492</v>
      </c>
      <c r="S22" s="151">
        <f ca="1">+S21*AVERAGE(Assumptions!$F$63,Assumptions!$F$67,Assumptions!$F$71,Assumptions!$F$75,Assumptions!$F$79)/AVERAGE(Assumptions!$F$36,Assumptions!$F$40,Assumptions!$F$44,Assumptions!$F$48,Assumptions!$F$52)</f>
        <v>12399868.752474444</v>
      </c>
      <c r="T22" s="151">
        <f ca="1">+T21*AVERAGE(Assumptions!$F$63,Assumptions!$F$67,Assumptions!$F$71,Assumptions!$F$75,Assumptions!$F$79)/AVERAGE(Assumptions!$F$36,Assumptions!$F$40,Assumptions!$F$44,Assumptions!$F$48,Assumptions!$F$52)</f>
        <v>12570292.50714135</v>
      </c>
      <c r="U22" s="151">
        <f ca="1">+U21*AVERAGE(Assumptions!$F$63,Assumptions!$F$67,Assumptions!$F$71,Assumptions!$F$75,Assumptions!$F$79)/AVERAGE(Assumptions!$F$36,Assumptions!$F$40,Assumptions!$F$44,Assumptions!$F$48,Assumptions!$F$52)</f>
        <v>12741833.911694882</v>
      </c>
      <c r="V22" s="151">
        <f ca="1">+V21*AVERAGE(Assumptions!$F$63,Assumptions!$F$67,Assumptions!$F$71,Assumptions!$F$75,Assumptions!$F$79)/AVERAGE(Assumptions!$F$36,Assumptions!$F$40,Assumptions!$F$44,Assumptions!$F$48,Assumptions!$F$52)</f>
        <v>12914446.595811181</v>
      </c>
      <c r="W22" s="151">
        <f ca="1">+W21*AVERAGE(Assumptions!$F$63,Assumptions!$F$67,Assumptions!$F$71,Assumptions!$F$75,Assumptions!$F$79)/AVERAGE(Assumptions!$F$36,Assumptions!$F$40,Assumptions!$F$44,Assumptions!$F$48,Assumptions!$F$52)</f>
        <v>13088081.19789042</v>
      </c>
      <c r="X22" s="151">
        <f ca="1">+X21*AVERAGE(Assumptions!$F$63,Assumptions!$F$67,Assumptions!$F$71,Assumptions!$F$75,Assumptions!$F$79)/AVERAGE(Assumptions!$F$36,Assumptions!$F$40,Assumptions!$F$44,Assumptions!$F$48,Assumptions!$F$52)</f>
        <v>13262685.245506478</v>
      </c>
      <c r="Y22" s="151">
        <f ca="1">+Y21*AVERAGE(Assumptions!$F$63,Assumptions!$F$67,Assumptions!$F$71,Assumptions!$F$75,Assumptions!$F$79)/AVERAGE(Assumptions!$F$36,Assumptions!$F$40,Assumptions!$F$44,Assumptions!$F$48,Assumptions!$F$52)</f>
        <v>13438203.031638259</v>
      </c>
      <c r="Z22" s="151">
        <f ca="1">+Z21*AVERAGE(Assumptions!$F$63,Assumptions!$F$67,Assumptions!$F$71,Assumptions!$F$75,Assumptions!$F$79)/AVERAGE(Assumptions!$F$36,Assumptions!$F$40,Assumptions!$F$44,Assumptions!$F$48,Assumptions!$F$52)</f>
        <v>13614575.480033046</v>
      </c>
      <c r="AA22" s="151">
        <f ca="1">+AA21*AVERAGE(Assumptions!$F$63,Assumptions!$F$67,Assumptions!$F$71,Assumptions!$F$75,Assumptions!$F$79)/AVERAGE(Assumptions!$F$36,Assumptions!$F$40,Assumptions!$F$44,Assumptions!$F$48,Assumptions!$F$52)</f>
        <v>13791740.012404222</v>
      </c>
      <c r="AB22" s="151"/>
      <c r="AC22" s="151"/>
      <c r="AD22" s="151"/>
      <c r="AE22" s="151"/>
      <c r="AF22" s="151"/>
      <c r="AG22" s="151"/>
      <c r="AH22" s="151"/>
      <c r="AI22" s="151"/>
      <c r="AJ22" s="151"/>
      <c r="AK22" s="151"/>
      <c r="AL22" s="151"/>
      <c r="AM22" s="151"/>
      <c r="AN22" s="151"/>
      <c r="AO22" s="151"/>
      <c r="AP22" s="151"/>
      <c r="AQ22" s="151"/>
      <c r="AR22" s="151"/>
      <c r="AS22" s="151"/>
      <c r="AT22" s="151"/>
      <c r="AU22" s="151"/>
    </row>
  </sheetData>
  <phoneticPr fontId="79"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AC6BB-F1F4-43B8-9B76-D71EEB3B1120}">
  <dimension ref="A1:AB1000"/>
  <sheetViews>
    <sheetView workbookViewId="0">
      <pane xSplit="4" ySplit="1" topLeftCell="I2" activePane="bottomRight" state="frozen"/>
      <selection pane="topRight" activeCell="E1" sqref="E1"/>
      <selection pane="bottomLeft" activeCell="A2" sqref="A2"/>
      <selection pane="bottomRight" activeCell="M87" sqref="M87"/>
    </sheetView>
  </sheetViews>
  <sheetFormatPr defaultColWidth="13.81640625" defaultRowHeight="15" customHeight="1"/>
  <cols>
    <col min="1" max="1" width="10.26953125" style="775" customWidth="1"/>
    <col min="2" max="2" width="8.6328125" style="775" customWidth="1"/>
    <col min="3" max="4" width="2.36328125" style="775" customWidth="1"/>
    <col min="5" max="5" width="16.6328125" style="775" customWidth="1"/>
    <col min="6" max="6" width="12.90625" style="775" customWidth="1"/>
    <col min="7" max="7" width="22.6328125" style="775" customWidth="1"/>
    <col min="8" max="8" width="13.08984375" style="775" customWidth="1"/>
    <col min="9" max="9" width="29.36328125" style="775" customWidth="1"/>
    <col min="10" max="10" width="35.453125" style="775" customWidth="1"/>
    <col min="11" max="12" width="11.7265625" style="775" customWidth="1"/>
    <col min="13" max="16" width="14.453125" style="775" customWidth="1"/>
    <col min="17" max="17" width="17.36328125" style="775" customWidth="1"/>
    <col min="18" max="18" width="16.54296875" style="775" customWidth="1"/>
    <col min="19" max="19" width="14.7265625" style="775" customWidth="1"/>
    <col min="20" max="24" width="3" style="775" customWidth="1"/>
    <col min="25" max="25" width="12.54296875" style="775" customWidth="1"/>
    <col min="26" max="28" width="10.26953125" style="775" customWidth="1"/>
    <col min="29" max="16384" width="13.81640625" style="775"/>
  </cols>
  <sheetData>
    <row r="1" spans="1:28" s="803" customFormat="1" ht="30" customHeight="1">
      <c r="A1" s="797" t="s">
        <v>848</v>
      </c>
      <c r="B1" s="797" t="s">
        <v>849</v>
      </c>
      <c r="C1" s="797" t="s">
        <v>850</v>
      </c>
      <c r="D1" s="797" t="s">
        <v>851</v>
      </c>
      <c r="E1" s="798" t="s">
        <v>852</v>
      </c>
      <c r="F1" s="797" t="s">
        <v>853</v>
      </c>
      <c r="G1" s="798" t="s">
        <v>854</v>
      </c>
      <c r="H1" s="797" t="s">
        <v>855</v>
      </c>
      <c r="I1" s="798" t="s">
        <v>856</v>
      </c>
      <c r="J1" s="798" t="s">
        <v>857</v>
      </c>
      <c r="K1" s="799" t="s">
        <v>858</v>
      </c>
      <c r="L1" s="800" t="s">
        <v>859</v>
      </c>
      <c r="M1" s="801" t="s">
        <v>860</v>
      </c>
      <c r="N1" s="801" t="s">
        <v>861</v>
      </c>
      <c r="O1" s="801"/>
      <c r="P1" s="801" t="s">
        <v>862</v>
      </c>
      <c r="Q1" s="801" t="s">
        <v>863</v>
      </c>
      <c r="R1" s="801" t="s">
        <v>864</v>
      </c>
      <c r="S1" s="797" t="s">
        <v>865</v>
      </c>
      <c r="T1" s="797" t="s">
        <v>866</v>
      </c>
      <c r="U1" s="797" t="s">
        <v>867</v>
      </c>
      <c r="V1" s="797" t="s">
        <v>868</v>
      </c>
      <c r="W1" s="797" t="s">
        <v>869</v>
      </c>
      <c r="X1" s="797" t="s">
        <v>870</v>
      </c>
      <c r="Y1" s="802" t="s">
        <v>871</v>
      </c>
      <c r="Z1" s="797" t="s">
        <v>872</v>
      </c>
      <c r="AA1" s="797"/>
      <c r="AB1" s="797"/>
    </row>
    <row r="2" spans="1:28" ht="25" customHeight="1">
      <c r="A2" s="776" t="s">
        <v>873</v>
      </c>
      <c r="B2" s="776">
        <v>1</v>
      </c>
      <c r="C2" s="776" t="s">
        <v>874</v>
      </c>
      <c r="D2" s="776" t="s">
        <v>875</v>
      </c>
      <c r="E2" s="777" t="s">
        <v>876</v>
      </c>
      <c r="F2" s="778" t="s">
        <v>877</v>
      </c>
      <c r="G2" s="779" t="s">
        <v>878</v>
      </c>
      <c r="H2" s="776"/>
      <c r="I2" s="777" t="s">
        <v>879</v>
      </c>
      <c r="J2" s="777" t="s">
        <v>880</v>
      </c>
      <c r="K2" s="780">
        <v>74326</v>
      </c>
      <c r="L2" s="781" t="s">
        <v>881</v>
      </c>
      <c r="M2" s="782">
        <v>13007050</v>
      </c>
      <c r="N2" s="783">
        <f>M2/$M$85</f>
        <v>8.4616342313508203E-2</v>
      </c>
      <c r="O2" s="782">
        <f t="shared" ref="O2:O84" si="0">M2/K2</f>
        <v>175</v>
      </c>
      <c r="P2" s="782">
        <v>70512950</v>
      </c>
      <c r="Q2" s="782">
        <v>0</v>
      </c>
      <c r="R2" s="784">
        <v>83520000</v>
      </c>
      <c r="S2" s="776" t="s">
        <v>882</v>
      </c>
      <c r="T2" s="776" t="s">
        <v>883</v>
      </c>
      <c r="U2" s="776" t="s">
        <v>883</v>
      </c>
      <c r="V2" s="776" t="s">
        <v>884</v>
      </c>
      <c r="W2" s="776" t="s">
        <v>885</v>
      </c>
      <c r="X2" s="776" t="s">
        <v>886</v>
      </c>
      <c r="Y2" s="785" t="s">
        <v>887</v>
      </c>
      <c r="Z2" s="776" t="s">
        <v>888</v>
      </c>
      <c r="AA2" s="776"/>
      <c r="AB2" s="776"/>
    </row>
    <row r="3" spans="1:28" ht="14.75">
      <c r="A3" s="776" t="s">
        <v>873</v>
      </c>
      <c r="B3" s="776">
        <v>2</v>
      </c>
      <c r="C3" s="776" t="s">
        <v>874</v>
      </c>
      <c r="D3" s="776" t="s">
        <v>889</v>
      </c>
      <c r="E3" s="777" t="s">
        <v>876</v>
      </c>
      <c r="F3" s="776" t="s">
        <v>890</v>
      </c>
      <c r="G3" s="777" t="s">
        <v>891</v>
      </c>
      <c r="H3" s="776"/>
      <c r="I3" s="777" t="s">
        <v>879</v>
      </c>
      <c r="J3" s="777" t="s">
        <v>892</v>
      </c>
      <c r="K3" s="786">
        <v>5600</v>
      </c>
      <c r="L3" s="777" t="s">
        <v>893</v>
      </c>
      <c r="M3" s="782">
        <v>1260000</v>
      </c>
      <c r="N3" s="783">
        <f t="shared" ref="N3:N66" si="1">M3/$M$85</f>
        <v>8.1968310504703483E-3</v>
      </c>
      <c r="O3" s="782">
        <f t="shared" si="0"/>
        <v>225</v>
      </c>
      <c r="P3" s="782">
        <v>63696</v>
      </c>
      <c r="Q3" s="784">
        <v>6912</v>
      </c>
      <c r="R3" s="782">
        <v>1330608</v>
      </c>
      <c r="S3" s="776" t="s">
        <v>894</v>
      </c>
      <c r="T3" s="776" t="s">
        <v>883</v>
      </c>
      <c r="U3" s="776" t="s">
        <v>883</v>
      </c>
      <c r="V3" s="776" t="s">
        <v>884</v>
      </c>
      <c r="W3" s="776" t="s">
        <v>885</v>
      </c>
      <c r="X3" s="776" t="s">
        <v>886</v>
      </c>
      <c r="Y3" s="785" t="s">
        <v>887</v>
      </c>
      <c r="Z3" s="776" t="s">
        <v>895</v>
      </c>
      <c r="AA3" s="776"/>
      <c r="AB3" s="776"/>
    </row>
    <row r="4" spans="1:28" ht="14.75">
      <c r="A4" s="776" t="s">
        <v>873</v>
      </c>
      <c r="B4" s="776">
        <v>3</v>
      </c>
      <c r="C4" s="776" t="s">
        <v>874</v>
      </c>
      <c r="D4" s="776" t="s">
        <v>896</v>
      </c>
      <c r="E4" s="777" t="s">
        <v>897</v>
      </c>
      <c r="F4" s="776" t="s">
        <v>898</v>
      </c>
      <c r="G4" s="777" t="s">
        <v>899</v>
      </c>
      <c r="H4" s="776" t="s">
        <v>900</v>
      </c>
      <c r="I4" s="777" t="s">
        <v>879</v>
      </c>
      <c r="J4" s="777" t="s">
        <v>901</v>
      </c>
      <c r="K4" s="786">
        <v>10500</v>
      </c>
      <c r="L4" s="777" t="s">
        <v>902</v>
      </c>
      <c r="M4" s="784">
        <v>2362500</v>
      </c>
      <c r="N4" s="787">
        <f t="shared" si="1"/>
        <v>1.5369058219631903E-2</v>
      </c>
      <c r="O4" s="782">
        <f t="shared" si="0"/>
        <v>225</v>
      </c>
      <c r="P4" s="784">
        <v>500</v>
      </c>
      <c r="Q4" s="782">
        <v>0</v>
      </c>
      <c r="R4" s="782">
        <v>2363000</v>
      </c>
      <c r="S4" s="776" t="s">
        <v>894</v>
      </c>
      <c r="T4" s="776" t="s">
        <v>883</v>
      </c>
      <c r="U4" s="776" t="s">
        <v>883</v>
      </c>
      <c r="V4" s="776" t="s">
        <v>884</v>
      </c>
      <c r="W4" s="776" t="s">
        <v>885</v>
      </c>
      <c r="X4" s="776" t="s">
        <v>886</v>
      </c>
      <c r="Y4" s="785" t="s">
        <v>887</v>
      </c>
      <c r="Z4" s="776" t="s">
        <v>895</v>
      </c>
      <c r="AA4" s="776"/>
      <c r="AB4" s="776"/>
    </row>
    <row r="5" spans="1:28" ht="14.75">
      <c r="A5" s="776" t="s">
        <v>873</v>
      </c>
      <c r="B5" s="776">
        <v>4</v>
      </c>
      <c r="C5" s="776" t="s">
        <v>903</v>
      </c>
      <c r="D5" s="776" t="s">
        <v>904</v>
      </c>
      <c r="E5" s="777" t="s">
        <v>905</v>
      </c>
      <c r="F5" s="776" t="s">
        <v>906</v>
      </c>
      <c r="G5" s="777" t="s">
        <v>907</v>
      </c>
      <c r="H5" s="776"/>
      <c r="I5" s="777" t="s">
        <v>908</v>
      </c>
      <c r="J5" s="777" t="s">
        <v>909</v>
      </c>
      <c r="K5" s="786">
        <v>36753</v>
      </c>
      <c r="L5" s="777" t="s">
        <v>910</v>
      </c>
      <c r="M5" s="782">
        <v>2388945</v>
      </c>
      <c r="N5" s="783">
        <f t="shared" si="1"/>
        <v>1.554109409036975E-2</v>
      </c>
      <c r="O5" s="782">
        <f t="shared" si="0"/>
        <v>65</v>
      </c>
      <c r="P5" s="782">
        <v>253676</v>
      </c>
      <c r="Q5" s="784">
        <v>93933</v>
      </c>
      <c r="R5" s="782">
        <v>2736554</v>
      </c>
      <c r="S5" s="776" t="s">
        <v>911</v>
      </c>
      <c r="T5" s="776" t="s">
        <v>883</v>
      </c>
      <c r="U5" s="776" t="s">
        <v>883</v>
      </c>
      <c r="V5" s="776" t="s">
        <v>884</v>
      </c>
      <c r="W5" s="776" t="s">
        <v>885</v>
      </c>
      <c r="X5" s="776" t="s">
        <v>886</v>
      </c>
      <c r="Y5" s="785" t="s">
        <v>912</v>
      </c>
      <c r="Z5" s="776" t="s">
        <v>913</v>
      </c>
      <c r="AA5" s="776"/>
      <c r="AB5" s="776"/>
    </row>
    <row r="6" spans="1:28" ht="14.75">
      <c r="A6" s="776" t="s">
        <v>873</v>
      </c>
      <c r="B6" s="776">
        <v>5</v>
      </c>
      <c r="C6" s="776" t="s">
        <v>903</v>
      </c>
      <c r="D6" s="776" t="s">
        <v>914</v>
      </c>
      <c r="E6" s="777" t="s">
        <v>897</v>
      </c>
      <c r="F6" s="776" t="s">
        <v>915</v>
      </c>
      <c r="G6" s="777" t="s">
        <v>907</v>
      </c>
      <c r="H6" s="776"/>
      <c r="I6" s="777" t="s">
        <v>908</v>
      </c>
      <c r="J6" s="777" t="s">
        <v>916</v>
      </c>
      <c r="K6" s="780">
        <v>2188</v>
      </c>
      <c r="L6" s="781" t="s">
        <v>917</v>
      </c>
      <c r="M6" s="782">
        <v>284440</v>
      </c>
      <c r="N6" s="783">
        <f t="shared" si="1"/>
        <v>1.8504020825363379E-3</v>
      </c>
      <c r="O6" s="782">
        <f t="shared" si="0"/>
        <v>130</v>
      </c>
      <c r="P6" s="782">
        <v>0</v>
      </c>
      <c r="Q6" s="782">
        <v>0</v>
      </c>
      <c r="R6" s="782">
        <v>284440</v>
      </c>
      <c r="S6" s="776" t="s">
        <v>911</v>
      </c>
      <c r="T6" s="776" t="s">
        <v>883</v>
      </c>
      <c r="U6" s="776" t="s">
        <v>883</v>
      </c>
      <c r="V6" s="776" t="s">
        <v>884</v>
      </c>
      <c r="W6" s="776" t="s">
        <v>885</v>
      </c>
      <c r="X6" s="776" t="s">
        <v>886</v>
      </c>
      <c r="Y6" s="785" t="s">
        <v>912</v>
      </c>
      <c r="Z6" s="776" t="s">
        <v>918</v>
      </c>
      <c r="AA6" s="776"/>
      <c r="AB6" s="776"/>
    </row>
    <row r="7" spans="1:28" ht="14.75">
      <c r="A7" s="776" t="s">
        <v>873</v>
      </c>
      <c r="B7" s="776">
        <v>6</v>
      </c>
      <c r="C7" s="776" t="s">
        <v>903</v>
      </c>
      <c r="D7" s="776" t="s">
        <v>919</v>
      </c>
      <c r="E7" s="777" t="s">
        <v>897</v>
      </c>
      <c r="F7" s="776" t="s">
        <v>920</v>
      </c>
      <c r="G7" s="777" t="s">
        <v>907</v>
      </c>
      <c r="H7" s="776"/>
      <c r="I7" s="777" t="s">
        <v>908</v>
      </c>
      <c r="J7" s="777" t="s">
        <v>916</v>
      </c>
      <c r="K7" s="786">
        <v>2360</v>
      </c>
      <c r="L7" s="777" t="s">
        <v>921</v>
      </c>
      <c r="M7" s="784">
        <v>306800</v>
      </c>
      <c r="N7" s="787">
        <f t="shared" si="1"/>
        <v>1.9958633065748433E-3</v>
      </c>
      <c r="O7" s="782">
        <f t="shared" si="0"/>
        <v>130</v>
      </c>
      <c r="P7" s="782">
        <v>0</v>
      </c>
      <c r="Q7" s="782">
        <v>0</v>
      </c>
      <c r="R7" s="784">
        <v>306800</v>
      </c>
      <c r="S7" s="776" t="s">
        <v>911</v>
      </c>
      <c r="T7" s="776" t="s">
        <v>883</v>
      </c>
      <c r="U7" s="776" t="s">
        <v>883</v>
      </c>
      <c r="V7" s="776" t="s">
        <v>884</v>
      </c>
      <c r="W7" s="776" t="s">
        <v>885</v>
      </c>
      <c r="X7" s="776" t="s">
        <v>886</v>
      </c>
      <c r="Y7" s="785" t="s">
        <v>912</v>
      </c>
      <c r="Z7" s="776" t="s">
        <v>918</v>
      </c>
      <c r="AA7" s="776"/>
      <c r="AB7" s="776"/>
    </row>
    <row r="8" spans="1:28" ht="14.75">
      <c r="A8" s="776" t="s">
        <v>873</v>
      </c>
      <c r="B8" s="776">
        <v>7</v>
      </c>
      <c r="C8" s="776" t="s">
        <v>903</v>
      </c>
      <c r="D8" s="776" t="s">
        <v>922</v>
      </c>
      <c r="E8" s="777" t="s">
        <v>897</v>
      </c>
      <c r="F8" s="776" t="s">
        <v>923</v>
      </c>
      <c r="G8" s="777" t="s">
        <v>924</v>
      </c>
      <c r="H8" s="776"/>
      <c r="I8" s="777" t="s">
        <v>908</v>
      </c>
      <c r="J8" s="777" t="s">
        <v>909</v>
      </c>
      <c r="K8" s="786">
        <v>4688</v>
      </c>
      <c r="L8" s="777" t="s">
        <v>925</v>
      </c>
      <c r="M8" s="784">
        <v>304720</v>
      </c>
      <c r="N8" s="787">
        <f t="shared" si="1"/>
        <v>1.9823320299200988E-3</v>
      </c>
      <c r="O8" s="782">
        <f t="shared" si="0"/>
        <v>65</v>
      </c>
      <c r="P8" s="784">
        <v>69379</v>
      </c>
      <c r="Q8" s="782">
        <v>3908</v>
      </c>
      <c r="R8" s="782">
        <v>378007</v>
      </c>
      <c r="S8" s="776" t="s">
        <v>911</v>
      </c>
      <c r="T8" s="776" t="s">
        <v>883</v>
      </c>
      <c r="U8" s="776" t="s">
        <v>883</v>
      </c>
      <c r="V8" s="776" t="s">
        <v>884</v>
      </c>
      <c r="W8" s="776" t="s">
        <v>885</v>
      </c>
      <c r="X8" s="776" t="s">
        <v>886</v>
      </c>
      <c r="Y8" s="785" t="s">
        <v>912</v>
      </c>
      <c r="Z8" s="776" t="s">
        <v>913</v>
      </c>
      <c r="AA8" s="776"/>
      <c r="AB8" s="776"/>
    </row>
    <row r="9" spans="1:28" ht="14.75">
      <c r="A9" s="776" t="s">
        <v>873</v>
      </c>
      <c r="B9" s="776">
        <v>8</v>
      </c>
      <c r="C9" s="776" t="s">
        <v>874</v>
      </c>
      <c r="D9" s="776" t="s">
        <v>926</v>
      </c>
      <c r="E9" s="777" t="s">
        <v>897</v>
      </c>
      <c r="F9" s="776" t="s">
        <v>927</v>
      </c>
      <c r="G9" s="777" t="s">
        <v>928</v>
      </c>
      <c r="H9" s="776"/>
      <c r="I9" s="777" t="s">
        <v>908</v>
      </c>
      <c r="J9" s="777" t="s">
        <v>929</v>
      </c>
      <c r="K9" s="786">
        <v>1875</v>
      </c>
      <c r="L9" s="777" t="s">
        <v>930</v>
      </c>
      <c r="M9" s="782">
        <v>243750</v>
      </c>
      <c r="N9" s="783">
        <f t="shared" si="1"/>
        <v>1.5856964829778946E-3</v>
      </c>
      <c r="O9" s="782">
        <f t="shared" si="0"/>
        <v>130</v>
      </c>
      <c r="P9" s="782">
        <v>0</v>
      </c>
      <c r="Q9" s="782">
        <v>0</v>
      </c>
      <c r="R9" s="782">
        <v>243750</v>
      </c>
      <c r="S9" s="776" t="s">
        <v>911</v>
      </c>
      <c r="T9" s="776" t="s">
        <v>883</v>
      </c>
      <c r="U9" s="776" t="s">
        <v>883</v>
      </c>
      <c r="V9" s="776" t="s">
        <v>884</v>
      </c>
      <c r="W9" s="776" t="s">
        <v>885</v>
      </c>
      <c r="X9" s="776" t="s">
        <v>886</v>
      </c>
      <c r="Y9" s="785" t="s">
        <v>912</v>
      </c>
      <c r="Z9" s="776" t="s">
        <v>931</v>
      </c>
      <c r="AA9" s="776"/>
      <c r="AB9" s="776"/>
    </row>
    <row r="10" spans="1:28" ht="14.75">
      <c r="A10" s="776" t="s">
        <v>873</v>
      </c>
      <c r="B10" s="776">
        <v>9</v>
      </c>
      <c r="C10" s="776" t="s">
        <v>874</v>
      </c>
      <c r="D10" s="776" t="s">
        <v>932</v>
      </c>
      <c r="E10" s="777" t="s">
        <v>897</v>
      </c>
      <c r="F10" s="776" t="s">
        <v>933</v>
      </c>
      <c r="G10" s="777" t="s">
        <v>934</v>
      </c>
      <c r="H10" s="776"/>
      <c r="I10" s="777" t="s">
        <v>879</v>
      </c>
      <c r="J10" s="777" t="s">
        <v>935</v>
      </c>
      <c r="K10" s="786">
        <v>1750</v>
      </c>
      <c r="L10" s="777" t="s">
        <v>936</v>
      </c>
      <c r="M10" s="784">
        <v>306250</v>
      </c>
      <c r="N10" s="787">
        <f t="shared" si="1"/>
        <v>1.9922853247670985E-3</v>
      </c>
      <c r="O10" s="782">
        <f t="shared" si="0"/>
        <v>175</v>
      </c>
      <c r="P10" s="784">
        <v>38419</v>
      </c>
      <c r="Q10" s="782">
        <v>0</v>
      </c>
      <c r="R10" s="782">
        <v>344669</v>
      </c>
      <c r="S10" s="776" t="s">
        <v>894</v>
      </c>
      <c r="T10" s="776" t="s">
        <v>883</v>
      </c>
      <c r="U10" s="776" t="s">
        <v>883</v>
      </c>
      <c r="V10" s="776" t="s">
        <v>884</v>
      </c>
      <c r="W10" s="776" t="s">
        <v>885</v>
      </c>
      <c r="X10" s="776" t="s">
        <v>886</v>
      </c>
      <c r="Y10" s="785" t="s">
        <v>887</v>
      </c>
      <c r="Z10" s="776" t="s">
        <v>931</v>
      </c>
      <c r="AA10" s="776"/>
      <c r="AB10" s="776"/>
    </row>
    <row r="11" spans="1:28" ht="15" customHeight="1">
      <c r="A11" s="776" t="s">
        <v>873</v>
      </c>
      <c r="B11" s="776">
        <v>10</v>
      </c>
      <c r="C11" s="776" t="s">
        <v>874</v>
      </c>
      <c r="D11" s="776" t="s">
        <v>937</v>
      </c>
      <c r="E11" s="777" t="s">
        <v>897</v>
      </c>
      <c r="F11" s="776" t="s">
        <v>938</v>
      </c>
      <c r="G11" s="777" t="s">
        <v>939</v>
      </c>
      <c r="H11" s="776"/>
      <c r="I11" s="777" t="s">
        <v>879</v>
      </c>
      <c r="J11" s="777" t="s">
        <v>929</v>
      </c>
      <c r="K11" s="786">
        <v>3500</v>
      </c>
      <c r="L11" s="777" t="s">
        <v>940</v>
      </c>
      <c r="M11" s="784">
        <v>612500</v>
      </c>
      <c r="N11" s="787">
        <f t="shared" si="1"/>
        <v>3.984570649534197E-3</v>
      </c>
      <c r="O11" s="782">
        <f t="shared" si="0"/>
        <v>175</v>
      </c>
      <c r="P11" s="782">
        <v>0</v>
      </c>
      <c r="Q11" s="782">
        <v>0</v>
      </c>
      <c r="R11" s="784">
        <v>612500</v>
      </c>
      <c r="S11" s="776" t="s">
        <v>894</v>
      </c>
      <c r="T11" s="776" t="s">
        <v>883</v>
      </c>
      <c r="U11" s="776" t="s">
        <v>883</v>
      </c>
      <c r="V11" s="776" t="s">
        <v>884</v>
      </c>
      <c r="W11" s="776" t="s">
        <v>885</v>
      </c>
      <c r="X11" s="776" t="s">
        <v>886</v>
      </c>
      <c r="Y11" s="785" t="s">
        <v>887</v>
      </c>
      <c r="Z11" s="776" t="s">
        <v>918</v>
      </c>
      <c r="AA11" s="776"/>
      <c r="AB11" s="776"/>
    </row>
    <row r="12" spans="1:28" ht="14.75">
      <c r="A12" s="776" t="s">
        <v>873</v>
      </c>
      <c r="B12" s="776">
        <v>11</v>
      </c>
      <c r="C12" s="776" t="s">
        <v>874</v>
      </c>
      <c r="D12" s="776" t="s">
        <v>941</v>
      </c>
      <c r="E12" s="777" t="s">
        <v>897</v>
      </c>
      <c r="F12" s="776" t="s">
        <v>942</v>
      </c>
      <c r="G12" s="777" t="s">
        <v>939</v>
      </c>
      <c r="H12" s="776"/>
      <c r="I12" s="777" t="s">
        <v>879</v>
      </c>
      <c r="J12" s="777" t="s">
        <v>901</v>
      </c>
      <c r="K12" s="780">
        <v>10500</v>
      </c>
      <c r="L12" s="781" t="s">
        <v>902</v>
      </c>
      <c r="M12" s="782">
        <v>2362500</v>
      </c>
      <c r="N12" s="783">
        <f t="shared" si="1"/>
        <v>1.5369058219631903E-2</v>
      </c>
      <c r="O12" s="782">
        <f t="shared" si="0"/>
        <v>225</v>
      </c>
      <c r="P12" s="784">
        <v>22055</v>
      </c>
      <c r="Q12" s="782">
        <v>9776</v>
      </c>
      <c r="R12" s="784">
        <v>2394331</v>
      </c>
      <c r="S12" s="776" t="s">
        <v>894</v>
      </c>
      <c r="T12" s="776" t="s">
        <v>883</v>
      </c>
      <c r="U12" s="776" t="s">
        <v>883</v>
      </c>
      <c r="V12" s="776" t="s">
        <v>884</v>
      </c>
      <c r="W12" s="776" t="s">
        <v>885</v>
      </c>
      <c r="X12" s="776" t="s">
        <v>886</v>
      </c>
      <c r="Y12" s="785" t="s">
        <v>887</v>
      </c>
      <c r="Z12" s="776" t="s">
        <v>943</v>
      </c>
      <c r="AA12" s="776"/>
      <c r="AB12" s="776"/>
    </row>
    <row r="13" spans="1:28" ht="14.75">
      <c r="A13" s="776" t="s">
        <v>873</v>
      </c>
      <c r="B13" s="776">
        <v>12</v>
      </c>
      <c r="C13" s="776" t="s">
        <v>903</v>
      </c>
      <c r="D13" s="776" t="s">
        <v>944</v>
      </c>
      <c r="E13" s="777" t="s">
        <v>905</v>
      </c>
      <c r="F13" s="776" t="s">
        <v>945</v>
      </c>
      <c r="G13" s="777" t="s">
        <v>907</v>
      </c>
      <c r="H13" s="776"/>
      <c r="I13" s="777" t="s">
        <v>908</v>
      </c>
      <c r="J13" s="777" t="s">
        <v>929</v>
      </c>
      <c r="K13" s="786">
        <v>14000</v>
      </c>
      <c r="L13" s="777" t="s">
        <v>946</v>
      </c>
      <c r="M13" s="784">
        <v>910000</v>
      </c>
      <c r="N13" s="787">
        <f t="shared" si="1"/>
        <v>5.919933536450807E-3</v>
      </c>
      <c r="O13" s="782">
        <f t="shared" si="0"/>
        <v>65</v>
      </c>
      <c r="P13" s="782">
        <v>0</v>
      </c>
      <c r="Q13" s="782">
        <v>0</v>
      </c>
      <c r="R13" s="784">
        <v>910000</v>
      </c>
      <c r="S13" s="776" t="s">
        <v>911</v>
      </c>
      <c r="T13" s="776" t="s">
        <v>883</v>
      </c>
      <c r="U13" s="776" t="s">
        <v>883</v>
      </c>
      <c r="V13" s="776" t="s">
        <v>884</v>
      </c>
      <c r="W13" s="776" t="s">
        <v>885</v>
      </c>
      <c r="X13" s="776" t="s">
        <v>886</v>
      </c>
      <c r="Y13" s="785" t="s">
        <v>912</v>
      </c>
      <c r="Z13" s="776" t="s">
        <v>913</v>
      </c>
      <c r="AA13" s="776"/>
      <c r="AB13" s="776"/>
    </row>
    <row r="14" spans="1:28" ht="14.75">
      <c r="A14" s="776" t="s">
        <v>873</v>
      </c>
      <c r="B14" s="776">
        <v>13</v>
      </c>
      <c r="C14" s="776" t="s">
        <v>903</v>
      </c>
      <c r="D14" s="776" t="s">
        <v>947</v>
      </c>
      <c r="E14" s="777" t="s">
        <v>905</v>
      </c>
      <c r="F14" s="776" t="s">
        <v>948</v>
      </c>
      <c r="G14" s="777" t="s">
        <v>924</v>
      </c>
      <c r="H14" s="776"/>
      <c r="I14" s="777" t="s">
        <v>879</v>
      </c>
      <c r="J14" s="777" t="s">
        <v>929</v>
      </c>
      <c r="K14" s="786">
        <v>7000</v>
      </c>
      <c r="L14" s="777" t="s">
        <v>949</v>
      </c>
      <c r="M14" s="782">
        <v>612500</v>
      </c>
      <c r="N14" s="783">
        <f t="shared" si="1"/>
        <v>3.984570649534197E-3</v>
      </c>
      <c r="O14" s="782">
        <f t="shared" si="0"/>
        <v>87.5</v>
      </c>
      <c r="P14" s="782">
        <v>0</v>
      </c>
      <c r="Q14" s="782">
        <v>0</v>
      </c>
      <c r="R14" s="782">
        <v>612500</v>
      </c>
      <c r="S14" s="776" t="s">
        <v>894</v>
      </c>
      <c r="T14" s="776" t="s">
        <v>883</v>
      </c>
      <c r="U14" s="776" t="s">
        <v>883</v>
      </c>
      <c r="V14" s="776" t="s">
        <v>884</v>
      </c>
      <c r="W14" s="776" t="s">
        <v>885</v>
      </c>
      <c r="X14" s="776" t="s">
        <v>886</v>
      </c>
      <c r="Y14" s="785" t="s">
        <v>887</v>
      </c>
      <c r="Z14" s="776" t="s">
        <v>918</v>
      </c>
      <c r="AA14" s="776"/>
      <c r="AB14" s="776"/>
    </row>
    <row r="15" spans="1:28" ht="14.75">
      <c r="A15" s="776" t="s">
        <v>873</v>
      </c>
      <c r="B15" s="776">
        <v>14</v>
      </c>
      <c r="C15" s="776" t="s">
        <v>903</v>
      </c>
      <c r="D15" s="776" t="s">
        <v>950</v>
      </c>
      <c r="E15" s="777" t="s">
        <v>905</v>
      </c>
      <c r="F15" s="776" t="s">
        <v>951</v>
      </c>
      <c r="G15" s="777" t="s">
        <v>924</v>
      </c>
      <c r="H15" s="776"/>
      <c r="I15" s="777" t="s">
        <v>879</v>
      </c>
      <c r="J15" s="777" t="s">
        <v>929</v>
      </c>
      <c r="K15" s="786">
        <v>7000</v>
      </c>
      <c r="L15" s="777" t="s">
        <v>949</v>
      </c>
      <c r="M15" s="784">
        <v>612500</v>
      </c>
      <c r="N15" s="787">
        <f t="shared" si="1"/>
        <v>3.984570649534197E-3</v>
      </c>
      <c r="O15" s="782">
        <f t="shared" si="0"/>
        <v>87.5</v>
      </c>
      <c r="P15" s="782">
        <v>0</v>
      </c>
      <c r="Q15" s="782">
        <v>0</v>
      </c>
      <c r="R15" s="784">
        <v>612500</v>
      </c>
      <c r="S15" s="776" t="s">
        <v>894</v>
      </c>
      <c r="T15" s="776" t="s">
        <v>883</v>
      </c>
      <c r="U15" s="776" t="s">
        <v>883</v>
      </c>
      <c r="V15" s="776" t="s">
        <v>884</v>
      </c>
      <c r="W15" s="776" t="s">
        <v>885</v>
      </c>
      <c r="X15" s="776" t="s">
        <v>886</v>
      </c>
      <c r="Y15" s="785" t="s">
        <v>887</v>
      </c>
      <c r="Z15" s="776" t="s">
        <v>918</v>
      </c>
      <c r="AA15" s="776"/>
      <c r="AB15" s="776"/>
    </row>
    <row r="16" spans="1:28" ht="14.75">
      <c r="A16" s="776" t="s">
        <v>873</v>
      </c>
      <c r="B16" s="776">
        <v>15</v>
      </c>
      <c r="C16" s="776" t="s">
        <v>874</v>
      </c>
      <c r="D16" s="776" t="s">
        <v>952</v>
      </c>
      <c r="E16" s="777" t="s">
        <v>905</v>
      </c>
      <c r="F16" s="776" t="s">
        <v>953</v>
      </c>
      <c r="G16" s="777" t="s">
        <v>939</v>
      </c>
      <c r="H16" s="776"/>
      <c r="I16" s="777" t="s">
        <v>879</v>
      </c>
      <c r="J16" s="777" t="s">
        <v>954</v>
      </c>
      <c r="K16" s="780">
        <v>17550</v>
      </c>
      <c r="L16" s="781" t="s">
        <v>955</v>
      </c>
      <c r="M16" s="784">
        <v>3948750</v>
      </c>
      <c r="N16" s="787">
        <f t="shared" si="1"/>
        <v>2.5688283024241892E-2</v>
      </c>
      <c r="O16" s="782">
        <f t="shared" si="0"/>
        <v>225</v>
      </c>
      <c r="P16" s="782">
        <v>0</v>
      </c>
      <c r="Q16" s="782">
        <v>14508</v>
      </c>
      <c r="R16" s="784">
        <v>3963258</v>
      </c>
      <c r="S16" s="776" t="s">
        <v>894</v>
      </c>
      <c r="T16" s="776" t="s">
        <v>883</v>
      </c>
      <c r="U16" s="776" t="s">
        <v>883</v>
      </c>
      <c r="V16" s="776" t="s">
        <v>884</v>
      </c>
      <c r="W16" s="776" t="s">
        <v>885</v>
      </c>
      <c r="X16" s="776" t="s">
        <v>886</v>
      </c>
      <c r="Y16" s="785" t="s">
        <v>887</v>
      </c>
      <c r="Z16" s="776" t="s">
        <v>943</v>
      </c>
      <c r="AA16" s="776"/>
      <c r="AB16" s="776"/>
    </row>
    <row r="17" spans="1:28" ht="14.75">
      <c r="A17" s="776" t="s">
        <v>873</v>
      </c>
      <c r="B17" s="776">
        <v>16</v>
      </c>
      <c r="C17" s="776" t="s">
        <v>903</v>
      </c>
      <c r="D17" s="776" t="s">
        <v>956</v>
      </c>
      <c r="E17" s="777" t="s">
        <v>957</v>
      </c>
      <c r="F17" s="776" t="s">
        <v>958</v>
      </c>
      <c r="G17" s="777" t="s">
        <v>924</v>
      </c>
      <c r="H17" s="776"/>
      <c r="I17" s="777" t="s">
        <v>908</v>
      </c>
      <c r="J17" s="777" t="s">
        <v>909</v>
      </c>
      <c r="K17" s="786">
        <v>52250</v>
      </c>
      <c r="L17" s="777" t="s">
        <v>959</v>
      </c>
      <c r="M17" s="782">
        <v>5773625</v>
      </c>
      <c r="N17" s="783">
        <f t="shared" si="1"/>
        <v>3.7559864026803065E-2</v>
      </c>
      <c r="O17" s="782">
        <f t="shared" si="0"/>
        <v>110.5</v>
      </c>
      <c r="P17" s="782">
        <v>1702182</v>
      </c>
      <c r="Q17" s="782">
        <v>706239</v>
      </c>
      <c r="R17" s="782">
        <v>8182046</v>
      </c>
      <c r="S17" s="776" t="s">
        <v>911</v>
      </c>
      <c r="T17" s="776" t="s">
        <v>883</v>
      </c>
      <c r="U17" s="776" t="s">
        <v>883</v>
      </c>
      <c r="V17" s="776" t="s">
        <v>884</v>
      </c>
      <c r="W17" s="776" t="s">
        <v>885</v>
      </c>
      <c r="X17" s="776" t="s">
        <v>886</v>
      </c>
      <c r="Y17" s="785" t="s">
        <v>912</v>
      </c>
      <c r="Z17" s="776" t="s">
        <v>913</v>
      </c>
      <c r="AA17" s="776"/>
      <c r="AB17" s="776"/>
    </row>
    <row r="18" spans="1:28" ht="14.75">
      <c r="A18" s="776" t="s">
        <v>873</v>
      </c>
      <c r="B18" s="776">
        <v>17</v>
      </c>
      <c r="C18" s="776" t="s">
        <v>903</v>
      </c>
      <c r="D18" s="788" t="s">
        <v>960</v>
      </c>
      <c r="E18" s="777" t="s">
        <v>905</v>
      </c>
      <c r="F18" s="776" t="s">
        <v>961</v>
      </c>
      <c r="G18" s="777" t="s">
        <v>924</v>
      </c>
      <c r="H18" s="776"/>
      <c r="I18" s="777" t="s">
        <v>908</v>
      </c>
      <c r="J18" s="777" t="s">
        <v>909</v>
      </c>
      <c r="K18" s="786">
        <v>14000</v>
      </c>
      <c r="L18" s="777" t="s">
        <v>946</v>
      </c>
      <c r="M18" s="782">
        <v>1820000</v>
      </c>
      <c r="N18" s="783">
        <f t="shared" si="1"/>
        <v>1.1839867072901614E-2</v>
      </c>
      <c r="O18" s="782">
        <f t="shared" si="0"/>
        <v>130</v>
      </c>
      <c r="P18" s="782">
        <v>21129</v>
      </c>
      <c r="Q18" s="782">
        <v>2888</v>
      </c>
      <c r="R18" s="782">
        <v>1844017</v>
      </c>
      <c r="S18" s="776" t="s">
        <v>911</v>
      </c>
      <c r="T18" s="776" t="s">
        <v>883</v>
      </c>
      <c r="U18" s="776" t="s">
        <v>883</v>
      </c>
      <c r="V18" s="776" t="s">
        <v>884</v>
      </c>
      <c r="W18" s="776" t="s">
        <v>885</v>
      </c>
      <c r="X18" s="776" t="s">
        <v>886</v>
      </c>
      <c r="Y18" s="785" t="s">
        <v>912</v>
      </c>
      <c r="Z18" s="776" t="s">
        <v>913</v>
      </c>
      <c r="AA18" s="776"/>
      <c r="AB18" s="776"/>
    </row>
    <row r="19" spans="1:28" ht="14.75">
      <c r="A19" s="776" t="s">
        <v>873</v>
      </c>
      <c r="B19" s="776">
        <v>18</v>
      </c>
      <c r="C19" s="776" t="s">
        <v>903</v>
      </c>
      <c r="D19" s="776" t="s">
        <v>962</v>
      </c>
      <c r="E19" s="777" t="s">
        <v>905</v>
      </c>
      <c r="F19" s="776" t="s">
        <v>963</v>
      </c>
      <c r="G19" s="777" t="s">
        <v>924</v>
      </c>
      <c r="H19" s="776"/>
      <c r="I19" s="777" t="s">
        <v>908</v>
      </c>
      <c r="J19" s="777" t="s">
        <v>929</v>
      </c>
      <c r="K19" s="786">
        <v>7000</v>
      </c>
      <c r="L19" s="777" t="s">
        <v>949</v>
      </c>
      <c r="M19" s="782">
        <v>910000</v>
      </c>
      <c r="N19" s="783">
        <f t="shared" si="1"/>
        <v>5.919933536450807E-3</v>
      </c>
      <c r="O19" s="782">
        <f t="shared" si="0"/>
        <v>130</v>
      </c>
      <c r="P19" s="782">
        <v>0</v>
      </c>
      <c r="Q19" s="782">
        <v>0</v>
      </c>
      <c r="R19" s="782">
        <v>910000</v>
      </c>
      <c r="S19" s="776" t="s">
        <v>911</v>
      </c>
      <c r="T19" s="776" t="s">
        <v>883</v>
      </c>
      <c r="U19" s="776" t="s">
        <v>883</v>
      </c>
      <c r="V19" s="776" t="s">
        <v>884</v>
      </c>
      <c r="W19" s="776" t="s">
        <v>885</v>
      </c>
      <c r="X19" s="776" t="s">
        <v>886</v>
      </c>
      <c r="Y19" s="785" t="s">
        <v>912</v>
      </c>
      <c r="Z19" s="776" t="s">
        <v>913</v>
      </c>
      <c r="AA19" s="776"/>
      <c r="AB19" s="776"/>
    </row>
    <row r="20" spans="1:28" ht="14.75">
      <c r="A20" s="776" t="s">
        <v>873</v>
      </c>
      <c r="B20" s="776">
        <v>19</v>
      </c>
      <c r="C20" s="776" t="s">
        <v>903</v>
      </c>
      <c r="D20" s="776" t="s">
        <v>964</v>
      </c>
      <c r="E20" s="777" t="s">
        <v>905</v>
      </c>
      <c r="F20" s="776" t="s">
        <v>965</v>
      </c>
      <c r="G20" s="777" t="s">
        <v>924</v>
      </c>
      <c r="H20" s="776"/>
      <c r="I20" s="777" t="s">
        <v>908</v>
      </c>
      <c r="J20" s="777" t="s">
        <v>966</v>
      </c>
      <c r="K20" s="786">
        <v>7000</v>
      </c>
      <c r="L20" s="777" t="s">
        <v>949</v>
      </c>
      <c r="M20" s="782">
        <v>910000</v>
      </c>
      <c r="N20" s="783">
        <f t="shared" si="1"/>
        <v>5.919933536450807E-3</v>
      </c>
      <c r="O20" s="782">
        <f t="shared" si="0"/>
        <v>130</v>
      </c>
      <c r="P20" s="782">
        <v>1000</v>
      </c>
      <c r="Q20" s="782">
        <v>0</v>
      </c>
      <c r="R20" s="782">
        <v>911000</v>
      </c>
      <c r="S20" s="776" t="s">
        <v>911</v>
      </c>
      <c r="T20" s="776" t="s">
        <v>883</v>
      </c>
      <c r="U20" s="776" t="s">
        <v>883</v>
      </c>
      <c r="V20" s="776" t="s">
        <v>884</v>
      </c>
      <c r="W20" s="776" t="s">
        <v>885</v>
      </c>
      <c r="X20" s="776" t="s">
        <v>886</v>
      </c>
      <c r="Y20" s="785" t="s">
        <v>912</v>
      </c>
      <c r="Z20" s="776" t="s">
        <v>967</v>
      </c>
      <c r="AA20" s="776"/>
      <c r="AB20" s="776"/>
    </row>
    <row r="21" spans="1:28" ht="15.75" customHeight="1">
      <c r="A21" s="776" t="s">
        <v>873</v>
      </c>
      <c r="B21" s="776">
        <v>20</v>
      </c>
      <c r="C21" s="776" t="s">
        <v>903</v>
      </c>
      <c r="D21" s="776" t="s">
        <v>968</v>
      </c>
      <c r="E21" s="777" t="s">
        <v>905</v>
      </c>
      <c r="F21" s="776" t="s">
        <v>969</v>
      </c>
      <c r="G21" s="777" t="s">
        <v>924</v>
      </c>
      <c r="H21" s="776"/>
      <c r="I21" s="777" t="s">
        <v>879</v>
      </c>
      <c r="J21" s="777" t="s">
        <v>970</v>
      </c>
      <c r="K21" s="786">
        <v>7000</v>
      </c>
      <c r="L21" s="777" t="s">
        <v>949</v>
      </c>
      <c r="M21" s="782">
        <v>1225000</v>
      </c>
      <c r="N21" s="783">
        <f t="shared" si="1"/>
        <v>7.9691412990683941E-3</v>
      </c>
      <c r="O21" s="782">
        <f t="shared" si="0"/>
        <v>175</v>
      </c>
      <c r="P21" s="782">
        <v>18403</v>
      </c>
      <c r="Q21" s="782">
        <v>0</v>
      </c>
      <c r="R21" s="782">
        <v>1243403</v>
      </c>
      <c r="S21" s="776" t="s">
        <v>894</v>
      </c>
      <c r="T21" s="776" t="s">
        <v>883</v>
      </c>
      <c r="U21" s="776" t="s">
        <v>883</v>
      </c>
      <c r="V21" s="776" t="s">
        <v>884</v>
      </c>
      <c r="W21" s="776" t="s">
        <v>885</v>
      </c>
      <c r="X21" s="776" t="s">
        <v>886</v>
      </c>
      <c r="Y21" s="785" t="s">
        <v>887</v>
      </c>
      <c r="Z21" s="776" t="s">
        <v>967</v>
      </c>
      <c r="AA21" s="776"/>
      <c r="AB21" s="776"/>
    </row>
    <row r="22" spans="1:28" ht="15.75" customHeight="1">
      <c r="A22" s="776" t="s">
        <v>873</v>
      </c>
      <c r="B22" s="776">
        <v>21</v>
      </c>
      <c r="C22" s="776" t="s">
        <v>874</v>
      </c>
      <c r="D22" s="789" t="s">
        <v>971</v>
      </c>
      <c r="E22" s="790" t="s">
        <v>905</v>
      </c>
      <c r="F22" s="776" t="s">
        <v>972</v>
      </c>
      <c r="G22" s="777" t="s">
        <v>973</v>
      </c>
      <c r="H22" s="776"/>
      <c r="I22" s="777" t="s">
        <v>879</v>
      </c>
      <c r="J22" s="777" t="s">
        <v>966</v>
      </c>
      <c r="K22" s="786">
        <v>7000</v>
      </c>
      <c r="L22" s="777" t="s">
        <v>949</v>
      </c>
      <c r="M22" s="782">
        <v>1225000</v>
      </c>
      <c r="N22" s="783">
        <f t="shared" si="1"/>
        <v>7.9691412990683941E-3</v>
      </c>
      <c r="O22" s="782">
        <f t="shared" si="0"/>
        <v>175</v>
      </c>
      <c r="P22" s="782">
        <v>1000</v>
      </c>
      <c r="Q22" s="782">
        <v>0</v>
      </c>
      <c r="R22" s="782">
        <v>1226000</v>
      </c>
      <c r="S22" s="776" t="s">
        <v>894</v>
      </c>
      <c r="T22" s="776" t="s">
        <v>883</v>
      </c>
      <c r="U22" s="776" t="s">
        <v>883</v>
      </c>
      <c r="V22" s="776" t="s">
        <v>884</v>
      </c>
      <c r="W22" s="776" t="s">
        <v>885</v>
      </c>
      <c r="X22" s="776" t="s">
        <v>886</v>
      </c>
      <c r="Y22" s="785" t="s">
        <v>887</v>
      </c>
      <c r="Z22" s="776" t="s">
        <v>967</v>
      </c>
      <c r="AA22" s="776"/>
      <c r="AB22" s="776"/>
    </row>
    <row r="23" spans="1:28" ht="15.75" customHeight="1">
      <c r="A23" s="776" t="s">
        <v>873</v>
      </c>
      <c r="B23" s="776">
        <v>22</v>
      </c>
      <c r="C23" s="776" t="s">
        <v>874</v>
      </c>
      <c r="D23" s="789" t="s">
        <v>974</v>
      </c>
      <c r="E23" s="777" t="s">
        <v>905</v>
      </c>
      <c r="F23" s="776" t="s">
        <v>975</v>
      </c>
      <c r="G23" s="777" t="s">
        <v>973</v>
      </c>
      <c r="H23" s="776"/>
      <c r="I23" s="777" t="s">
        <v>879</v>
      </c>
      <c r="J23" s="777" t="s">
        <v>901</v>
      </c>
      <c r="K23" s="786">
        <v>11726</v>
      </c>
      <c r="L23" s="777" t="s">
        <v>976</v>
      </c>
      <c r="M23" s="782">
        <v>2638350</v>
      </c>
      <c r="N23" s="783">
        <f t="shared" si="1"/>
        <v>1.7163578731752734E-2</v>
      </c>
      <c r="O23" s="782">
        <f t="shared" si="0"/>
        <v>225</v>
      </c>
      <c r="P23" s="782">
        <v>277493</v>
      </c>
      <c r="Q23" s="782">
        <v>9454</v>
      </c>
      <c r="R23" s="782">
        <v>2925297</v>
      </c>
      <c r="S23" s="776" t="s">
        <v>894</v>
      </c>
      <c r="T23" s="776" t="s">
        <v>883</v>
      </c>
      <c r="U23" s="776" t="s">
        <v>883</v>
      </c>
      <c r="V23" s="776" t="s">
        <v>884</v>
      </c>
      <c r="W23" s="776" t="s">
        <v>885</v>
      </c>
      <c r="X23" s="776" t="s">
        <v>886</v>
      </c>
      <c r="Y23" s="785" t="s">
        <v>887</v>
      </c>
      <c r="Z23" s="776" t="s">
        <v>895</v>
      </c>
      <c r="AA23" s="776"/>
      <c r="AB23" s="776"/>
    </row>
    <row r="24" spans="1:28" ht="15.75" customHeight="1">
      <c r="A24" s="776" t="s">
        <v>873</v>
      </c>
      <c r="B24" s="776">
        <v>23</v>
      </c>
      <c r="C24" s="776" t="s">
        <v>874</v>
      </c>
      <c r="D24" s="789" t="s">
        <v>977</v>
      </c>
      <c r="E24" s="777" t="s">
        <v>905</v>
      </c>
      <c r="F24" s="776" t="s">
        <v>978</v>
      </c>
      <c r="G24" s="777" t="s">
        <v>973</v>
      </c>
      <c r="H24" s="776"/>
      <c r="I24" s="777" t="s">
        <v>879</v>
      </c>
      <c r="J24" s="777" t="s">
        <v>929</v>
      </c>
      <c r="K24" s="786">
        <v>5823</v>
      </c>
      <c r="L24" s="777" t="s">
        <v>979</v>
      </c>
      <c r="M24" s="782">
        <v>1455750</v>
      </c>
      <c r="N24" s="783">
        <f t="shared" si="1"/>
        <v>9.4702673029541332E-3</v>
      </c>
      <c r="O24" s="782">
        <f t="shared" si="0"/>
        <v>250</v>
      </c>
      <c r="P24" s="782">
        <v>0</v>
      </c>
      <c r="Q24" s="782">
        <v>0</v>
      </c>
      <c r="R24" s="782">
        <v>1455750</v>
      </c>
      <c r="S24" s="776" t="s">
        <v>894</v>
      </c>
      <c r="T24" s="776" t="s">
        <v>883</v>
      </c>
      <c r="U24" s="776" t="s">
        <v>883</v>
      </c>
      <c r="V24" s="776" t="s">
        <v>884</v>
      </c>
      <c r="W24" s="776" t="s">
        <v>885</v>
      </c>
      <c r="X24" s="776" t="s">
        <v>886</v>
      </c>
      <c r="Y24" s="785" t="s">
        <v>887</v>
      </c>
      <c r="Z24" s="776" t="s">
        <v>918</v>
      </c>
      <c r="AA24" s="776"/>
      <c r="AB24" s="776"/>
    </row>
    <row r="25" spans="1:28" ht="15.75" customHeight="1">
      <c r="A25" s="776" t="s">
        <v>873</v>
      </c>
      <c r="B25" s="776">
        <v>24</v>
      </c>
      <c r="C25" s="776" t="s">
        <v>903</v>
      </c>
      <c r="D25" s="776" t="s">
        <v>980</v>
      </c>
      <c r="E25" s="777" t="s">
        <v>957</v>
      </c>
      <c r="F25" s="776" t="s">
        <v>981</v>
      </c>
      <c r="G25" s="777" t="s">
        <v>924</v>
      </c>
      <c r="H25" s="776"/>
      <c r="I25" s="777" t="s">
        <v>908</v>
      </c>
      <c r="J25" s="777" t="s">
        <v>929</v>
      </c>
      <c r="K25" s="786">
        <v>6800</v>
      </c>
      <c r="L25" s="777" t="s">
        <v>982</v>
      </c>
      <c r="M25" s="782">
        <v>884000</v>
      </c>
      <c r="N25" s="783">
        <f t="shared" si="1"/>
        <v>5.7507925782664983E-3</v>
      </c>
      <c r="O25" s="782">
        <f t="shared" si="0"/>
        <v>130</v>
      </c>
      <c r="P25" s="782">
        <v>0</v>
      </c>
      <c r="Q25" s="782">
        <v>0</v>
      </c>
      <c r="R25" s="782">
        <v>884000</v>
      </c>
      <c r="S25" s="776" t="s">
        <v>911</v>
      </c>
      <c r="T25" s="776" t="s">
        <v>883</v>
      </c>
      <c r="U25" s="776" t="s">
        <v>883</v>
      </c>
      <c r="V25" s="776" t="s">
        <v>884</v>
      </c>
      <c r="W25" s="776" t="s">
        <v>885</v>
      </c>
      <c r="X25" s="776" t="s">
        <v>886</v>
      </c>
      <c r="Y25" s="785" t="s">
        <v>912</v>
      </c>
      <c r="Z25" s="776" t="s">
        <v>913</v>
      </c>
      <c r="AA25" s="776"/>
      <c r="AB25" s="776"/>
    </row>
    <row r="26" spans="1:28" ht="15.75" customHeight="1">
      <c r="A26" s="776" t="s">
        <v>873</v>
      </c>
      <c r="B26" s="776">
        <v>26</v>
      </c>
      <c r="C26" s="776" t="s">
        <v>903</v>
      </c>
      <c r="D26" s="776" t="s">
        <v>983</v>
      </c>
      <c r="E26" s="777" t="s">
        <v>957</v>
      </c>
      <c r="F26" s="776" t="s">
        <v>984</v>
      </c>
      <c r="G26" s="777" t="s">
        <v>924</v>
      </c>
      <c r="H26" s="776"/>
      <c r="I26" s="777" t="s">
        <v>908</v>
      </c>
      <c r="J26" s="777" t="s">
        <v>929</v>
      </c>
      <c r="K26" s="786">
        <v>1620</v>
      </c>
      <c r="L26" s="777" t="s">
        <v>985</v>
      </c>
      <c r="M26" s="782">
        <v>210600</v>
      </c>
      <c r="N26" s="783">
        <f t="shared" si="1"/>
        <v>1.3700417612929009E-3</v>
      </c>
      <c r="O26" s="782">
        <f t="shared" si="0"/>
        <v>130</v>
      </c>
      <c r="P26" s="782">
        <v>0</v>
      </c>
      <c r="Q26" s="782">
        <v>0</v>
      </c>
      <c r="R26" s="782">
        <v>210600</v>
      </c>
      <c r="S26" s="776" t="s">
        <v>911</v>
      </c>
      <c r="T26" s="776" t="s">
        <v>883</v>
      </c>
      <c r="U26" s="776" t="s">
        <v>883</v>
      </c>
      <c r="V26" s="776" t="s">
        <v>884</v>
      </c>
      <c r="W26" s="776" t="s">
        <v>885</v>
      </c>
      <c r="X26" s="776" t="s">
        <v>986</v>
      </c>
      <c r="Y26" s="785" t="s">
        <v>912</v>
      </c>
      <c r="Z26" s="776" t="s">
        <v>986</v>
      </c>
      <c r="AA26" s="776"/>
      <c r="AB26" s="776"/>
    </row>
    <row r="27" spans="1:28" ht="15.75" customHeight="1">
      <c r="A27" s="776" t="s">
        <v>873</v>
      </c>
      <c r="B27" s="776">
        <v>27</v>
      </c>
      <c r="C27" s="776" t="s">
        <v>903</v>
      </c>
      <c r="D27" s="776" t="s">
        <v>987</v>
      </c>
      <c r="E27" s="777" t="s">
        <v>957</v>
      </c>
      <c r="F27" s="776" t="s">
        <v>984</v>
      </c>
      <c r="G27" s="777" t="s">
        <v>924</v>
      </c>
      <c r="H27" s="776"/>
      <c r="I27" s="777" t="s">
        <v>908</v>
      </c>
      <c r="J27" s="777" t="s">
        <v>935</v>
      </c>
      <c r="K27" s="786">
        <v>2974</v>
      </c>
      <c r="L27" s="777" t="s">
        <v>988</v>
      </c>
      <c r="M27" s="782">
        <v>386620</v>
      </c>
      <c r="N27" s="783">
        <f t="shared" si="1"/>
        <v>2.5151260482006712E-3</v>
      </c>
      <c r="O27" s="782">
        <f t="shared" si="0"/>
        <v>130</v>
      </c>
      <c r="P27" s="782">
        <v>10349</v>
      </c>
      <c r="Q27" s="782">
        <v>1055</v>
      </c>
      <c r="R27" s="782">
        <v>398024</v>
      </c>
      <c r="S27" s="776" t="s">
        <v>911</v>
      </c>
      <c r="T27" s="776" t="s">
        <v>883</v>
      </c>
      <c r="U27" s="776" t="s">
        <v>883</v>
      </c>
      <c r="V27" s="776" t="s">
        <v>986</v>
      </c>
      <c r="W27" s="776" t="s">
        <v>885</v>
      </c>
      <c r="X27" s="776" t="s">
        <v>886</v>
      </c>
      <c r="Y27" s="785" t="s">
        <v>912</v>
      </c>
      <c r="Z27" s="776" t="s">
        <v>986</v>
      </c>
      <c r="AA27" s="776"/>
      <c r="AB27" s="776"/>
    </row>
    <row r="28" spans="1:28" ht="15.75" customHeight="1">
      <c r="A28" s="776" t="s">
        <v>873</v>
      </c>
      <c r="B28" s="776">
        <v>28</v>
      </c>
      <c r="C28" s="776" t="s">
        <v>903</v>
      </c>
      <c r="D28" s="776" t="s">
        <v>989</v>
      </c>
      <c r="E28" s="777" t="s">
        <v>957</v>
      </c>
      <c r="F28" s="776" t="s">
        <v>990</v>
      </c>
      <c r="G28" s="777" t="s">
        <v>924</v>
      </c>
      <c r="H28" s="776"/>
      <c r="I28" s="777" t="s">
        <v>908</v>
      </c>
      <c r="J28" s="777" t="s">
        <v>935</v>
      </c>
      <c r="K28" s="786">
        <v>4501</v>
      </c>
      <c r="L28" s="777" t="s">
        <v>991</v>
      </c>
      <c r="M28" s="782">
        <v>585130</v>
      </c>
      <c r="N28" s="783">
        <f t="shared" si="1"/>
        <v>3.8065172639378687E-3</v>
      </c>
      <c r="O28" s="782">
        <f t="shared" si="0"/>
        <v>130</v>
      </c>
      <c r="P28" s="782">
        <v>31505</v>
      </c>
      <c r="Q28" s="782">
        <v>6408</v>
      </c>
      <c r="R28" s="782">
        <v>623043</v>
      </c>
      <c r="S28" s="776" t="s">
        <v>911</v>
      </c>
      <c r="T28" s="776" t="s">
        <v>883</v>
      </c>
      <c r="U28" s="776" t="s">
        <v>883</v>
      </c>
      <c r="V28" s="776" t="s">
        <v>884</v>
      </c>
      <c r="W28" s="776" t="s">
        <v>885</v>
      </c>
      <c r="X28" s="776" t="s">
        <v>886</v>
      </c>
      <c r="Y28" s="785" t="s">
        <v>912</v>
      </c>
      <c r="Z28" s="776" t="s">
        <v>931</v>
      </c>
      <c r="AA28" s="776"/>
      <c r="AB28" s="776"/>
    </row>
    <row r="29" spans="1:28" ht="15.75" customHeight="1">
      <c r="A29" s="776" t="s">
        <v>873</v>
      </c>
      <c r="B29" s="776">
        <v>29</v>
      </c>
      <c r="C29" s="776" t="s">
        <v>903</v>
      </c>
      <c r="D29" s="788" t="s">
        <v>992</v>
      </c>
      <c r="E29" s="777" t="s">
        <v>957</v>
      </c>
      <c r="F29" s="776" t="s">
        <v>993</v>
      </c>
      <c r="G29" s="777" t="s">
        <v>924</v>
      </c>
      <c r="H29" s="776"/>
      <c r="I29" s="777" t="s">
        <v>879</v>
      </c>
      <c r="J29" s="777" t="s">
        <v>909</v>
      </c>
      <c r="K29" s="786">
        <v>8090</v>
      </c>
      <c r="L29" s="777" t="s">
        <v>994</v>
      </c>
      <c r="M29" s="782">
        <v>1415750</v>
      </c>
      <c r="N29" s="783">
        <f t="shared" si="1"/>
        <v>9.2100504442090437E-3</v>
      </c>
      <c r="O29" s="782">
        <f t="shared" si="0"/>
        <v>175</v>
      </c>
      <c r="P29" s="782">
        <v>104853</v>
      </c>
      <c r="Q29" s="782">
        <v>40072</v>
      </c>
      <c r="R29" s="782">
        <v>1560675</v>
      </c>
      <c r="S29" s="776" t="s">
        <v>894</v>
      </c>
      <c r="T29" s="776" t="s">
        <v>883</v>
      </c>
      <c r="U29" s="776" t="s">
        <v>883</v>
      </c>
      <c r="V29" s="776" t="s">
        <v>884</v>
      </c>
      <c r="W29" s="776" t="s">
        <v>885</v>
      </c>
      <c r="X29" s="776" t="s">
        <v>886</v>
      </c>
      <c r="Y29" s="785" t="s">
        <v>883</v>
      </c>
      <c r="Z29" s="776" t="s">
        <v>986</v>
      </c>
      <c r="AA29" s="776"/>
      <c r="AB29" s="776"/>
    </row>
    <row r="30" spans="1:28" ht="15.75" customHeight="1">
      <c r="A30" s="776" t="s">
        <v>873</v>
      </c>
      <c r="B30" s="776">
        <v>30</v>
      </c>
      <c r="C30" s="776" t="s">
        <v>903</v>
      </c>
      <c r="D30" s="788" t="s">
        <v>995</v>
      </c>
      <c r="E30" s="777" t="s">
        <v>957</v>
      </c>
      <c r="F30" s="776" t="s">
        <v>996</v>
      </c>
      <c r="G30" s="777" t="s">
        <v>997</v>
      </c>
      <c r="H30" s="776"/>
      <c r="I30" s="777" t="s">
        <v>879</v>
      </c>
      <c r="J30" s="777" t="s">
        <v>966</v>
      </c>
      <c r="K30" s="786">
        <v>9930</v>
      </c>
      <c r="L30" s="777" t="s">
        <v>998</v>
      </c>
      <c r="M30" s="782">
        <v>1737750</v>
      </c>
      <c r="N30" s="783">
        <f t="shared" si="1"/>
        <v>1.1304796157107021E-2</v>
      </c>
      <c r="O30" s="782">
        <f t="shared" si="0"/>
        <v>175</v>
      </c>
      <c r="P30" s="782">
        <v>1000</v>
      </c>
      <c r="Q30" s="782">
        <v>0</v>
      </c>
      <c r="R30" s="782">
        <v>1738750</v>
      </c>
      <c r="S30" s="776" t="s">
        <v>894</v>
      </c>
      <c r="T30" s="776" t="s">
        <v>883</v>
      </c>
      <c r="U30" s="776" t="s">
        <v>883</v>
      </c>
      <c r="V30" s="776" t="s">
        <v>884</v>
      </c>
      <c r="W30" s="776" t="s">
        <v>885</v>
      </c>
      <c r="X30" s="776" t="s">
        <v>886</v>
      </c>
      <c r="Y30" s="785" t="s">
        <v>887</v>
      </c>
      <c r="Z30" s="776" t="s">
        <v>967</v>
      </c>
      <c r="AA30" s="776"/>
      <c r="AB30" s="776"/>
    </row>
    <row r="31" spans="1:28" ht="15.75" customHeight="1">
      <c r="A31" s="776" t="s">
        <v>873</v>
      </c>
      <c r="B31" s="776">
        <v>31</v>
      </c>
      <c r="C31" s="776" t="s">
        <v>874</v>
      </c>
      <c r="D31" s="789" t="s">
        <v>999</v>
      </c>
      <c r="E31" s="777" t="s">
        <v>957</v>
      </c>
      <c r="F31" s="776" t="s">
        <v>1000</v>
      </c>
      <c r="G31" s="777" t="s">
        <v>1001</v>
      </c>
      <c r="H31" s="776"/>
      <c r="I31" s="777" t="s">
        <v>879</v>
      </c>
      <c r="J31" s="777" t="s">
        <v>901</v>
      </c>
      <c r="K31" s="786">
        <v>13050</v>
      </c>
      <c r="L31" s="777" t="s">
        <v>1002</v>
      </c>
      <c r="M31" s="782">
        <v>2936250</v>
      </c>
      <c r="N31" s="783">
        <f t="shared" si="1"/>
        <v>1.9101543787256793E-2</v>
      </c>
      <c r="O31" s="782">
        <f t="shared" si="0"/>
        <v>225</v>
      </c>
      <c r="P31" s="782">
        <v>197779</v>
      </c>
      <c r="Q31" s="782">
        <v>77400</v>
      </c>
      <c r="R31" s="782">
        <v>3211429</v>
      </c>
      <c r="S31" s="776" t="s">
        <v>894</v>
      </c>
      <c r="T31" s="776" t="s">
        <v>883</v>
      </c>
      <c r="U31" s="776" t="s">
        <v>883</v>
      </c>
      <c r="V31" s="776" t="s">
        <v>884</v>
      </c>
      <c r="W31" s="776" t="s">
        <v>885</v>
      </c>
      <c r="X31" s="776" t="s">
        <v>886</v>
      </c>
      <c r="Y31" s="785" t="s">
        <v>887</v>
      </c>
      <c r="Z31" s="776" t="s">
        <v>895</v>
      </c>
      <c r="AA31" s="776"/>
      <c r="AB31" s="776"/>
    </row>
    <row r="32" spans="1:28" ht="15.75" customHeight="1">
      <c r="A32" s="776" t="s">
        <v>873</v>
      </c>
      <c r="B32" s="776">
        <v>32</v>
      </c>
      <c r="C32" s="776" t="s">
        <v>874</v>
      </c>
      <c r="D32" s="789" t="s">
        <v>1003</v>
      </c>
      <c r="E32" s="777" t="s">
        <v>957</v>
      </c>
      <c r="F32" s="776" t="s">
        <v>1004</v>
      </c>
      <c r="G32" s="777" t="s">
        <v>1005</v>
      </c>
      <c r="H32" s="776"/>
      <c r="I32" s="777" t="s">
        <v>879</v>
      </c>
      <c r="J32" s="777" t="s">
        <v>1006</v>
      </c>
      <c r="K32" s="786">
        <v>14154.4</v>
      </c>
      <c r="L32" s="777" t="s">
        <v>1007</v>
      </c>
      <c r="M32" s="782">
        <v>3184650</v>
      </c>
      <c r="N32" s="783">
        <f t="shared" si="1"/>
        <v>2.0717490480063803E-2</v>
      </c>
      <c r="O32" s="782">
        <f t="shared" si="0"/>
        <v>224.99364155315664</v>
      </c>
      <c r="P32" s="782">
        <v>0</v>
      </c>
      <c r="Q32" s="782">
        <v>0</v>
      </c>
      <c r="R32" s="782">
        <v>3184650</v>
      </c>
      <c r="S32" s="776" t="s">
        <v>894</v>
      </c>
      <c r="T32" s="776" t="s">
        <v>883</v>
      </c>
      <c r="U32" s="776" t="s">
        <v>883</v>
      </c>
      <c r="V32" s="776" t="s">
        <v>884</v>
      </c>
      <c r="W32" s="776" t="s">
        <v>885</v>
      </c>
      <c r="X32" s="776" t="s">
        <v>886</v>
      </c>
      <c r="Y32" s="785" t="s">
        <v>887</v>
      </c>
      <c r="Z32" s="776" t="s">
        <v>918</v>
      </c>
      <c r="AA32" s="776"/>
      <c r="AB32" s="776"/>
    </row>
    <row r="33" spans="1:28" ht="15.75" customHeight="1">
      <c r="A33" s="776" t="s">
        <v>873</v>
      </c>
      <c r="B33" s="776" t="s">
        <v>1008</v>
      </c>
      <c r="C33" s="776" t="s">
        <v>903</v>
      </c>
      <c r="D33" s="776" t="s">
        <v>1009</v>
      </c>
      <c r="E33" s="777" t="s">
        <v>957</v>
      </c>
      <c r="F33" s="776" t="s">
        <v>1010</v>
      </c>
      <c r="G33" s="777" t="s">
        <v>924</v>
      </c>
      <c r="H33" s="776"/>
      <c r="I33" s="777" t="s">
        <v>908</v>
      </c>
      <c r="J33" s="777" t="s">
        <v>954</v>
      </c>
      <c r="K33" s="786">
        <v>5538</v>
      </c>
      <c r="L33" s="777" t="s">
        <v>1011</v>
      </c>
      <c r="M33" s="782">
        <v>719940</v>
      </c>
      <c r="N33" s="783">
        <f t="shared" si="1"/>
        <v>4.6835131321235094E-3</v>
      </c>
      <c r="O33" s="782">
        <f t="shared" si="0"/>
        <v>130</v>
      </c>
      <c r="P33" s="782">
        <v>0</v>
      </c>
      <c r="Q33" s="782">
        <v>1870</v>
      </c>
      <c r="R33" s="782">
        <v>721810</v>
      </c>
      <c r="S33" s="776" t="s">
        <v>911</v>
      </c>
      <c r="T33" s="776" t="s">
        <v>883</v>
      </c>
      <c r="U33" s="776" t="s">
        <v>883</v>
      </c>
      <c r="V33" s="776" t="s">
        <v>884</v>
      </c>
      <c r="W33" s="776" t="s">
        <v>885</v>
      </c>
      <c r="X33" s="776" t="s">
        <v>886</v>
      </c>
      <c r="Y33" s="785" t="s">
        <v>912</v>
      </c>
      <c r="Z33" s="776" t="s">
        <v>931</v>
      </c>
      <c r="AA33" s="776"/>
      <c r="AB33" s="776"/>
    </row>
    <row r="34" spans="1:28" ht="15.75" customHeight="1">
      <c r="A34" s="776" t="s">
        <v>1012</v>
      </c>
      <c r="B34" s="776">
        <v>1</v>
      </c>
      <c r="C34" s="776" t="s">
        <v>874</v>
      </c>
      <c r="D34" s="776" t="s">
        <v>1013</v>
      </c>
      <c r="E34" s="777" t="s">
        <v>876</v>
      </c>
      <c r="F34" s="776" t="s">
        <v>1014</v>
      </c>
      <c r="G34" s="777" t="s">
        <v>1015</v>
      </c>
      <c r="H34" s="776"/>
      <c r="I34" s="777" t="s">
        <v>908</v>
      </c>
      <c r="J34" s="777" t="s">
        <v>929</v>
      </c>
      <c r="K34" s="786">
        <v>3250</v>
      </c>
      <c r="L34" s="777" t="s">
        <v>1016</v>
      </c>
      <c r="M34" s="782">
        <v>1056250</v>
      </c>
      <c r="N34" s="783">
        <f t="shared" si="1"/>
        <v>6.8713514262375439E-3</v>
      </c>
      <c r="O34" s="782">
        <f t="shared" si="0"/>
        <v>325</v>
      </c>
      <c r="P34" s="782">
        <v>0</v>
      </c>
      <c r="Q34" s="782">
        <v>0</v>
      </c>
      <c r="R34" s="782">
        <v>1056250</v>
      </c>
      <c r="S34" s="776" t="s">
        <v>911</v>
      </c>
      <c r="T34" s="776" t="s">
        <v>883</v>
      </c>
      <c r="U34" s="776" t="s">
        <v>883</v>
      </c>
      <c r="V34" s="776" t="s">
        <v>883</v>
      </c>
      <c r="W34" s="776" t="s">
        <v>885</v>
      </c>
      <c r="X34" s="776" t="s">
        <v>886</v>
      </c>
      <c r="Y34" s="785" t="s">
        <v>883</v>
      </c>
      <c r="Z34" s="776" t="s">
        <v>1017</v>
      </c>
      <c r="AA34" s="776"/>
      <c r="AB34" s="776"/>
    </row>
    <row r="35" spans="1:28" ht="15.75" customHeight="1">
      <c r="A35" s="776" t="s">
        <v>1012</v>
      </c>
      <c r="B35" s="776">
        <v>2</v>
      </c>
      <c r="C35" s="776" t="s">
        <v>874</v>
      </c>
      <c r="D35" s="776" t="s">
        <v>1018</v>
      </c>
      <c r="E35" s="777" t="s">
        <v>876</v>
      </c>
      <c r="F35" s="776" t="s">
        <v>1019</v>
      </c>
      <c r="G35" s="777" t="s">
        <v>1015</v>
      </c>
      <c r="H35" s="776"/>
      <c r="I35" s="777" t="s">
        <v>908</v>
      </c>
      <c r="J35" s="777" t="s">
        <v>929</v>
      </c>
      <c r="K35" s="786">
        <v>3450</v>
      </c>
      <c r="L35" s="777" t="s">
        <v>1020</v>
      </c>
      <c r="M35" s="782">
        <v>1035000</v>
      </c>
      <c r="N35" s="783">
        <f t="shared" si="1"/>
        <v>6.7331112200292144E-3</v>
      </c>
      <c r="O35" s="782">
        <f t="shared" si="0"/>
        <v>300</v>
      </c>
      <c r="P35" s="782">
        <v>0</v>
      </c>
      <c r="Q35" s="782">
        <v>0</v>
      </c>
      <c r="R35" s="782">
        <v>1035000</v>
      </c>
      <c r="S35" s="776" t="s">
        <v>911</v>
      </c>
      <c r="T35" s="776" t="s">
        <v>883</v>
      </c>
      <c r="U35" s="776" t="s">
        <v>883</v>
      </c>
      <c r="V35" s="776" t="s">
        <v>883</v>
      </c>
      <c r="W35" s="776" t="s">
        <v>885</v>
      </c>
      <c r="X35" s="776" t="s">
        <v>886</v>
      </c>
      <c r="Y35" s="785" t="s">
        <v>912</v>
      </c>
      <c r="Z35" s="776" t="s">
        <v>1021</v>
      </c>
      <c r="AA35" s="776"/>
      <c r="AB35" s="776"/>
    </row>
    <row r="36" spans="1:28" ht="15.75" customHeight="1">
      <c r="A36" s="776" t="s">
        <v>1012</v>
      </c>
      <c r="B36" s="776">
        <v>3</v>
      </c>
      <c r="C36" s="776" t="s">
        <v>874</v>
      </c>
      <c r="D36" s="776" t="s">
        <v>1022</v>
      </c>
      <c r="E36" s="777" t="s">
        <v>876</v>
      </c>
      <c r="F36" s="776" t="s">
        <v>1023</v>
      </c>
      <c r="G36" s="777" t="s">
        <v>1024</v>
      </c>
      <c r="H36" s="776"/>
      <c r="I36" s="777" t="s">
        <v>908</v>
      </c>
      <c r="J36" s="777" t="s">
        <v>1025</v>
      </c>
      <c r="K36" s="786">
        <v>6900</v>
      </c>
      <c r="L36" s="777" t="s">
        <v>1026</v>
      </c>
      <c r="M36" s="782">
        <v>2070000</v>
      </c>
      <c r="N36" s="783">
        <f t="shared" si="1"/>
        <v>1.3466222440058429E-2</v>
      </c>
      <c r="O36" s="782">
        <f t="shared" si="0"/>
        <v>300</v>
      </c>
      <c r="P36" s="782">
        <v>0</v>
      </c>
      <c r="Q36" s="782">
        <v>0</v>
      </c>
      <c r="R36" s="782">
        <v>2070000</v>
      </c>
      <c r="S36" s="776" t="s">
        <v>911</v>
      </c>
      <c r="T36" s="776" t="s">
        <v>883</v>
      </c>
      <c r="U36" s="776" t="s">
        <v>883</v>
      </c>
      <c r="V36" s="776" t="s">
        <v>883</v>
      </c>
      <c r="W36" s="776" t="s">
        <v>986</v>
      </c>
      <c r="X36" s="776" t="s">
        <v>886</v>
      </c>
      <c r="Y36" s="785" t="s">
        <v>912</v>
      </c>
      <c r="Z36" s="776" t="s">
        <v>1027</v>
      </c>
      <c r="AA36" s="776"/>
      <c r="AB36" s="776"/>
    </row>
    <row r="37" spans="1:28" ht="15.75" customHeight="1">
      <c r="A37" s="776" t="s">
        <v>1012</v>
      </c>
      <c r="B37" s="776">
        <v>4</v>
      </c>
      <c r="C37" s="776" t="s">
        <v>903</v>
      </c>
      <c r="D37" s="776" t="s">
        <v>1028</v>
      </c>
      <c r="E37" s="777" t="s">
        <v>876</v>
      </c>
      <c r="F37" s="776" t="s">
        <v>1029</v>
      </c>
      <c r="G37" s="777" t="s">
        <v>1030</v>
      </c>
      <c r="H37" s="776"/>
      <c r="I37" s="777" t="s">
        <v>908</v>
      </c>
      <c r="J37" s="777" t="s">
        <v>1031</v>
      </c>
      <c r="K37" s="786">
        <v>6900</v>
      </c>
      <c r="L37" s="777" t="s">
        <v>1026</v>
      </c>
      <c r="M37" s="782">
        <v>2070000</v>
      </c>
      <c r="N37" s="783">
        <f t="shared" si="1"/>
        <v>1.3466222440058429E-2</v>
      </c>
      <c r="O37" s="782">
        <f t="shared" si="0"/>
        <v>300</v>
      </c>
      <c r="P37" s="782">
        <v>116411</v>
      </c>
      <c r="Q37" s="782">
        <v>2202</v>
      </c>
      <c r="R37" s="782">
        <v>2188613</v>
      </c>
      <c r="S37" s="776" t="s">
        <v>911</v>
      </c>
      <c r="T37" s="776" t="s">
        <v>883</v>
      </c>
      <c r="U37" s="776" t="s">
        <v>883</v>
      </c>
      <c r="V37" s="776" t="s">
        <v>883</v>
      </c>
      <c r="W37" s="776" t="s">
        <v>885</v>
      </c>
      <c r="X37" s="776" t="s">
        <v>886</v>
      </c>
      <c r="Y37" s="785" t="s">
        <v>912</v>
      </c>
      <c r="Z37" s="776" t="s">
        <v>895</v>
      </c>
      <c r="AA37" s="776"/>
      <c r="AB37" s="776"/>
    </row>
    <row r="38" spans="1:28" ht="15.75" customHeight="1">
      <c r="A38" s="776" t="s">
        <v>1012</v>
      </c>
      <c r="B38" s="776">
        <v>5</v>
      </c>
      <c r="C38" s="776" t="s">
        <v>903</v>
      </c>
      <c r="D38" s="776" t="s">
        <v>1032</v>
      </c>
      <c r="E38" s="777" t="s">
        <v>876</v>
      </c>
      <c r="F38" s="776" t="s">
        <v>1033</v>
      </c>
      <c r="G38" s="777" t="s">
        <v>1030</v>
      </c>
      <c r="H38" s="776"/>
      <c r="I38" s="777" t="s">
        <v>908</v>
      </c>
      <c r="J38" s="777" t="s">
        <v>1034</v>
      </c>
      <c r="K38" s="786">
        <v>13800</v>
      </c>
      <c r="L38" s="777" t="s">
        <v>1035</v>
      </c>
      <c r="M38" s="782">
        <v>4140000</v>
      </c>
      <c r="N38" s="783">
        <f t="shared" si="1"/>
        <v>2.6932444880116858E-2</v>
      </c>
      <c r="O38" s="782">
        <f t="shared" si="0"/>
        <v>300</v>
      </c>
      <c r="P38" s="782">
        <v>0</v>
      </c>
      <c r="Q38" s="782">
        <v>2975</v>
      </c>
      <c r="R38" s="782">
        <v>4142975</v>
      </c>
      <c r="S38" s="776" t="s">
        <v>911</v>
      </c>
      <c r="T38" s="776" t="s">
        <v>883</v>
      </c>
      <c r="U38" s="776" t="s">
        <v>883</v>
      </c>
      <c r="V38" s="776" t="s">
        <v>883</v>
      </c>
      <c r="W38" s="776" t="s">
        <v>885</v>
      </c>
      <c r="X38" s="776" t="s">
        <v>886</v>
      </c>
      <c r="Y38" s="785" t="s">
        <v>912</v>
      </c>
      <c r="Z38" s="776" t="s">
        <v>1036</v>
      </c>
      <c r="AA38" s="776"/>
      <c r="AB38" s="776"/>
    </row>
    <row r="39" spans="1:28" ht="15.75" customHeight="1">
      <c r="A39" s="776" t="s">
        <v>1012</v>
      </c>
      <c r="B39" s="776">
        <v>6</v>
      </c>
      <c r="C39" s="776" t="s">
        <v>903</v>
      </c>
      <c r="D39" s="776" t="s">
        <v>1037</v>
      </c>
      <c r="E39" s="777" t="s">
        <v>876</v>
      </c>
      <c r="F39" s="776" t="s">
        <v>1038</v>
      </c>
      <c r="G39" s="777" t="s">
        <v>1039</v>
      </c>
      <c r="H39" s="776"/>
      <c r="I39" s="777" t="s">
        <v>908</v>
      </c>
      <c r="J39" s="777" t="s">
        <v>929</v>
      </c>
      <c r="K39" s="786">
        <v>6900</v>
      </c>
      <c r="L39" s="777" t="s">
        <v>1026</v>
      </c>
      <c r="M39" s="791">
        <v>2070000</v>
      </c>
      <c r="N39" s="792">
        <f t="shared" si="1"/>
        <v>1.3466222440058429E-2</v>
      </c>
      <c r="O39" s="782">
        <f t="shared" si="0"/>
        <v>300</v>
      </c>
      <c r="P39" s="793">
        <v>0</v>
      </c>
      <c r="Q39" s="785">
        <v>0</v>
      </c>
      <c r="R39" s="791">
        <v>2070000</v>
      </c>
      <c r="S39" s="776" t="s">
        <v>911</v>
      </c>
      <c r="T39" s="776" t="s">
        <v>883</v>
      </c>
      <c r="U39" s="776" t="s">
        <v>883</v>
      </c>
      <c r="V39" s="776" t="s">
        <v>883</v>
      </c>
      <c r="W39" s="776" t="s">
        <v>885</v>
      </c>
      <c r="X39" s="776" t="s">
        <v>886</v>
      </c>
      <c r="Y39" s="785" t="s">
        <v>1040</v>
      </c>
      <c r="Z39" s="776" t="s">
        <v>1041</v>
      </c>
      <c r="AA39" s="776"/>
      <c r="AB39" s="776"/>
    </row>
    <row r="40" spans="1:28" ht="15.75" customHeight="1">
      <c r="A40" s="776" t="s">
        <v>1012</v>
      </c>
      <c r="B40" s="776">
        <v>7</v>
      </c>
      <c r="C40" s="776" t="s">
        <v>903</v>
      </c>
      <c r="D40" s="776" t="s">
        <v>1042</v>
      </c>
      <c r="E40" s="777" t="s">
        <v>876</v>
      </c>
      <c r="F40" s="776" t="s">
        <v>1043</v>
      </c>
      <c r="G40" s="777" t="s">
        <v>1030</v>
      </c>
      <c r="H40" s="776"/>
      <c r="I40" s="777" t="s">
        <v>908</v>
      </c>
      <c r="J40" s="777" t="s">
        <v>909</v>
      </c>
      <c r="K40" s="786">
        <v>13800</v>
      </c>
      <c r="L40" s="777" t="s">
        <v>1035</v>
      </c>
      <c r="M40" s="782">
        <v>4140000</v>
      </c>
      <c r="N40" s="783">
        <f t="shared" si="1"/>
        <v>2.6932444880116858E-2</v>
      </c>
      <c r="O40" s="782">
        <f t="shared" si="0"/>
        <v>300</v>
      </c>
      <c r="P40" s="782">
        <v>197950</v>
      </c>
      <c r="Q40" s="784">
        <v>9903</v>
      </c>
      <c r="R40" s="782">
        <v>4347853</v>
      </c>
      <c r="S40" s="776" t="s">
        <v>911</v>
      </c>
      <c r="T40" s="776" t="s">
        <v>883</v>
      </c>
      <c r="U40" s="776" t="s">
        <v>883</v>
      </c>
      <c r="V40" s="776" t="s">
        <v>883</v>
      </c>
      <c r="W40" s="776" t="s">
        <v>885</v>
      </c>
      <c r="X40" s="776" t="s">
        <v>886</v>
      </c>
      <c r="Y40" s="785" t="s">
        <v>912</v>
      </c>
      <c r="Z40" s="776" t="s">
        <v>913</v>
      </c>
      <c r="AA40" s="776"/>
      <c r="AB40" s="776"/>
    </row>
    <row r="41" spans="1:28" ht="15.75" customHeight="1">
      <c r="A41" s="776" t="s">
        <v>1012</v>
      </c>
      <c r="B41" s="776">
        <v>8</v>
      </c>
      <c r="C41" s="776" t="s">
        <v>903</v>
      </c>
      <c r="D41" s="776" t="s">
        <v>1044</v>
      </c>
      <c r="E41" s="777" t="s">
        <v>876</v>
      </c>
      <c r="F41" s="778" t="s">
        <v>1045</v>
      </c>
      <c r="G41" s="777" t="s">
        <v>1030</v>
      </c>
      <c r="H41" s="776"/>
      <c r="I41" s="777" t="s">
        <v>908</v>
      </c>
      <c r="J41" s="777" t="s">
        <v>909</v>
      </c>
      <c r="K41" s="786">
        <v>6900</v>
      </c>
      <c r="L41" s="777" t="s">
        <v>1026</v>
      </c>
      <c r="M41" s="782">
        <v>2070000</v>
      </c>
      <c r="N41" s="783">
        <f t="shared" si="1"/>
        <v>1.3466222440058429E-2</v>
      </c>
      <c r="O41" s="782">
        <f t="shared" si="0"/>
        <v>300</v>
      </c>
      <c r="P41" s="782">
        <v>117464</v>
      </c>
      <c r="Q41" s="782">
        <v>18982</v>
      </c>
      <c r="R41" s="784">
        <v>2206446</v>
      </c>
      <c r="S41" s="776" t="s">
        <v>911</v>
      </c>
      <c r="T41" s="776" t="s">
        <v>883</v>
      </c>
      <c r="U41" s="776" t="s">
        <v>883</v>
      </c>
      <c r="V41" s="776" t="s">
        <v>883</v>
      </c>
      <c r="W41" s="776" t="s">
        <v>885</v>
      </c>
      <c r="X41" s="776" t="s">
        <v>886</v>
      </c>
      <c r="Y41" s="785" t="s">
        <v>912</v>
      </c>
      <c r="Z41" s="776" t="s">
        <v>913</v>
      </c>
      <c r="AA41" s="776"/>
      <c r="AB41" s="776"/>
    </row>
    <row r="42" spans="1:28" ht="15.75" customHeight="1">
      <c r="A42" s="776" t="s">
        <v>1012</v>
      </c>
      <c r="B42" s="776">
        <v>9</v>
      </c>
      <c r="C42" s="776" t="s">
        <v>903</v>
      </c>
      <c r="D42" s="776" t="s">
        <v>1046</v>
      </c>
      <c r="E42" s="777" t="s">
        <v>876</v>
      </c>
      <c r="F42" s="776" t="s">
        <v>1047</v>
      </c>
      <c r="G42" s="779" t="s">
        <v>1048</v>
      </c>
      <c r="H42" s="776"/>
      <c r="I42" s="777" t="s">
        <v>908</v>
      </c>
      <c r="J42" s="777" t="s">
        <v>929</v>
      </c>
      <c r="K42" s="786">
        <v>6900</v>
      </c>
      <c r="L42" s="777" t="s">
        <v>1026</v>
      </c>
      <c r="M42" s="782">
        <v>2070000</v>
      </c>
      <c r="N42" s="783">
        <f t="shared" si="1"/>
        <v>1.3466222440058429E-2</v>
      </c>
      <c r="O42" s="782">
        <f t="shared" si="0"/>
        <v>300</v>
      </c>
      <c r="P42" s="782">
        <v>0</v>
      </c>
      <c r="Q42" s="782">
        <v>0</v>
      </c>
      <c r="R42" s="782">
        <v>2070000</v>
      </c>
      <c r="S42" s="776" t="s">
        <v>911</v>
      </c>
      <c r="T42" s="776" t="s">
        <v>883</v>
      </c>
      <c r="U42" s="776" t="s">
        <v>883</v>
      </c>
      <c r="V42" s="776" t="s">
        <v>883</v>
      </c>
      <c r="W42" s="776" t="s">
        <v>885</v>
      </c>
      <c r="X42" s="776" t="s">
        <v>886</v>
      </c>
      <c r="Y42" s="785" t="s">
        <v>912</v>
      </c>
      <c r="Z42" s="776" t="s">
        <v>1036</v>
      </c>
      <c r="AA42" s="776"/>
      <c r="AB42" s="776"/>
    </row>
    <row r="43" spans="1:28" ht="15.75" customHeight="1">
      <c r="A43" s="776" t="s">
        <v>1012</v>
      </c>
      <c r="B43" s="776">
        <v>10</v>
      </c>
      <c r="C43" s="776" t="s">
        <v>903</v>
      </c>
      <c r="D43" s="776" t="s">
        <v>1049</v>
      </c>
      <c r="E43" s="777" t="s">
        <v>876</v>
      </c>
      <c r="F43" s="778" t="s">
        <v>1050</v>
      </c>
      <c r="G43" s="777" t="s">
        <v>1051</v>
      </c>
      <c r="H43" s="776"/>
      <c r="I43" s="777" t="s">
        <v>908</v>
      </c>
      <c r="J43" s="777" t="s">
        <v>929</v>
      </c>
      <c r="K43" s="786">
        <v>24288</v>
      </c>
      <c r="L43" s="777" t="s">
        <v>1052</v>
      </c>
      <c r="M43" s="784">
        <v>6557760</v>
      </c>
      <c r="N43" s="787">
        <f t="shared" si="1"/>
        <v>4.26609926901051E-2</v>
      </c>
      <c r="O43" s="782">
        <f t="shared" si="0"/>
        <v>270</v>
      </c>
      <c r="P43" s="782">
        <v>0</v>
      </c>
      <c r="Q43" s="782">
        <v>0</v>
      </c>
      <c r="R43" s="784">
        <v>6557760</v>
      </c>
      <c r="S43" s="776" t="s">
        <v>911</v>
      </c>
      <c r="T43" s="776" t="s">
        <v>883</v>
      </c>
      <c r="U43" s="776" t="s">
        <v>883</v>
      </c>
      <c r="V43" s="776" t="s">
        <v>883</v>
      </c>
      <c r="W43" s="776" t="s">
        <v>885</v>
      </c>
      <c r="X43" s="776" t="s">
        <v>886</v>
      </c>
      <c r="Y43" s="785" t="s">
        <v>912</v>
      </c>
      <c r="Z43" s="776" t="s">
        <v>918</v>
      </c>
      <c r="AA43" s="776"/>
      <c r="AB43" s="776"/>
    </row>
    <row r="44" spans="1:28" ht="15.75" customHeight="1">
      <c r="A44" s="776" t="s">
        <v>1012</v>
      </c>
      <c r="B44" s="776">
        <v>11</v>
      </c>
      <c r="C44" s="776" t="s">
        <v>874</v>
      </c>
      <c r="D44" s="776" t="s">
        <v>1053</v>
      </c>
      <c r="E44" s="777" t="s">
        <v>876</v>
      </c>
      <c r="F44" s="776" t="s">
        <v>1054</v>
      </c>
      <c r="G44" s="777" t="s">
        <v>1015</v>
      </c>
      <c r="H44" s="776"/>
      <c r="I44" s="777" t="s">
        <v>908</v>
      </c>
      <c r="J44" s="777" t="s">
        <v>929</v>
      </c>
      <c r="K44" s="786">
        <v>7106</v>
      </c>
      <c r="L44" s="777" t="s">
        <v>1055</v>
      </c>
      <c r="M44" s="782">
        <v>2309450</v>
      </c>
      <c r="N44" s="783">
        <f t="shared" si="1"/>
        <v>1.5023945610721226E-2</v>
      </c>
      <c r="O44" s="782">
        <f t="shared" si="0"/>
        <v>325</v>
      </c>
      <c r="P44" s="782">
        <v>0</v>
      </c>
      <c r="Q44" s="782">
        <v>0</v>
      </c>
      <c r="R44" s="782">
        <v>2309450</v>
      </c>
      <c r="S44" s="776" t="s">
        <v>911</v>
      </c>
      <c r="T44" s="776" t="s">
        <v>883</v>
      </c>
      <c r="U44" s="776" t="s">
        <v>883</v>
      </c>
      <c r="V44" s="776" t="s">
        <v>883</v>
      </c>
      <c r="W44" s="776" t="s">
        <v>885</v>
      </c>
      <c r="X44" s="776" t="s">
        <v>886</v>
      </c>
      <c r="Y44" s="785" t="s">
        <v>912</v>
      </c>
      <c r="Z44" s="776" t="s">
        <v>1056</v>
      </c>
      <c r="AA44" s="776"/>
      <c r="AB44" s="776"/>
    </row>
    <row r="45" spans="1:28" ht="15.75" customHeight="1">
      <c r="A45" s="776" t="s">
        <v>1012</v>
      </c>
      <c r="B45" s="776">
        <v>12</v>
      </c>
      <c r="C45" s="776" t="s">
        <v>874</v>
      </c>
      <c r="D45" s="776" t="s">
        <v>1057</v>
      </c>
      <c r="E45" s="777" t="s">
        <v>897</v>
      </c>
      <c r="F45" s="776" t="s">
        <v>1058</v>
      </c>
      <c r="G45" s="777" t="s">
        <v>1015</v>
      </c>
      <c r="H45" s="776"/>
      <c r="I45" s="777" t="s">
        <v>908</v>
      </c>
      <c r="J45" s="777" t="s">
        <v>1059</v>
      </c>
      <c r="K45" s="786">
        <v>5250</v>
      </c>
      <c r="L45" s="777" t="s">
        <v>1060</v>
      </c>
      <c r="M45" s="782">
        <v>1706250</v>
      </c>
      <c r="N45" s="783">
        <f t="shared" si="1"/>
        <v>1.1099875380845262E-2</v>
      </c>
      <c r="O45" s="782">
        <f t="shared" si="0"/>
        <v>325</v>
      </c>
      <c r="P45" s="782">
        <v>347336</v>
      </c>
      <c r="Q45" s="782">
        <v>34141</v>
      </c>
      <c r="R45" s="782">
        <v>2087727</v>
      </c>
      <c r="S45" s="776" t="s">
        <v>911</v>
      </c>
      <c r="T45" s="776" t="s">
        <v>883</v>
      </c>
      <c r="U45" s="776" t="s">
        <v>883</v>
      </c>
      <c r="V45" s="776" t="s">
        <v>883</v>
      </c>
      <c r="W45" s="776" t="s">
        <v>885</v>
      </c>
      <c r="X45" s="776" t="s">
        <v>886</v>
      </c>
      <c r="Y45" s="785" t="s">
        <v>912</v>
      </c>
      <c r="Z45" s="776" t="s">
        <v>1056</v>
      </c>
      <c r="AA45" s="776"/>
      <c r="AB45" s="776"/>
    </row>
    <row r="46" spans="1:28" ht="15.75" customHeight="1">
      <c r="A46" s="776" t="s">
        <v>1012</v>
      </c>
      <c r="B46" s="776">
        <v>13</v>
      </c>
      <c r="C46" s="776" t="s">
        <v>874</v>
      </c>
      <c r="D46" s="776" t="s">
        <v>1061</v>
      </c>
      <c r="E46" s="777" t="s">
        <v>897</v>
      </c>
      <c r="F46" s="776" t="s">
        <v>1062</v>
      </c>
      <c r="G46" s="777" t="s">
        <v>1015</v>
      </c>
      <c r="H46" s="776"/>
      <c r="I46" s="777" t="s">
        <v>908</v>
      </c>
      <c r="J46" s="777" t="s">
        <v>1063</v>
      </c>
      <c r="K46" s="786">
        <v>5250</v>
      </c>
      <c r="L46" s="777" t="s">
        <v>1060</v>
      </c>
      <c r="M46" s="782">
        <v>1575000</v>
      </c>
      <c r="N46" s="783">
        <f t="shared" si="1"/>
        <v>1.0246038813087935E-2</v>
      </c>
      <c r="O46" s="782">
        <f t="shared" si="0"/>
        <v>300</v>
      </c>
      <c r="P46" s="782">
        <v>0</v>
      </c>
      <c r="Q46" s="782">
        <v>6810</v>
      </c>
      <c r="R46" s="782">
        <v>1581810</v>
      </c>
      <c r="S46" s="776" t="s">
        <v>911</v>
      </c>
      <c r="T46" s="776" t="s">
        <v>883</v>
      </c>
      <c r="U46" s="776" t="s">
        <v>883</v>
      </c>
      <c r="V46" s="776" t="s">
        <v>883</v>
      </c>
      <c r="W46" s="776" t="s">
        <v>885</v>
      </c>
      <c r="X46" s="776" t="s">
        <v>986</v>
      </c>
      <c r="Y46" s="785" t="s">
        <v>912</v>
      </c>
      <c r="Z46" s="776" t="s">
        <v>1056</v>
      </c>
      <c r="AA46" s="776"/>
      <c r="AB46" s="776"/>
    </row>
    <row r="47" spans="1:28" ht="15.75" customHeight="1">
      <c r="A47" s="776" t="s">
        <v>1012</v>
      </c>
      <c r="B47" s="776">
        <v>14</v>
      </c>
      <c r="C47" s="776" t="s">
        <v>874</v>
      </c>
      <c r="D47" s="776" t="s">
        <v>1064</v>
      </c>
      <c r="E47" s="777" t="s">
        <v>897</v>
      </c>
      <c r="F47" s="776" t="s">
        <v>1065</v>
      </c>
      <c r="G47" s="777" t="s">
        <v>1015</v>
      </c>
      <c r="H47" s="776"/>
      <c r="I47" s="777" t="s">
        <v>1066</v>
      </c>
      <c r="J47" s="777" t="s">
        <v>929</v>
      </c>
      <c r="K47" s="786">
        <v>825</v>
      </c>
      <c r="L47" s="777" t="s">
        <v>1067</v>
      </c>
      <c r="M47" s="782">
        <v>92812</v>
      </c>
      <c r="N47" s="783">
        <f t="shared" si="1"/>
        <v>6.0378117734623325E-4</v>
      </c>
      <c r="O47" s="782">
        <f t="shared" si="0"/>
        <v>112.49939393939394</v>
      </c>
      <c r="P47" s="782">
        <v>0</v>
      </c>
      <c r="Q47" s="782">
        <v>0</v>
      </c>
      <c r="R47" s="782">
        <v>92812</v>
      </c>
      <c r="S47" s="776" t="s">
        <v>1068</v>
      </c>
      <c r="T47" s="776" t="s">
        <v>883</v>
      </c>
      <c r="U47" s="776" t="s">
        <v>883</v>
      </c>
      <c r="V47" s="776" t="s">
        <v>883</v>
      </c>
      <c r="W47" s="776" t="s">
        <v>885</v>
      </c>
      <c r="X47" s="776" t="s">
        <v>886</v>
      </c>
      <c r="Y47" s="785" t="s">
        <v>1069</v>
      </c>
      <c r="Z47" s="776" t="s">
        <v>1027</v>
      </c>
      <c r="AA47" s="776"/>
      <c r="AB47" s="776"/>
    </row>
    <row r="48" spans="1:28" ht="15.75" customHeight="1">
      <c r="A48" s="776" t="s">
        <v>1012</v>
      </c>
      <c r="B48" s="776">
        <v>15</v>
      </c>
      <c r="C48" s="776" t="s">
        <v>874</v>
      </c>
      <c r="D48" s="776" t="s">
        <v>1070</v>
      </c>
      <c r="E48" s="777" t="s">
        <v>897</v>
      </c>
      <c r="F48" s="776" t="s">
        <v>1071</v>
      </c>
      <c r="G48" s="777" t="s">
        <v>1072</v>
      </c>
      <c r="H48" s="776"/>
      <c r="I48" s="777" t="s">
        <v>1066</v>
      </c>
      <c r="J48" s="777" t="s">
        <v>935</v>
      </c>
      <c r="K48" s="786">
        <v>1750</v>
      </c>
      <c r="L48" s="777" t="s">
        <v>936</v>
      </c>
      <c r="M48" s="782">
        <v>196875</v>
      </c>
      <c r="N48" s="783">
        <f t="shared" si="1"/>
        <v>1.2807548516359918E-3</v>
      </c>
      <c r="O48" s="782">
        <f t="shared" si="0"/>
        <v>112.5</v>
      </c>
      <c r="P48" s="782">
        <v>13227</v>
      </c>
      <c r="Q48" s="782">
        <v>560</v>
      </c>
      <c r="R48" s="782">
        <v>210662</v>
      </c>
      <c r="S48" s="776" t="s">
        <v>1068</v>
      </c>
      <c r="T48" s="776" t="s">
        <v>883</v>
      </c>
      <c r="U48" s="776" t="s">
        <v>883</v>
      </c>
      <c r="V48" s="776" t="s">
        <v>883</v>
      </c>
      <c r="W48" s="776" t="s">
        <v>885</v>
      </c>
      <c r="X48" s="776" t="s">
        <v>886</v>
      </c>
      <c r="Y48" s="785" t="s">
        <v>1069</v>
      </c>
      <c r="Z48" s="776" t="s">
        <v>931</v>
      </c>
      <c r="AA48" s="776"/>
      <c r="AB48" s="776"/>
    </row>
    <row r="49" spans="1:28" ht="15.75" customHeight="1">
      <c r="A49" s="776" t="s">
        <v>1012</v>
      </c>
      <c r="B49" s="776">
        <v>16</v>
      </c>
      <c r="C49" s="776" t="s">
        <v>874</v>
      </c>
      <c r="D49" s="776" t="s">
        <v>1073</v>
      </c>
      <c r="E49" s="777" t="s">
        <v>897</v>
      </c>
      <c r="F49" s="776" t="s">
        <v>1074</v>
      </c>
      <c r="G49" s="777" t="s">
        <v>1075</v>
      </c>
      <c r="H49" s="776"/>
      <c r="I49" s="777" t="s">
        <v>1066</v>
      </c>
      <c r="J49" s="777" t="s">
        <v>1076</v>
      </c>
      <c r="K49" s="786">
        <v>7000</v>
      </c>
      <c r="L49" s="777" t="s">
        <v>949</v>
      </c>
      <c r="M49" s="782">
        <v>1050000</v>
      </c>
      <c r="N49" s="783">
        <f t="shared" si="1"/>
        <v>6.830692542058623E-3</v>
      </c>
      <c r="O49" s="782">
        <f t="shared" si="0"/>
        <v>150</v>
      </c>
      <c r="P49" s="782">
        <v>50986</v>
      </c>
      <c r="Q49" s="782">
        <v>32354</v>
      </c>
      <c r="R49" s="782">
        <v>1133340</v>
      </c>
      <c r="S49" s="776" t="s">
        <v>1068</v>
      </c>
      <c r="T49" s="776" t="s">
        <v>883</v>
      </c>
      <c r="U49" s="776" t="s">
        <v>883</v>
      </c>
      <c r="V49" s="776" t="s">
        <v>883</v>
      </c>
      <c r="W49" s="776" t="s">
        <v>885</v>
      </c>
      <c r="X49" s="776" t="s">
        <v>886</v>
      </c>
      <c r="Y49" s="785" t="s">
        <v>1069</v>
      </c>
      <c r="Z49" s="776" t="s">
        <v>1077</v>
      </c>
      <c r="AA49" s="776"/>
      <c r="AB49" s="776"/>
    </row>
    <row r="50" spans="1:28" ht="15.75" customHeight="1">
      <c r="A50" s="776" t="s">
        <v>1012</v>
      </c>
      <c r="B50" s="776">
        <v>17</v>
      </c>
      <c r="C50" s="776" t="s">
        <v>874</v>
      </c>
      <c r="D50" s="776" t="s">
        <v>1078</v>
      </c>
      <c r="E50" s="777" t="s">
        <v>897</v>
      </c>
      <c r="F50" s="776" t="s">
        <v>1079</v>
      </c>
      <c r="G50" s="777" t="s">
        <v>1075</v>
      </c>
      <c r="H50" s="776"/>
      <c r="I50" s="777" t="s">
        <v>1066</v>
      </c>
      <c r="J50" s="777" t="s">
        <v>1080</v>
      </c>
      <c r="K50" s="780">
        <v>5250</v>
      </c>
      <c r="L50" s="781" t="s">
        <v>1060</v>
      </c>
      <c r="M50" s="784">
        <v>787500</v>
      </c>
      <c r="N50" s="787">
        <f t="shared" si="1"/>
        <v>5.1230194065439673E-3</v>
      </c>
      <c r="O50" s="782">
        <f t="shared" si="0"/>
        <v>150</v>
      </c>
      <c r="P50" s="784">
        <v>27972</v>
      </c>
      <c r="Q50" s="782">
        <v>1844</v>
      </c>
      <c r="R50" s="784">
        <v>817316</v>
      </c>
      <c r="S50" s="776" t="s">
        <v>1068</v>
      </c>
      <c r="T50" s="776" t="s">
        <v>883</v>
      </c>
      <c r="U50" s="776" t="s">
        <v>883</v>
      </c>
      <c r="V50" s="776" t="s">
        <v>883</v>
      </c>
      <c r="W50" s="776" t="s">
        <v>885</v>
      </c>
      <c r="X50" s="776" t="s">
        <v>886</v>
      </c>
      <c r="Y50" s="785" t="s">
        <v>1069</v>
      </c>
      <c r="Z50" s="776" t="s">
        <v>895</v>
      </c>
      <c r="AA50" s="776"/>
      <c r="AB50" s="776"/>
    </row>
    <row r="51" spans="1:28" ht="15.75" customHeight="1">
      <c r="A51" s="776" t="s">
        <v>1012</v>
      </c>
      <c r="B51" s="776">
        <v>18</v>
      </c>
      <c r="C51" s="776" t="s">
        <v>903</v>
      </c>
      <c r="D51" s="776" t="s">
        <v>1081</v>
      </c>
      <c r="E51" s="777" t="s">
        <v>897</v>
      </c>
      <c r="F51" s="776" t="s">
        <v>1082</v>
      </c>
      <c r="G51" s="777" t="s">
        <v>1083</v>
      </c>
      <c r="H51" s="776"/>
      <c r="I51" s="777" t="s">
        <v>1066</v>
      </c>
      <c r="J51" s="777" t="s">
        <v>929</v>
      </c>
      <c r="K51" s="780">
        <v>1750</v>
      </c>
      <c r="L51" s="781" t="s">
        <v>936</v>
      </c>
      <c r="M51" s="784">
        <v>262500</v>
      </c>
      <c r="N51" s="787">
        <f t="shared" si="1"/>
        <v>1.7076731355146558E-3</v>
      </c>
      <c r="O51" s="782">
        <f t="shared" si="0"/>
        <v>150</v>
      </c>
      <c r="P51" s="782">
        <v>0</v>
      </c>
      <c r="Q51" s="782">
        <v>0</v>
      </c>
      <c r="R51" s="784">
        <v>262500</v>
      </c>
      <c r="S51" s="776" t="s">
        <v>1068</v>
      </c>
      <c r="T51" s="776" t="s">
        <v>883</v>
      </c>
      <c r="U51" s="776" t="s">
        <v>883</v>
      </c>
      <c r="V51" s="776" t="s">
        <v>883</v>
      </c>
      <c r="W51" s="776" t="s">
        <v>885</v>
      </c>
      <c r="X51" s="776" t="s">
        <v>886</v>
      </c>
      <c r="Y51" s="785" t="s">
        <v>1069</v>
      </c>
      <c r="Z51" s="776" t="s">
        <v>918</v>
      </c>
      <c r="AA51" s="776"/>
      <c r="AB51" s="776"/>
    </row>
    <row r="52" spans="1:28" ht="15.75" customHeight="1">
      <c r="A52" s="776" t="s">
        <v>1012</v>
      </c>
      <c r="B52" s="776">
        <v>19</v>
      </c>
      <c r="C52" s="776" t="s">
        <v>903</v>
      </c>
      <c r="D52" s="776" t="s">
        <v>1084</v>
      </c>
      <c r="E52" s="777" t="s">
        <v>897</v>
      </c>
      <c r="F52" s="776" t="s">
        <v>1085</v>
      </c>
      <c r="G52" s="777" t="s">
        <v>1030</v>
      </c>
      <c r="H52" s="776"/>
      <c r="I52" s="777" t="s">
        <v>1066</v>
      </c>
      <c r="J52" s="777" t="s">
        <v>1063</v>
      </c>
      <c r="K52" s="786">
        <v>1750</v>
      </c>
      <c r="L52" s="777" t="s">
        <v>936</v>
      </c>
      <c r="M52" s="782">
        <v>262500</v>
      </c>
      <c r="N52" s="783">
        <f t="shared" si="1"/>
        <v>1.7076731355146558E-3</v>
      </c>
      <c r="O52" s="782">
        <f t="shared" si="0"/>
        <v>150</v>
      </c>
      <c r="P52" s="782">
        <v>0</v>
      </c>
      <c r="Q52" s="782">
        <v>0</v>
      </c>
      <c r="R52" s="782">
        <v>262500</v>
      </c>
      <c r="S52" s="776" t="s">
        <v>1068</v>
      </c>
      <c r="T52" s="776" t="s">
        <v>883</v>
      </c>
      <c r="U52" s="776" t="s">
        <v>883</v>
      </c>
      <c r="V52" s="776" t="s">
        <v>883</v>
      </c>
      <c r="W52" s="776" t="s">
        <v>885</v>
      </c>
      <c r="X52" s="776" t="s">
        <v>886</v>
      </c>
      <c r="Y52" s="785" t="s">
        <v>1069</v>
      </c>
      <c r="Z52" s="776" t="s">
        <v>918</v>
      </c>
      <c r="AA52" s="776"/>
      <c r="AB52" s="776"/>
    </row>
    <row r="53" spans="1:28" ht="15.75" customHeight="1">
      <c r="A53" s="776" t="s">
        <v>1012</v>
      </c>
      <c r="B53" s="776">
        <v>20</v>
      </c>
      <c r="C53" s="776" t="s">
        <v>903</v>
      </c>
      <c r="D53" s="776" t="s">
        <v>1086</v>
      </c>
      <c r="E53" s="777" t="s">
        <v>897</v>
      </c>
      <c r="F53" s="776" t="s">
        <v>1087</v>
      </c>
      <c r="G53" s="777" t="s">
        <v>1030</v>
      </c>
      <c r="H53" s="776"/>
      <c r="I53" s="777" t="s">
        <v>1066</v>
      </c>
      <c r="J53" s="777" t="s">
        <v>1063</v>
      </c>
      <c r="K53" s="780">
        <v>3500</v>
      </c>
      <c r="L53" s="781" t="s">
        <v>940</v>
      </c>
      <c r="M53" s="782">
        <v>525000</v>
      </c>
      <c r="N53" s="783">
        <f t="shared" si="1"/>
        <v>3.4153462710293115E-3</v>
      </c>
      <c r="O53" s="782">
        <f t="shared" si="0"/>
        <v>150</v>
      </c>
      <c r="P53" s="782">
        <v>0</v>
      </c>
      <c r="Q53" s="782">
        <v>0</v>
      </c>
      <c r="R53" s="782">
        <v>525000</v>
      </c>
      <c r="S53" s="776" t="s">
        <v>1068</v>
      </c>
      <c r="T53" s="776" t="s">
        <v>883</v>
      </c>
      <c r="U53" s="776" t="s">
        <v>883</v>
      </c>
      <c r="V53" s="776" t="s">
        <v>883</v>
      </c>
      <c r="W53" s="776" t="s">
        <v>885</v>
      </c>
      <c r="X53" s="776" t="s">
        <v>886</v>
      </c>
      <c r="Y53" s="785" t="s">
        <v>1069</v>
      </c>
      <c r="Z53" s="776" t="s">
        <v>918</v>
      </c>
      <c r="AA53" s="776"/>
      <c r="AB53" s="776"/>
    </row>
    <row r="54" spans="1:28" ht="15.75" customHeight="1">
      <c r="A54" s="776" t="s">
        <v>1012</v>
      </c>
      <c r="B54" s="776">
        <v>21</v>
      </c>
      <c r="C54" s="776" t="s">
        <v>903</v>
      </c>
      <c r="D54" s="776" t="s">
        <v>1088</v>
      </c>
      <c r="E54" s="777" t="s">
        <v>897</v>
      </c>
      <c r="F54" s="776" t="s">
        <v>1089</v>
      </c>
      <c r="G54" s="777" t="s">
        <v>1030</v>
      </c>
      <c r="H54" s="776"/>
      <c r="I54" s="777" t="s">
        <v>1066</v>
      </c>
      <c r="J54" s="777" t="s">
        <v>1063</v>
      </c>
      <c r="K54" s="786">
        <v>3500</v>
      </c>
      <c r="L54" s="777" t="s">
        <v>940</v>
      </c>
      <c r="M54" s="784">
        <v>525000</v>
      </c>
      <c r="N54" s="787">
        <f t="shared" si="1"/>
        <v>3.4153462710293115E-3</v>
      </c>
      <c r="O54" s="782">
        <f t="shared" si="0"/>
        <v>150</v>
      </c>
      <c r="P54" s="782">
        <v>0</v>
      </c>
      <c r="Q54" s="782">
        <v>0</v>
      </c>
      <c r="R54" s="784">
        <v>525000</v>
      </c>
      <c r="S54" s="776" t="s">
        <v>1068</v>
      </c>
      <c r="T54" s="776" t="s">
        <v>883</v>
      </c>
      <c r="U54" s="776" t="s">
        <v>883</v>
      </c>
      <c r="V54" s="776" t="s">
        <v>883</v>
      </c>
      <c r="W54" s="776" t="s">
        <v>885</v>
      </c>
      <c r="X54" s="776" t="s">
        <v>886</v>
      </c>
      <c r="Y54" s="785" t="s">
        <v>1069</v>
      </c>
      <c r="Z54" s="776" t="s">
        <v>918</v>
      </c>
      <c r="AA54" s="776"/>
      <c r="AB54" s="776"/>
    </row>
    <row r="55" spans="1:28" ht="15.75" customHeight="1">
      <c r="A55" s="776" t="s">
        <v>1012</v>
      </c>
      <c r="B55" s="776">
        <v>22</v>
      </c>
      <c r="C55" s="776" t="s">
        <v>903</v>
      </c>
      <c r="D55" s="776" t="s">
        <v>1090</v>
      </c>
      <c r="E55" s="777" t="s">
        <v>897</v>
      </c>
      <c r="F55" s="776" t="s">
        <v>1091</v>
      </c>
      <c r="G55" s="777" t="s">
        <v>1092</v>
      </c>
      <c r="H55" s="776"/>
      <c r="I55" s="777" t="s">
        <v>1066</v>
      </c>
      <c r="J55" s="777" t="s">
        <v>1063</v>
      </c>
      <c r="K55" s="786">
        <v>1750</v>
      </c>
      <c r="L55" s="777" t="s">
        <v>936</v>
      </c>
      <c r="M55" s="784">
        <v>262500</v>
      </c>
      <c r="N55" s="787">
        <f t="shared" si="1"/>
        <v>1.7076731355146558E-3</v>
      </c>
      <c r="O55" s="782">
        <f t="shared" si="0"/>
        <v>150</v>
      </c>
      <c r="P55" s="782">
        <v>0</v>
      </c>
      <c r="Q55" s="782">
        <v>0</v>
      </c>
      <c r="R55" s="784">
        <v>262500</v>
      </c>
      <c r="S55" s="776" t="s">
        <v>1068</v>
      </c>
      <c r="T55" s="776" t="s">
        <v>883</v>
      </c>
      <c r="U55" s="776" t="s">
        <v>883</v>
      </c>
      <c r="V55" s="776" t="s">
        <v>883</v>
      </c>
      <c r="W55" s="776" t="s">
        <v>885</v>
      </c>
      <c r="X55" s="776" t="s">
        <v>886</v>
      </c>
      <c r="Y55" s="785" t="s">
        <v>1069</v>
      </c>
      <c r="Z55" s="776" t="s">
        <v>1093</v>
      </c>
      <c r="AA55" s="776"/>
      <c r="AB55" s="776"/>
    </row>
    <row r="56" spans="1:28" ht="15.75" customHeight="1">
      <c r="A56" s="776" t="s">
        <v>1012</v>
      </c>
      <c r="B56" s="776">
        <v>23</v>
      </c>
      <c r="C56" s="776" t="s">
        <v>903</v>
      </c>
      <c r="D56" s="776" t="s">
        <v>1094</v>
      </c>
      <c r="E56" s="777" t="s">
        <v>897</v>
      </c>
      <c r="F56" s="776" t="s">
        <v>1095</v>
      </c>
      <c r="G56" s="777" t="s">
        <v>1092</v>
      </c>
      <c r="H56" s="776"/>
      <c r="I56" s="777" t="s">
        <v>1066</v>
      </c>
      <c r="J56" s="777" t="s">
        <v>1063</v>
      </c>
      <c r="K56" s="786">
        <v>1750</v>
      </c>
      <c r="L56" s="777" t="s">
        <v>936</v>
      </c>
      <c r="M56" s="784">
        <v>262500</v>
      </c>
      <c r="N56" s="787">
        <f t="shared" si="1"/>
        <v>1.7076731355146558E-3</v>
      </c>
      <c r="O56" s="782">
        <f t="shared" si="0"/>
        <v>150</v>
      </c>
      <c r="P56" s="782">
        <v>0</v>
      </c>
      <c r="Q56" s="782">
        <v>0</v>
      </c>
      <c r="R56" s="784">
        <v>262500</v>
      </c>
      <c r="S56" s="776" t="s">
        <v>1068</v>
      </c>
      <c r="T56" s="776" t="s">
        <v>883</v>
      </c>
      <c r="U56" s="776" t="s">
        <v>883</v>
      </c>
      <c r="V56" s="776" t="s">
        <v>883</v>
      </c>
      <c r="W56" s="776" t="s">
        <v>885</v>
      </c>
      <c r="X56" s="776" t="s">
        <v>886</v>
      </c>
      <c r="Y56" s="785" t="s">
        <v>883</v>
      </c>
      <c r="Z56" s="776" t="s">
        <v>1093</v>
      </c>
      <c r="AA56" s="776"/>
      <c r="AB56" s="776"/>
    </row>
    <row r="57" spans="1:28" ht="15.75" customHeight="1">
      <c r="A57" s="776" t="s">
        <v>1012</v>
      </c>
      <c r="B57" s="776">
        <v>24</v>
      </c>
      <c r="C57" s="776" t="s">
        <v>903</v>
      </c>
      <c r="D57" s="776" t="s">
        <v>1096</v>
      </c>
      <c r="E57" s="777" t="s">
        <v>897</v>
      </c>
      <c r="F57" s="776" t="s">
        <v>1097</v>
      </c>
      <c r="G57" s="777" t="s">
        <v>1092</v>
      </c>
      <c r="H57" s="776"/>
      <c r="I57" s="777" t="s">
        <v>1066</v>
      </c>
      <c r="J57" s="777" t="s">
        <v>1063</v>
      </c>
      <c r="K57" s="780">
        <v>3500</v>
      </c>
      <c r="L57" s="781" t="s">
        <v>940</v>
      </c>
      <c r="M57" s="784">
        <v>525000</v>
      </c>
      <c r="N57" s="787">
        <f t="shared" si="1"/>
        <v>3.4153462710293115E-3</v>
      </c>
      <c r="O57" s="782">
        <f t="shared" si="0"/>
        <v>150</v>
      </c>
      <c r="P57" s="782">
        <v>0</v>
      </c>
      <c r="Q57" s="782">
        <v>0</v>
      </c>
      <c r="R57" s="784">
        <v>525000</v>
      </c>
      <c r="S57" s="776" t="s">
        <v>1068</v>
      </c>
      <c r="T57" s="776" t="s">
        <v>883</v>
      </c>
      <c r="U57" s="776" t="s">
        <v>883</v>
      </c>
      <c r="V57" s="776" t="s">
        <v>883</v>
      </c>
      <c r="W57" s="776" t="s">
        <v>885</v>
      </c>
      <c r="X57" s="776" t="s">
        <v>886</v>
      </c>
      <c r="Y57" s="785" t="s">
        <v>1069</v>
      </c>
      <c r="Z57" s="776" t="s">
        <v>1093</v>
      </c>
      <c r="AA57" s="776"/>
      <c r="AB57" s="776"/>
    </row>
    <row r="58" spans="1:28" ht="15.75" customHeight="1">
      <c r="A58" s="776" t="s">
        <v>1012</v>
      </c>
      <c r="B58" s="776">
        <v>25</v>
      </c>
      <c r="C58" s="776" t="s">
        <v>903</v>
      </c>
      <c r="D58" s="776" t="s">
        <v>1098</v>
      </c>
      <c r="E58" s="777" t="s">
        <v>897</v>
      </c>
      <c r="F58" s="776" t="s">
        <v>1099</v>
      </c>
      <c r="G58" s="777" t="s">
        <v>1100</v>
      </c>
      <c r="H58" s="776"/>
      <c r="I58" s="777" t="s">
        <v>1066</v>
      </c>
      <c r="J58" s="777" t="s">
        <v>909</v>
      </c>
      <c r="K58" s="780">
        <v>7070</v>
      </c>
      <c r="L58" s="781" t="s">
        <v>1101</v>
      </c>
      <c r="M58" s="784">
        <v>1060500</v>
      </c>
      <c r="N58" s="787">
        <f t="shared" si="1"/>
        <v>6.8989994674792093E-3</v>
      </c>
      <c r="O58" s="782">
        <f t="shared" si="0"/>
        <v>150</v>
      </c>
      <c r="P58" s="784">
        <v>126876</v>
      </c>
      <c r="Q58" s="784">
        <v>52861</v>
      </c>
      <c r="R58" s="782">
        <v>1240237</v>
      </c>
      <c r="S58" s="776" t="s">
        <v>1068</v>
      </c>
      <c r="T58" s="776" t="s">
        <v>883</v>
      </c>
      <c r="U58" s="776" t="s">
        <v>883</v>
      </c>
      <c r="V58" s="776" t="s">
        <v>883</v>
      </c>
      <c r="W58" s="776" t="s">
        <v>885</v>
      </c>
      <c r="X58" s="776" t="s">
        <v>886</v>
      </c>
      <c r="Y58" s="785" t="s">
        <v>1069</v>
      </c>
      <c r="Z58" s="776" t="s">
        <v>913</v>
      </c>
      <c r="AA58" s="776"/>
      <c r="AB58" s="776"/>
    </row>
    <row r="59" spans="1:28" ht="15.75" customHeight="1">
      <c r="A59" s="776" t="s">
        <v>1012</v>
      </c>
      <c r="B59" s="776">
        <v>26</v>
      </c>
      <c r="C59" s="776" t="s">
        <v>874</v>
      </c>
      <c r="D59" s="776" t="s">
        <v>1102</v>
      </c>
      <c r="E59" s="777" t="s">
        <v>905</v>
      </c>
      <c r="F59" s="776" t="s">
        <v>1103</v>
      </c>
      <c r="G59" s="777" t="s">
        <v>1104</v>
      </c>
      <c r="H59" s="776"/>
      <c r="I59" s="777" t="s">
        <v>908</v>
      </c>
      <c r="J59" s="777" t="s">
        <v>1105</v>
      </c>
      <c r="K59" s="780">
        <v>24808</v>
      </c>
      <c r="L59" s="781" t="s">
        <v>1106</v>
      </c>
      <c r="M59" s="782">
        <v>8062600</v>
      </c>
      <c r="N59" s="783">
        <f t="shared" si="1"/>
        <v>5.2450611132954149E-2</v>
      </c>
      <c r="O59" s="782">
        <f t="shared" si="0"/>
        <v>325</v>
      </c>
      <c r="P59" s="782">
        <v>524760</v>
      </c>
      <c r="Q59" s="784">
        <v>504763</v>
      </c>
      <c r="R59" s="784">
        <v>9092123</v>
      </c>
      <c r="S59" s="776" t="s">
        <v>911</v>
      </c>
      <c r="T59" s="776" t="s">
        <v>883</v>
      </c>
      <c r="U59" s="776" t="s">
        <v>883</v>
      </c>
      <c r="V59" s="776" t="s">
        <v>884</v>
      </c>
      <c r="W59" s="776" t="s">
        <v>885</v>
      </c>
      <c r="X59" s="776" t="s">
        <v>886</v>
      </c>
      <c r="Y59" s="785" t="s">
        <v>912</v>
      </c>
      <c r="Z59" s="776" t="s">
        <v>895</v>
      </c>
      <c r="AA59" s="776"/>
      <c r="AB59" s="776"/>
    </row>
    <row r="60" spans="1:28" ht="15.75" customHeight="1">
      <c r="A60" s="776" t="s">
        <v>1012</v>
      </c>
      <c r="B60" s="776">
        <v>27</v>
      </c>
      <c r="C60" s="776" t="s">
        <v>874</v>
      </c>
      <c r="D60" s="776" t="s">
        <v>1107</v>
      </c>
      <c r="E60" s="777" t="s">
        <v>897</v>
      </c>
      <c r="F60" s="776" t="s">
        <v>1108</v>
      </c>
      <c r="G60" s="777" t="s">
        <v>1104</v>
      </c>
      <c r="H60" s="776"/>
      <c r="I60" s="777" t="s">
        <v>908</v>
      </c>
      <c r="J60" s="777" t="s">
        <v>929</v>
      </c>
      <c r="K60" s="786">
        <v>3500</v>
      </c>
      <c r="L60" s="777" t="s">
        <v>940</v>
      </c>
      <c r="M60" s="782">
        <v>1050000</v>
      </c>
      <c r="N60" s="783">
        <f t="shared" si="1"/>
        <v>6.830692542058623E-3</v>
      </c>
      <c r="O60" s="782">
        <f t="shared" si="0"/>
        <v>300</v>
      </c>
      <c r="P60" s="782">
        <v>0</v>
      </c>
      <c r="Q60" s="782">
        <v>0</v>
      </c>
      <c r="R60" s="782">
        <v>1050000</v>
      </c>
      <c r="S60" s="776" t="s">
        <v>911</v>
      </c>
      <c r="T60" s="776" t="s">
        <v>883</v>
      </c>
      <c r="U60" s="776" t="s">
        <v>883</v>
      </c>
      <c r="V60" s="776" t="s">
        <v>884</v>
      </c>
      <c r="W60" s="776" t="s">
        <v>885</v>
      </c>
      <c r="X60" s="776" t="s">
        <v>886</v>
      </c>
      <c r="Y60" s="785" t="s">
        <v>912</v>
      </c>
      <c r="Z60" s="776" t="s">
        <v>895</v>
      </c>
      <c r="AA60" s="776"/>
      <c r="AB60" s="776"/>
    </row>
    <row r="61" spans="1:28" ht="15.75" customHeight="1">
      <c r="A61" s="776" t="s">
        <v>1012</v>
      </c>
      <c r="B61" s="776">
        <v>28</v>
      </c>
      <c r="C61" s="776" t="s">
        <v>874</v>
      </c>
      <c r="D61" s="776" t="s">
        <v>1109</v>
      </c>
      <c r="E61" s="777" t="s">
        <v>897</v>
      </c>
      <c r="F61" s="776" t="s">
        <v>1110</v>
      </c>
      <c r="G61" s="777" t="s">
        <v>1104</v>
      </c>
      <c r="H61" s="776"/>
      <c r="I61" s="777" t="s">
        <v>1066</v>
      </c>
      <c r="J61" s="777" t="s">
        <v>1063</v>
      </c>
      <c r="K61" s="780">
        <v>3500</v>
      </c>
      <c r="L61" s="781" t="s">
        <v>940</v>
      </c>
      <c r="M61" s="784">
        <v>525000</v>
      </c>
      <c r="N61" s="787">
        <f t="shared" si="1"/>
        <v>3.4153462710293115E-3</v>
      </c>
      <c r="O61" s="782">
        <f t="shared" si="0"/>
        <v>150</v>
      </c>
      <c r="P61" s="782">
        <v>0</v>
      </c>
      <c r="Q61" s="782">
        <v>0</v>
      </c>
      <c r="R61" s="784">
        <v>525000</v>
      </c>
      <c r="S61" s="776" t="s">
        <v>1068</v>
      </c>
      <c r="T61" s="776" t="s">
        <v>883</v>
      </c>
      <c r="U61" s="776" t="s">
        <v>883</v>
      </c>
      <c r="V61" s="776" t="s">
        <v>884</v>
      </c>
      <c r="W61" s="776" t="s">
        <v>885</v>
      </c>
      <c r="X61" s="776" t="s">
        <v>886</v>
      </c>
      <c r="Y61" s="785" t="s">
        <v>1069</v>
      </c>
      <c r="Z61" s="776" t="s">
        <v>895</v>
      </c>
      <c r="AA61" s="776"/>
      <c r="AB61" s="776"/>
    </row>
    <row r="62" spans="1:28" ht="15.75" customHeight="1">
      <c r="A62" s="776" t="s">
        <v>1012</v>
      </c>
      <c r="B62" s="776">
        <v>29</v>
      </c>
      <c r="C62" s="776" t="s">
        <v>874</v>
      </c>
      <c r="D62" s="776" t="s">
        <v>1111</v>
      </c>
      <c r="E62" s="777" t="s">
        <v>897</v>
      </c>
      <c r="F62" s="778" t="s">
        <v>1112</v>
      </c>
      <c r="G62" s="777" t="s">
        <v>1113</v>
      </c>
      <c r="H62" s="776"/>
      <c r="I62" s="777" t="s">
        <v>1066</v>
      </c>
      <c r="J62" s="777" t="s">
        <v>970</v>
      </c>
      <c r="K62" s="780">
        <v>3500</v>
      </c>
      <c r="L62" s="781" t="s">
        <v>940</v>
      </c>
      <c r="M62" s="784">
        <v>393750</v>
      </c>
      <c r="N62" s="787">
        <f t="shared" si="1"/>
        <v>2.5615097032719836E-3</v>
      </c>
      <c r="O62" s="782">
        <f t="shared" si="0"/>
        <v>112.5</v>
      </c>
      <c r="P62" s="782">
        <v>77211</v>
      </c>
      <c r="Q62" s="782">
        <v>0</v>
      </c>
      <c r="R62" s="782">
        <v>470961</v>
      </c>
      <c r="S62" s="776" t="s">
        <v>1068</v>
      </c>
      <c r="T62" s="776" t="s">
        <v>883</v>
      </c>
      <c r="U62" s="776" t="s">
        <v>883</v>
      </c>
      <c r="V62" s="776" t="s">
        <v>884</v>
      </c>
      <c r="W62" s="776" t="s">
        <v>885</v>
      </c>
      <c r="X62" s="776" t="s">
        <v>886</v>
      </c>
      <c r="Y62" s="785" t="s">
        <v>1069</v>
      </c>
      <c r="Z62" s="776" t="s">
        <v>1114</v>
      </c>
      <c r="AA62" s="776"/>
      <c r="AB62" s="776"/>
    </row>
    <row r="63" spans="1:28" ht="15.75" customHeight="1">
      <c r="A63" s="776" t="s">
        <v>1012</v>
      </c>
      <c r="B63" s="776">
        <v>30</v>
      </c>
      <c r="C63" s="776" t="s">
        <v>874</v>
      </c>
      <c r="D63" s="776" t="s">
        <v>1115</v>
      </c>
      <c r="E63" s="777" t="s">
        <v>897</v>
      </c>
      <c r="F63" s="776" t="s">
        <v>1116</v>
      </c>
      <c r="G63" s="777" t="s">
        <v>1072</v>
      </c>
      <c r="H63" s="776"/>
      <c r="I63" s="777" t="s">
        <v>1066</v>
      </c>
      <c r="J63" s="777" t="s">
        <v>1117</v>
      </c>
      <c r="K63" s="786">
        <v>1750</v>
      </c>
      <c r="L63" s="777" t="s">
        <v>936</v>
      </c>
      <c r="M63" s="782">
        <v>196875</v>
      </c>
      <c r="N63" s="783">
        <f t="shared" si="1"/>
        <v>1.2807548516359918E-3</v>
      </c>
      <c r="O63" s="782">
        <f t="shared" si="0"/>
        <v>112.5</v>
      </c>
      <c r="P63" s="782">
        <v>0</v>
      </c>
      <c r="Q63" s="782">
        <v>560</v>
      </c>
      <c r="R63" s="784">
        <v>197435</v>
      </c>
      <c r="S63" s="776" t="s">
        <v>1068</v>
      </c>
      <c r="T63" s="776" t="s">
        <v>883</v>
      </c>
      <c r="U63" s="776" t="s">
        <v>883</v>
      </c>
      <c r="V63" s="776" t="s">
        <v>884</v>
      </c>
      <c r="W63" s="776" t="s">
        <v>885</v>
      </c>
      <c r="X63" s="776" t="s">
        <v>886</v>
      </c>
      <c r="Y63" s="785" t="s">
        <v>1069</v>
      </c>
      <c r="Z63" s="776" t="s">
        <v>931</v>
      </c>
      <c r="AA63" s="776"/>
      <c r="AB63" s="776"/>
    </row>
    <row r="64" spans="1:28" ht="15.75" customHeight="1">
      <c r="A64" s="776" t="s">
        <v>1012</v>
      </c>
      <c r="B64" s="776">
        <v>31</v>
      </c>
      <c r="C64" s="776" t="s">
        <v>903</v>
      </c>
      <c r="D64" s="776" t="s">
        <v>1118</v>
      </c>
      <c r="E64" s="777" t="s">
        <v>897</v>
      </c>
      <c r="F64" s="776" t="s">
        <v>1119</v>
      </c>
      <c r="G64" s="777" t="s">
        <v>1120</v>
      </c>
      <c r="H64" s="776"/>
      <c r="I64" s="777" t="s">
        <v>1066</v>
      </c>
      <c r="J64" s="777" t="s">
        <v>909</v>
      </c>
      <c r="K64" s="780">
        <v>5250</v>
      </c>
      <c r="L64" s="781" t="s">
        <v>1060</v>
      </c>
      <c r="M64" s="784">
        <v>787500</v>
      </c>
      <c r="N64" s="787">
        <f t="shared" si="1"/>
        <v>5.1230194065439673E-3</v>
      </c>
      <c r="O64" s="782">
        <f t="shared" si="0"/>
        <v>150</v>
      </c>
      <c r="P64" s="784">
        <v>42971</v>
      </c>
      <c r="Q64" s="782">
        <v>406</v>
      </c>
      <c r="R64" s="784">
        <v>830877</v>
      </c>
      <c r="S64" s="776" t="s">
        <v>1068</v>
      </c>
      <c r="T64" s="776" t="s">
        <v>883</v>
      </c>
      <c r="U64" s="776" t="s">
        <v>883</v>
      </c>
      <c r="V64" s="776" t="s">
        <v>884</v>
      </c>
      <c r="W64" s="776" t="s">
        <v>885</v>
      </c>
      <c r="X64" s="776" t="s">
        <v>886</v>
      </c>
      <c r="Y64" s="785" t="s">
        <v>1069</v>
      </c>
      <c r="Z64" s="776" t="s">
        <v>913</v>
      </c>
      <c r="AA64" s="776"/>
      <c r="AB64" s="776"/>
    </row>
    <row r="65" spans="1:28" ht="15.75" customHeight="1">
      <c r="A65" s="776" t="s">
        <v>1012</v>
      </c>
      <c r="B65" s="776">
        <v>32</v>
      </c>
      <c r="C65" s="776" t="s">
        <v>903</v>
      </c>
      <c r="D65" s="776" t="s">
        <v>1121</v>
      </c>
      <c r="E65" s="777" t="s">
        <v>897</v>
      </c>
      <c r="F65" s="776" t="s">
        <v>1122</v>
      </c>
      <c r="G65" s="777" t="s">
        <v>1120</v>
      </c>
      <c r="H65" s="776"/>
      <c r="I65" s="777" t="s">
        <v>1066</v>
      </c>
      <c r="J65" s="777" t="s">
        <v>1063</v>
      </c>
      <c r="K65" s="786">
        <v>1750</v>
      </c>
      <c r="L65" s="777" t="s">
        <v>936</v>
      </c>
      <c r="M65" s="784">
        <v>262500</v>
      </c>
      <c r="N65" s="787">
        <f t="shared" si="1"/>
        <v>1.7076731355146558E-3</v>
      </c>
      <c r="O65" s="782">
        <f t="shared" si="0"/>
        <v>150</v>
      </c>
      <c r="P65" s="782">
        <v>0</v>
      </c>
      <c r="Q65" s="782">
        <v>0</v>
      </c>
      <c r="R65" s="784">
        <v>262500</v>
      </c>
      <c r="S65" s="776" t="s">
        <v>1068</v>
      </c>
      <c r="T65" s="776" t="s">
        <v>883</v>
      </c>
      <c r="U65" s="776" t="s">
        <v>883</v>
      </c>
      <c r="V65" s="776" t="s">
        <v>884</v>
      </c>
      <c r="W65" s="776" t="s">
        <v>885</v>
      </c>
      <c r="X65" s="776" t="s">
        <v>886</v>
      </c>
      <c r="Y65" s="785" t="s">
        <v>1069</v>
      </c>
      <c r="Z65" s="776" t="s">
        <v>895</v>
      </c>
      <c r="AA65" s="776"/>
      <c r="AB65" s="776"/>
    </row>
    <row r="66" spans="1:28" ht="15.75" customHeight="1">
      <c r="A66" s="776" t="s">
        <v>1012</v>
      </c>
      <c r="B66" s="776">
        <v>33</v>
      </c>
      <c r="C66" s="776" t="s">
        <v>903</v>
      </c>
      <c r="D66" s="776" t="s">
        <v>1123</v>
      </c>
      <c r="E66" s="777" t="s">
        <v>897</v>
      </c>
      <c r="F66" s="776" t="s">
        <v>1124</v>
      </c>
      <c r="G66" s="777" t="s">
        <v>1120</v>
      </c>
      <c r="H66" s="776"/>
      <c r="I66" s="777" t="s">
        <v>1066</v>
      </c>
      <c r="J66" s="777" t="s">
        <v>1034</v>
      </c>
      <c r="K66" s="780">
        <v>1750</v>
      </c>
      <c r="L66" s="781" t="s">
        <v>936</v>
      </c>
      <c r="M66" s="784">
        <v>262500</v>
      </c>
      <c r="N66" s="787">
        <f t="shared" si="1"/>
        <v>1.7076731355146558E-3</v>
      </c>
      <c r="O66" s="782">
        <f t="shared" si="0"/>
        <v>150</v>
      </c>
      <c r="P66" s="782">
        <v>0</v>
      </c>
      <c r="Q66" s="782">
        <v>1582</v>
      </c>
      <c r="R66" s="784">
        <v>264082</v>
      </c>
      <c r="S66" s="776" t="s">
        <v>1068</v>
      </c>
      <c r="T66" s="776" t="s">
        <v>883</v>
      </c>
      <c r="U66" s="776" t="s">
        <v>883</v>
      </c>
      <c r="V66" s="776" t="s">
        <v>884</v>
      </c>
      <c r="W66" s="776" t="s">
        <v>885</v>
      </c>
      <c r="X66" s="776" t="s">
        <v>886</v>
      </c>
      <c r="Y66" s="785" t="s">
        <v>1069</v>
      </c>
      <c r="Z66" s="776" t="s">
        <v>895</v>
      </c>
      <c r="AA66" s="776"/>
      <c r="AB66" s="776"/>
    </row>
    <row r="67" spans="1:28" ht="15.75" customHeight="1">
      <c r="A67" s="776" t="s">
        <v>1012</v>
      </c>
      <c r="B67" s="776">
        <v>34</v>
      </c>
      <c r="C67" s="776" t="s">
        <v>903</v>
      </c>
      <c r="D67" s="776" t="s">
        <v>1125</v>
      </c>
      <c r="E67" s="777" t="s">
        <v>897</v>
      </c>
      <c r="F67" s="776" t="s">
        <v>1126</v>
      </c>
      <c r="G67" s="777" t="s">
        <v>1120</v>
      </c>
      <c r="H67" s="776"/>
      <c r="I67" s="777" t="s">
        <v>1066</v>
      </c>
      <c r="J67" s="777" t="s">
        <v>1034</v>
      </c>
      <c r="K67" s="786">
        <v>3500</v>
      </c>
      <c r="L67" s="777" t="s">
        <v>940</v>
      </c>
      <c r="M67" s="782">
        <v>525000</v>
      </c>
      <c r="N67" s="783">
        <f t="shared" ref="N67:N84" si="2">M67/$M$85</f>
        <v>3.4153462710293115E-3</v>
      </c>
      <c r="O67" s="782">
        <f t="shared" si="0"/>
        <v>150</v>
      </c>
      <c r="P67" s="782">
        <v>0</v>
      </c>
      <c r="Q67" s="782">
        <v>1884</v>
      </c>
      <c r="R67" s="782">
        <v>526884</v>
      </c>
      <c r="S67" s="776" t="s">
        <v>1068</v>
      </c>
      <c r="T67" s="776" t="s">
        <v>883</v>
      </c>
      <c r="U67" s="776" t="s">
        <v>883</v>
      </c>
      <c r="V67" s="776" t="s">
        <v>884</v>
      </c>
      <c r="W67" s="776" t="s">
        <v>885</v>
      </c>
      <c r="X67" s="776" t="s">
        <v>886</v>
      </c>
      <c r="Y67" s="785" t="s">
        <v>1069</v>
      </c>
      <c r="Z67" s="776" t="s">
        <v>895</v>
      </c>
      <c r="AA67" s="776"/>
      <c r="AB67" s="776"/>
    </row>
    <row r="68" spans="1:28" ht="15.75" customHeight="1">
      <c r="A68" s="776" t="s">
        <v>1012</v>
      </c>
      <c r="B68" s="776">
        <v>35</v>
      </c>
      <c r="C68" s="776" t="s">
        <v>903</v>
      </c>
      <c r="D68" s="776" t="s">
        <v>1127</v>
      </c>
      <c r="E68" s="777" t="s">
        <v>897</v>
      </c>
      <c r="F68" s="776" t="s">
        <v>1128</v>
      </c>
      <c r="G68" s="777" t="s">
        <v>1120</v>
      </c>
      <c r="H68" s="776"/>
      <c r="I68" s="777" t="s">
        <v>1066</v>
      </c>
      <c r="J68" s="777" t="s">
        <v>1034</v>
      </c>
      <c r="K68" s="780">
        <v>3500</v>
      </c>
      <c r="L68" s="781" t="s">
        <v>940</v>
      </c>
      <c r="M68" s="782">
        <v>525000</v>
      </c>
      <c r="N68" s="783">
        <f t="shared" si="2"/>
        <v>3.4153462710293115E-3</v>
      </c>
      <c r="O68" s="782">
        <f t="shared" si="0"/>
        <v>150</v>
      </c>
      <c r="P68" s="782">
        <v>0</v>
      </c>
      <c r="Q68" s="784">
        <v>4606</v>
      </c>
      <c r="R68" s="784">
        <v>529606</v>
      </c>
      <c r="S68" s="776" t="s">
        <v>1068</v>
      </c>
      <c r="T68" s="776" t="s">
        <v>883</v>
      </c>
      <c r="U68" s="776" t="s">
        <v>883</v>
      </c>
      <c r="V68" s="776" t="s">
        <v>884</v>
      </c>
      <c r="W68" s="776" t="s">
        <v>885</v>
      </c>
      <c r="X68" s="776" t="s">
        <v>886</v>
      </c>
      <c r="Y68" s="785" t="s">
        <v>1069</v>
      </c>
      <c r="Z68" s="776" t="s">
        <v>895</v>
      </c>
      <c r="AA68" s="776"/>
      <c r="AB68" s="776"/>
    </row>
    <row r="69" spans="1:28" ht="15.75" customHeight="1">
      <c r="A69" s="776" t="s">
        <v>1012</v>
      </c>
      <c r="B69" s="776">
        <v>36</v>
      </c>
      <c r="C69" s="776" t="s">
        <v>903</v>
      </c>
      <c r="D69" s="776" t="s">
        <v>1129</v>
      </c>
      <c r="E69" s="777" t="s">
        <v>897</v>
      </c>
      <c r="F69" s="776" t="s">
        <v>1130</v>
      </c>
      <c r="G69" s="777" t="s">
        <v>1120</v>
      </c>
      <c r="H69" s="776"/>
      <c r="I69" s="777" t="s">
        <v>1066</v>
      </c>
      <c r="J69" s="777" t="s">
        <v>1034</v>
      </c>
      <c r="K69" s="780">
        <v>3500</v>
      </c>
      <c r="L69" s="781" t="s">
        <v>940</v>
      </c>
      <c r="M69" s="782">
        <v>525000</v>
      </c>
      <c r="N69" s="783">
        <f t="shared" si="2"/>
        <v>3.4153462710293115E-3</v>
      </c>
      <c r="O69" s="782">
        <f t="shared" si="0"/>
        <v>150</v>
      </c>
      <c r="P69" s="782">
        <v>0</v>
      </c>
      <c r="Q69" s="782">
        <v>2888</v>
      </c>
      <c r="R69" s="782">
        <v>527888</v>
      </c>
      <c r="S69" s="776" t="s">
        <v>1068</v>
      </c>
      <c r="T69" s="776" t="s">
        <v>883</v>
      </c>
      <c r="U69" s="776" t="s">
        <v>883</v>
      </c>
      <c r="V69" s="776" t="s">
        <v>884</v>
      </c>
      <c r="W69" s="776" t="s">
        <v>885</v>
      </c>
      <c r="X69" s="776" t="s">
        <v>886</v>
      </c>
      <c r="Y69" s="785" t="s">
        <v>1069</v>
      </c>
      <c r="Z69" s="776" t="s">
        <v>895</v>
      </c>
      <c r="AA69" s="776"/>
      <c r="AB69" s="776"/>
    </row>
    <row r="70" spans="1:28" ht="15.75" customHeight="1">
      <c r="A70" s="776" t="s">
        <v>1012</v>
      </c>
      <c r="B70" s="776">
        <v>37</v>
      </c>
      <c r="C70" s="776" t="s">
        <v>903</v>
      </c>
      <c r="D70" s="776" t="s">
        <v>1131</v>
      </c>
      <c r="E70" s="777" t="s">
        <v>897</v>
      </c>
      <c r="F70" s="776" t="s">
        <v>1132</v>
      </c>
      <c r="G70" s="777" t="s">
        <v>1092</v>
      </c>
      <c r="H70" s="776"/>
      <c r="I70" s="777" t="s">
        <v>1066</v>
      </c>
      <c r="J70" s="777" t="s">
        <v>1105</v>
      </c>
      <c r="K70" s="780">
        <v>10570</v>
      </c>
      <c r="L70" s="781" t="s">
        <v>1133</v>
      </c>
      <c r="M70" s="784">
        <v>1585500</v>
      </c>
      <c r="N70" s="787">
        <f t="shared" si="2"/>
        <v>1.0314345738508521E-2</v>
      </c>
      <c r="O70" s="782">
        <f t="shared" si="0"/>
        <v>150</v>
      </c>
      <c r="P70" s="782">
        <v>166126</v>
      </c>
      <c r="Q70" s="782">
        <v>14145</v>
      </c>
      <c r="R70" s="784">
        <v>1765771</v>
      </c>
      <c r="S70" s="776" t="s">
        <v>1068</v>
      </c>
      <c r="T70" s="776" t="s">
        <v>883</v>
      </c>
      <c r="U70" s="776" t="s">
        <v>883</v>
      </c>
      <c r="V70" s="776" t="s">
        <v>884</v>
      </c>
      <c r="W70" s="776" t="s">
        <v>885</v>
      </c>
      <c r="X70" s="776" t="s">
        <v>886</v>
      </c>
      <c r="Y70" s="785" t="s">
        <v>1069</v>
      </c>
      <c r="Z70" s="776" t="s">
        <v>913</v>
      </c>
      <c r="AA70" s="776"/>
      <c r="AB70" s="776"/>
    </row>
    <row r="71" spans="1:28" ht="14.25" customHeight="1">
      <c r="A71" s="776" t="s">
        <v>1012</v>
      </c>
      <c r="B71" s="776">
        <v>38</v>
      </c>
      <c r="C71" s="776" t="s">
        <v>874</v>
      </c>
      <c r="D71" s="776" t="s">
        <v>1134</v>
      </c>
      <c r="E71" s="777" t="s">
        <v>905</v>
      </c>
      <c r="F71" s="776" t="s">
        <v>1135</v>
      </c>
      <c r="G71" s="777" t="s">
        <v>1136</v>
      </c>
      <c r="H71" s="776"/>
      <c r="I71" s="777" t="s">
        <v>1066</v>
      </c>
      <c r="J71" s="777" t="s">
        <v>1105</v>
      </c>
      <c r="K71" s="786">
        <v>14000</v>
      </c>
      <c r="L71" s="777" t="s">
        <v>946</v>
      </c>
      <c r="M71" s="782">
        <v>2100000</v>
      </c>
      <c r="N71" s="783">
        <f t="shared" si="2"/>
        <v>1.3661385084117246E-2</v>
      </c>
      <c r="O71" s="782">
        <f t="shared" si="0"/>
        <v>150</v>
      </c>
      <c r="P71" s="784">
        <v>115294</v>
      </c>
      <c r="Q71" s="782">
        <v>28665</v>
      </c>
      <c r="R71" s="782">
        <v>2243959</v>
      </c>
      <c r="S71" s="776" t="s">
        <v>1068</v>
      </c>
      <c r="T71" s="776" t="s">
        <v>883</v>
      </c>
      <c r="U71" s="776" t="s">
        <v>883</v>
      </c>
      <c r="V71" s="776" t="s">
        <v>884</v>
      </c>
      <c r="W71" s="776" t="s">
        <v>885</v>
      </c>
      <c r="X71" s="776" t="s">
        <v>886</v>
      </c>
      <c r="Y71" s="785" t="s">
        <v>1069</v>
      </c>
      <c r="Z71" s="776" t="s">
        <v>895</v>
      </c>
      <c r="AA71" s="776"/>
      <c r="AB71" s="776"/>
    </row>
    <row r="72" spans="1:28" ht="15.75" customHeight="1">
      <c r="A72" s="776" t="s">
        <v>1012</v>
      </c>
      <c r="B72" s="776">
        <v>39</v>
      </c>
      <c r="C72" s="776" t="s">
        <v>903</v>
      </c>
      <c r="D72" s="776" t="s">
        <v>1137</v>
      </c>
      <c r="E72" s="777" t="s">
        <v>905</v>
      </c>
      <c r="F72" s="776" t="s">
        <v>1138</v>
      </c>
      <c r="G72" s="777" t="s">
        <v>1120</v>
      </c>
      <c r="H72" s="776"/>
      <c r="I72" s="777" t="s">
        <v>1066</v>
      </c>
      <c r="J72" s="777" t="s">
        <v>1063</v>
      </c>
      <c r="K72" s="780">
        <v>7000</v>
      </c>
      <c r="L72" s="781" t="s">
        <v>949</v>
      </c>
      <c r="M72" s="782">
        <v>1050000</v>
      </c>
      <c r="N72" s="783">
        <f t="shared" si="2"/>
        <v>6.830692542058623E-3</v>
      </c>
      <c r="O72" s="782">
        <f t="shared" si="0"/>
        <v>150</v>
      </c>
      <c r="P72" s="782">
        <v>0</v>
      </c>
      <c r="Q72" s="782">
        <v>0</v>
      </c>
      <c r="R72" s="782">
        <v>1050000</v>
      </c>
      <c r="S72" s="776" t="s">
        <v>1068</v>
      </c>
      <c r="T72" s="776" t="s">
        <v>883</v>
      </c>
      <c r="U72" s="776" t="s">
        <v>883</v>
      </c>
      <c r="V72" s="776" t="s">
        <v>884</v>
      </c>
      <c r="W72" s="776" t="s">
        <v>885</v>
      </c>
      <c r="X72" s="776" t="s">
        <v>886</v>
      </c>
      <c r="Y72" s="785" t="s">
        <v>1069</v>
      </c>
      <c r="Z72" s="776" t="s">
        <v>895</v>
      </c>
      <c r="AA72" s="776"/>
      <c r="AB72" s="776"/>
    </row>
    <row r="73" spans="1:28" ht="15.75" customHeight="1">
      <c r="A73" s="776" t="s">
        <v>1012</v>
      </c>
      <c r="B73" s="776">
        <v>40</v>
      </c>
      <c r="C73" s="776" t="s">
        <v>903</v>
      </c>
      <c r="D73" s="776" t="s">
        <v>1139</v>
      </c>
      <c r="E73" s="777" t="s">
        <v>905</v>
      </c>
      <c r="F73" s="776" t="s">
        <v>1140</v>
      </c>
      <c r="G73" s="777" t="s">
        <v>1120</v>
      </c>
      <c r="H73" s="776"/>
      <c r="I73" s="777" t="s">
        <v>1066</v>
      </c>
      <c r="J73" s="777" t="s">
        <v>1141</v>
      </c>
      <c r="K73" s="786">
        <v>35000</v>
      </c>
      <c r="L73" s="777" t="s">
        <v>1142</v>
      </c>
      <c r="M73" s="782">
        <v>4987500</v>
      </c>
      <c r="N73" s="783">
        <f t="shared" si="2"/>
        <v>3.2445789574778464E-2</v>
      </c>
      <c r="O73" s="782">
        <f t="shared" si="0"/>
        <v>142.5</v>
      </c>
      <c r="P73" s="782">
        <v>250459</v>
      </c>
      <c r="Q73" s="782">
        <v>62291</v>
      </c>
      <c r="R73" s="782">
        <v>5300250</v>
      </c>
      <c r="S73" s="776" t="s">
        <v>1068</v>
      </c>
      <c r="T73" s="776" t="s">
        <v>883</v>
      </c>
      <c r="U73" s="776" t="s">
        <v>883</v>
      </c>
      <c r="V73" s="776" t="s">
        <v>884</v>
      </c>
      <c r="W73" s="776" t="s">
        <v>885</v>
      </c>
      <c r="X73" s="776" t="s">
        <v>886</v>
      </c>
      <c r="Y73" s="785" t="s">
        <v>1069</v>
      </c>
      <c r="Z73" s="776" t="s">
        <v>895</v>
      </c>
      <c r="AA73" s="776"/>
      <c r="AB73" s="776"/>
    </row>
    <row r="74" spans="1:28" ht="15.75" customHeight="1">
      <c r="A74" s="776" t="s">
        <v>1012</v>
      </c>
      <c r="B74" s="776">
        <v>41</v>
      </c>
      <c r="C74" s="776" t="s">
        <v>903</v>
      </c>
      <c r="D74" s="776" t="s">
        <v>1143</v>
      </c>
      <c r="E74" s="777" t="s">
        <v>905</v>
      </c>
      <c r="F74" s="776" t="s">
        <v>1144</v>
      </c>
      <c r="G74" s="777" t="s">
        <v>1092</v>
      </c>
      <c r="H74" s="776"/>
      <c r="I74" s="777" t="s">
        <v>1066</v>
      </c>
      <c r="J74" s="777" t="s">
        <v>909</v>
      </c>
      <c r="K74" s="780">
        <v>15750</v>
      </c>
      <c r="L74" s="781" t="s">
        <v>1145</v>
      </c>
      <c r="M74" s="784">
        <v>2126250</v>
      </c>
      <c r="N74" s="787">
        <f t="shared" si="2"/>
        <v>1.3832152397668713E-2</v>
      </c>
      <c r="O74" s="782">
        <f t="shared" si="0"/>
        <v>135</v>
      </c>
      <c r="P74" s="784">
        <v>190967</v>
      </c>
      <c r="Q74" s="782">
        <v>35914</v>
      </c>
      <c r="R74" s="782">
        <v>2353131</v>
      </c>
      <c r="S74" s="776" t="s">
        <v>1068</v>
      </c>
      <c r="T74" s="776" t="s">
        <v>883</v>
      </c>
      <c r="U74" s="776" t="s">
        <v>883</v>
      </c>
      <c r="V74" s="776" t="s">
        <v>884</v>
      </c>
      <c r="W74" s="776" t="s">
        <v>885</v>
      </c>
      <c r="X74" s="776" t="s">
        <v>886</v>
      </c>
      <c r="Y74" s="785" t="s">
        <v>1069</v>
      </c>
      <c r="Z74" s="776" t="s">
        <v>913</v>
      </c>
      <c r="AA74" s="776"/>
      <c r="AB74" s="776"/>
    </row>
    <row r="75" spans="1:28" ht="15.75" customHeight="1">
      <c r="A75" s="776" t="s">
        <v>1012</v>
      </c>
      <c r="B75" s="776">
        <v>42</v>
      </c>
      <c r="C75" s="776" t="s">
        <v>903</v>
      </c>
      <c r="D75" s="789" t="s">
        <v>1146</v>
      </c>
      <c r="E75" s="777" t="s">
        <v>905</v>
      </c>
      <c r="F75" s="776" t="s">
        <v>1147</v>
      </c>
      <c r="G75" s="777" t="s">
        <v>1148</v>
      </c>
      <c r="H75" s="776"/>
      <c r="I75" s="777" t="s">
        <v>908</v>
      </c>
      <c r="J75" s="777" t="s">
        <v>1031</v>
      </c>
      <c r="K75" s="786">
        <v>15293</v>
      </c>
      <c r="L75" s="777" t="s">
        <v>1149</v>
      </c>
      <c r="M75" s="782">
        <v>4970225</v>
      </c>
      <c r="N75" s="783">
        <f t="shared" si="2"/>
        <v>3.2333408418907923E-2</v>
      </c>
      <c r="O75" s="782">
        <f t="shared" si="0"/>
        <v>325</v>
      </c>
      <c r="P75" s="782">
        <v>602568</v>
      </c>
      <c r="Q75" s="782">
        <v>85347</v>
      </c>
      <c r="R75" s="782">
        <v>5658140</v>
      </c>
      <c r="S75" s="776" t="s">
        <v>911</v>
      </c>
      <c r="T75" s="776" t="s">
        <v>883</v>
      </c>
      <c r="U75" s="776" t="s">
        <v>883</v>
      </c>
      <c r="V75" s="776" t="s">
        <v>884</v>
      </c>
      <c r="W75" s="776" t="s">
        <v>885</v>
      </c>
      <c r="X75" s="776" t="s">
        <v>886</v>
      </c>
      <c r="Y75" s="785" t="s">
        <v>912</v>
      </c>
      <c r="Z75" s="776" t="s">
        <v>895</v>
      </c>
      <c r="AA75" s="776"/>
      <c r="AB75" s="776"/>
    </row>
    <row r="76" spans="1:28" ht="15.75" customHeight="1">
      <c r="A76" s="776" t="s">
        <v>1012</v>
      </c>
      <c r="B76" s="776">
        <v>43</v>
      </c>
      <c r="C76" s="776" t="s">
        <v>874</v>
      </c>
      <c r="D76" s="789" t="s">
        <v>1150</v>
      </c>
      <c r="E76" s="777" t="s">
        <v>905</v>
      </c>
      <c r="F76" s="776" t="s">
        <v>1151</v>
      </c>
      <c r="G76" s="777" t="s">
        <v>1152</v>
      </c>
      <c r="H76" s="776"/>
      <c r="I76" s="777" t="s">
        <v>1066</v>
      </c>
      <c r="J76" s="777" t="s">
        <v>909</v>
      </c>
      <c r="K76" s="786">
        <v>28000</v>
      </c>
      <c r="L76" s="777" t="s">
        <v>1153</v>
      </c>
      <c r="M76" s="782">
        <v>4200000</v>
      </c>
      <c r="N76" s="783">
        <f t="shared" si="2"/>
        <v>2.7322770168234492E-2</v>
      </c>
      <c r="O76" s="782">
        <f t="shared" si="0"/>
        <v>150</v>
      </c>
      <c r="P76" s="782">
        <v>74970</v>
      </c>
      <c r="Q76" s="782">
        <v>12400</v>
      </c>
      <c r="R76" s="782">
        <v>4287370</v>
      </c>
      <c r="S76" s="776" t="s">
        <v>1068</v>
      </c>
      <c r="T76" s="776" t="s">
        <v>883</v>
      </c>
      <c r="U76" s="776" t="s">
        <v>883</v>
      </c>
      <c r="V76" s="776" t="s">
        <v>884</v>
      </c>
      <c r="W76" s="776" t="s">
        <v>885</v>
      </c>
      <c r="X76" s="776" t="s">
        <v>886</v>
      </c>
      <c r="Y76" s="785" t="s">
        <v>1069</v>
      </c>
      <c r="Z76" s="776" t="s">
        <v>913</v>
      </c>
      <c r="AA76" s="776"/>
      <c r="AB76" s="776"/>
    </row>
    <row r="77" spans="1:28" ht="15.75" customHeight="1">
      <c r="A77" s="776" t="s">
        <v>1012</v>
      </c>
      <c r="B77" s="776">
        <v>44</v>
      </c>
      <c r="C77" s="776" t="s">
        <v>874</v>
      </c>
      <c r="D77" s="789" t="s">
        <v>1154</v>
      </c>
      <c r="E77" s="777" t="s">
        <v>905</v>
      </c>
      <c r="F77" s="776" t="s">
        <v>1155</v>
      </c>
      <c r="G77" s="777" t="s">
        <v>1152</v>
      </c>
      <c r="H77" s="776"/>
      <c r="I77" s="777" t="s">
        <v>1066</v>
      </c>
      <c r="J77" s="777" t="s">
        <v>909</v>
      </c>
      <c r="K77" s="786">
        <v>6985</v>
      </c>
      <c r="L77" s="777" t="s">
        <v>1156</v>
      </c>
      <c r="M77" s="782">
        <v>1047750</v>
      </c>
      <c r="N77" s="783">
        <f t="shared" si="2"/>
        <v>6.8160553437542123E-3</v>
      </c>
      <c r="O77" s="782">
        <f t="shared" si="0"/>
        <v>150</v>
      </c>
      <c r="P77" s="782">
        <v>153478</v>
      </c>
      <c r="Q77" s="782">
        <v>44065</v>
      </c>
      <c r="R77" s="782">
        <v>1245293</v>
      </c>
      <c r="S77" s="776" t="s">
        <v>1068</v>
      </c>
      <c r="T77" s="776" t="s">
        <v>883</v>
      </c>
      <c r="U77" s="776" t="s">
        <v>883</v>
      </c>
      <c r="V77" s="776" t="s">
        <v>884</v>
      </c>
      <c r="W77" s="776" t="s">
        <v>885</v>
      </c>
      <c r="X77" s="776" t="s">
        <v>886</v>
      </c>
      <c r="Y77" s="785" t="s">
        <v>1069</v>
      </c>
      <c r="Z77" s="776" t="s">
        <v>913</v>
      </c>
      <c r="AA77" s="776"/>
      <c r="AB77" s="776"/>
    </row>
    <row r="78" spans="1:28" ht="15.75" customHeight="1">
      <c r="A78" s="776" t="s">
        <v>1012</v>
      </c>
      <c r="B78" s="776">
        <v>45</v>
      </c>
      <c r="C78" s="776" t="s">
        <v>903</v>
      </c>
      <c r="D78" s="776" t="s">
        <v>1157</v>
      </c>
      <c r="E78" s="777" t="s">
        <v>905</v>
      </c>
      <c r="F78" s="776" t="s">
        <v>1158</v>
      </c>
      <c r="G78" s="777" t="s">
        <v>1159</v>
      </c>
      <c r="H78" s="776"/>
      <c r="I78" s="777" t="s">
        <v>1066</v>
      </c>
      <c r="J78" s="777" t="s">
        <v>1160</v>
      </c>
      <c r="K78" s="786">
        <v>51644</v>
      </c>
      <c r="L78" s="777" t="s">
        <v>1161</v>
      </c>
      <c r="M78" s="782">
        <v>7746600</v>
      </c>
      <c r="N78" s="783">
        <f t="shared" si="2"/>
        <v>5.0394897948867937E-2</v>
      </c>
      <c r="O78" s="782">
        <f t="shared" si="0"/>
        <v>150</v>
      </c>
      <c r="P78" s="782">
        <v>1017681</v>
      </c>
      <c r="Q78" s="782">
        <v>344660</v>
      </c>
      <c r="R78" s="782">
        <v>9108941</v>
      </c>
      <c r="S78" s="776" t="s">
        <v>1068</v>
      </c>
      <c r="T78" s="776" t="s">
        <v>883</v>
      </c>
      <c r="U78" s="776" t="s">
        <v>883</v>
      </c>
      <c r="V78" s="776" t="s">
        <v>884</v>
      </c>
      <c r="W78" s="776" t="s">
        <v>986</v>
      </c>
      <c r="X78" s="776" t="s">
        <v>886</v>
      </c>
      <c r="Y78" s="785" t="s">
        <v>1069</v>
      </c>
      <c r="Z78" s="776" t="s">
        <v>883</v>
      </c>
      <c r="AA78" s="776"/>
      <c r="AB78" s="776"/>
    </row>
    <row r="79" spans="1:28" ht="15.75" customHeight="1">
      <c r="A79" s="776" t="s">
        <v>1012</v>
      </c>
      <c r="B79" s="776">
        <v>46</v>
      </c>
      <c r="C79" s="776" t="s">
        <v>903</v>
      </c>
      <c r="D79" s="789" t="s">
        <v>1162</v>
      </c>
      <c r="E79" s="777" t="s">
        <v>1163</v>
      </c>
      <c r="F79" s="776" t="s">
        <v>1164</v>
      </c>
      <c r="G79" s="777" t="s">
        <v>1148</v>
      </c>
      <c r="H79" s="776"/>
      <c r="I79" s="777" t="s">
        <v>908</v>
      </c>
      <c r="J79" s="777" t="s">
        <v>901</v>
      </c>
      <c r="K79" s="786">
        <v>18455</v>
      </c>
      <c r="L79" s="777" t="s">
        <v>1165</v>
      </c>
      <c r="M79" s="782">
        <v>5997875</v>
      </c>
      <c r="N79" s="783">
        <f t="shared" si="2"/>
        <v>3.9018704791142729E-2</v>
      </c>
      <c r="O79" s="782">
        <f t="shared" si="0"/>
        <v>325</v>
      </c>
      <c r="P79" s="782">
        <v>191399</v>
      </c>
      <c r="Q79" s="782">
        <v>25682</v>
      </c>
      <c r="R79" s="782">
        <v>6214956</v>
      </c>
      <c r="S79" s="776" t="s">
        <v>911</v>
      </c>
      <c r="T79" s="776" t="s">
        <v>883</v>
      </c>
      <c r="U79" s="776" t="s">
        <v>883</v>
      </c>
      <c r="V79" s="776" t="s">
        <v>884</v>
      </c>
      <c r="W79" s="776" t="s">
        <v>885</v>
      </c>
      <c r="X79" s="776" t="s">
        <v>886</v>
      </c>
      <c r="Y79" s="785" t="s">
        <v>912</v>
      </c>
      <c r="Z79" s="776" t="s">
        <v>895</v>
      </c>
      <c r="AA79" s="776"/>
      <c r="AB79" s="776"/>
    </row>
    <row r="80" spans="1:28" ht="15.75" customHeight="1">
      <c r="A80" s="776" t="s">
        <v>1012</v>
      </c>
      <c r="B80" s="776">
        <v>47</v>
      </c>
      <c r="C80" s="776" t="s">
        <v>903</v>
      </c>
      <c r="D80" s="789" t="s">
        <v>1166</v>
      </c>
      <c r="E80" s="777" t="s">
        <v>1163</v>
      </c>
      <c r="F80" s="776" t="s">
        <v>1167</v>
      </c>
      <c r="G80" s="777" t="s">
        <v>1168</v>
      </c>
      <c r="H80" s="776"/>
      <c r="I80" s="777" t="s">
        <v>908</v>
      </c>
      <c r="J80" s="777" t="s">
        <v>1169</v>
      </c>
      <c r="K80" s="786">
        <v>7150</v>
      </c>
      <c r="L80" s="777" t="s">
        <v>1170</v>
      </c>
      <c r="M80" s="782">
        <v>2145000</v>
      </c>
      <c r="N80" s="783">
        <f t="shared" si="2"/>
        <v>1.3954129050205473E-2</v>
      </c>
      <c r="O80" s="782">
        <f t="shared" si="0"/>
        <v>300</v>
      </c>
      <c r="P80" s="782">
        <v>1890000</v>
      </c>
      <c r="Q80" s="782">
        <v>0</v>
      </c>
      <c r="R80" s="782">
        <v>4035000</v>
      </c>
      <c r="S80" s="776" t="s">
        <v>911</v>
      </c>
      <c r="T80" s="776" t="s">
        <v>883</v>
      </c>
      <c r="U80" s="776" t="s">
        <v>883</v>
      </c>
      <c r="V80" s="776" t="s">
        <v>884</v>
      </c>
      <c r="W80" s="776" t="s">
        <v>885</v>
      </c>
      <c r="X80" s="776" t="s">
        <v>886</v>
      </c>
      <c r="Y80" s="785" t="s">
        <v>912</v>
      </c>
      <c r="Z80" s="776" t="s">
        <v>913</v>
      </c>
      <c r="AA80" s="776"/>
      <c r="AB80" s="776"/>
    </row>
    <row r="81" spans="1:28" ht="15.75" customHeight="1">
      <c r="A81" s="776" t="s">
        <v>1012</v>
      </c>
      <c r="B81" s="776">
        <v>48</v>
      </c>
      <c r="C81" s="776" t="s">
        <v>874</v>
      </c>
      <c r="D81" s="789" t="s">
        <v>1171</v>
      </c>
      <c r="E81" s="777" t="s">
        <v>1163</v>
      </c>
      <c r="F81" s="776" t="s">
        <v>1172</v>
      </c>
      <c r="G81" s="777" t="s">
        <v>1152</v>
      </c>
      <c r="H81" s="776"/>
      <c r="I81" s="777" t="s">
        <v>908</v>
      </c>
      <c r="J81" s="777" t="s">
        <v>1063</v>
      </c>
      <c r="K81" s="786">
        <v>7135</v>
      </c>
      <c r="L81" s="777" t="s">
        <v>1173</v>
      </c>
      <c r="M81" s="782">
        <v>2140500</v>
      </c>
      <c r="N81" s="783">
        <f t="shared" si="2"/>
        <v>1.3924854653596651E-2</v>
      </c>
      <c r="O81" s="782">
        <f t="shared" si="0"/>
        <v>300</v>
      </c>
      <c r="P81" s="782">
        <v>0</v>
      </c>
      <c r="Q81" s="782">
        <v>0</v>
      </c>
      <c r="R81" s="782">
        <v>2140500</v>
      </c>
      <c r="S81" s="776" t="s">
        <v>911</v>
      </c>
      <c r="T81" s="776" t="s">
        <v>883</v>
      </c>
      <c r="U81" s="776" t="s">
        <v>883</v>
      </c>
      <c r="V81" s="776" t="s">
        <v>884</v>
      </c>
      <c r="W81" s="776" t="s">
        <v>885</v>
      </c>
      <c r="X81" s="776" t="s">
        <v>886</v>
      </c>
      <c r="Y81" s="785" t="s">
        <v>912</v>
      </c>
      <c r="Z81" s="776" t="s">
        <v>918</v>
      </c>
      <c r="AA81" s="776"/>
      <c r="AB81" s="776"/>
    </row>
    <row r="82" spans="1:28" ht="15.75" customHeight="1">
      <c r="A82" s="776" t="s">
        <v>1012</v>
      </c>
      <c r="B82" s="776">
        <v>49</v>
      </c>
      <c r="C82" s="776" t="s">
        <v>874</v>
      </c>
      <c r="D82" s="789" t="s">
        <v>1174</v>
      </c>
      <c r="E82" s="777" t="s">
        <v>1163</v>
      </c>
      <c r="F82" s="776" t="s">
        <v>1175</v>
      </c>
      <c r="G82" s="777" t="s">
        <v>1176</v>
      </c>
      <c r="H82" s="776"/>
      <c r="I82" s="777" t="s">
        <v>1066</v>
      </c>
      <c r="J82" s="777" t="s">
        <v>1177</v>
      </c>
      <c r="K82" s="786">
        <v>7135</v>
      </c>
      <c r="L82" s="777" t="s">
        <v>1173</v>
      </c>
      <c r="M82" s="782">
        <v>1070250</v>
      </c>
      <c r="N82" s="783">
        <f t="shared" si="2"/>
        <v>6.9624273267983256E-3</v>
      </c>
      <c r="O82" s="782">
        <f t="shared" si="0"/>
        <v>150</v>
      </c>
      <c r="P82" s="782">
        <v>49395</v>
      </c>
      <c r="Q82" s="782">
        <v>19155</v>
      </c>
      <c r="R82" s="782">
        <v>1138800</v>
      </c>
      <c r="S82" s="776" t="s">
        <v>1068</v>
      </c>
      <c r="T82" s="776" t="s">
        <v>883</v>
      </c>
      <c r="U82" s="776" t="s">
        <v>883</v>
      </c>
      <c r="V82" s="776" t="s">
        <v>884</v>
      </c>
      <c r="W82" s="776" t="s">
        <v>885</v>
      </c>
      <c r="X82" s="776" t="s">
        <v>886</v>
      </c>
      <c r="Y82" s="785" t="s">
        <v>1069</v>
      </c>
      <c r="Z82" s="776" t="s">
        <v>895</v>
      </c>
      <c r="AA82" s="776"/>
      <c r="AB82" s="776"/>
    </row>
    <row r="83" spans="1:28" ht="15.75" customHeight="1">
      <c r="A83" s="776" t="s">
        <v>1012</v>
      </c>
      <c r="B83" s="776">
        <v>50</v>
      </c>
      <c r="C83" s="776" t="s">
        <v>874</v>
      </c>
      <c r="D83" s="789" t="s">
        <v>1178</v>
      </c>
      <c r="E83" s="777" t="s">
        <v>1163</v>
      </c>
      <c r="F83" s="776" t="s">
        <v>1179</v>
      </c>
      <c r="G83" s="777" t="s">
        <v>1180</v>
      </c>
      <c r="H83" s="776"/>
      <c r="I83" s="777" t="s">
        <v>1066</v>
      </c>
      <c r="J83" s="777" t="s">
        <v>1181</v>
      </c>
      <c r="K83" s="786">
        <v>7135</v>
      </c>
      <c r="L83" s="777" t="s">
        <v>1173</v>
      </c>
      <c r="M83" s="782">
        <v>1070250</v>
      </c>
      <c r="N83" s="783">
        <f t="shared" si="2"/>
        <v>6.9624273267983256E-3</v>
      </c>
      <c r="O83" s="782">
        <f t="shared" si="0"/>
        <v>150</v>
      </c>
      <c r="P83" s="782">
        <v>127454</v>
      </c>
      <c r="Q83" s="782">
        <v>47095</v>
      </c>
      <c r="R83" s="782">
        <v>1244799</v>
      </c>
      <c r="S83" s="776" t="s">
        <v>1068</v>
      </c>
      <c r="T83" s="776" t="s">
        <v>883</v>
      </c>
      <c r="U83" s="776" t="s">
        <v>883</v>
      </c>
      <c r="V83" s="776" t="s">
        <v>884</v>
      </c>
      <c r="W83" s="776" t="s">
        <v>885</v>
      </c>
      <c r="X83" s="776" t="s">
        <v>886</v>
      </c>
      <c r="Y83" s="785" t="s">
        <v>1069</v>
      </c>
      <c r="Z83" s="776" t="s">
        <v>895</v>
      </c>
      <c r="AA83" s="776"/>
      <c r="AB83" s="776"/>
    </row>
    <row r="84" spans="1:28" ht="15.75" customHeight="1">
      <c r="A84" s="776" t="s">
        <v>1012</v>
      </c>
      <c r="B84" s="776">
        <v>51</v>
      </c>
      <c r="C84" s="776" t="s">
        <v>874</v>
      </c>
      <c r="D84" s="789" t="s">
        <v>1182</v>
      </c>
      <c r="E84" s="777" t="s">
        <v>1163</v>
      </c>
      <c r="F84" s="776" t="s">
        <v>1183</v>
      </c>
      <c r="G84" s="777" t="s">
        <v>1152</v>
      </c>
      <c r="H84" s="776"/>
      <c r="I84" s="777" t="s">
        <v>1066</v>
      </c>
      <c r="J84" s="777" t="s">
        <v>1063</v>
      </c>
      <c r="K84" s="786">
        <v>14270</v>
      </c>
      <c r="L84" s="777" t="s">
        <v>1184</v>
      </c>
      <c r="M84" s="782">
        <v>2140500</v>
      </c>
      <c r="N84" s="783">
        <f t="shared" si="2"/>
        <v>1.3924854653596651E-2</v>
      </c>
      <c r="O84" s="782">
        <f t="shared" si="0"/>
        <v>150</v>
      </c>
      <c r="P84" s="782">
        <v>0</v>
      </c>
      <c r="Q84" s="782">
        <v>0</v>
      </c>
      <c r="R84" s="782">
        <v>2140500</v>
      </c>
      <c r="S84" s="776" t="s">
        <v>1068</v>
      </c>
      <c r="T84" s="776" t="s">
        <v>883</v>
      </c>
      <c r="U84" s="776" t="s">
        <v>883</v>
      </c>
      <c r="V84" s="776" t="s">
        <v>884</v>
      </c>
      <c r="W84" s="776" t="s">
        <v>885</v>
      </c>
      <c r="X84" s="776" t="s">
        <v>886</v>
      </c>
      <c r="Y84" s="785" t="s">
        <v>1069</v>
      </c>
      <c r="Z84" s="776" t="s">
        <v>895</v>
      </c>
      <c r="AA84" s="776"/>
      <c r="AB84" s="776"/>
    </row>
    <row r="85" spans="1:28" ht="15.75" customHeight="1">
      <c r="A85" s="773" t="s">
        <v>1214</v>
      </c>
      <c r="B85" s="776"/>
      <c r="C85" s="776"/>
      <c r="D85" s="776"/>
      <c r="E85" s="777"/>
      <c r="F85" s="776"/>
      <c r="G85" s="777"/>
      <c r="H85" s="776"/>
      <c r="I85" s="777"/>
      <c r="J85" s="777"/>
      <c r="K85" s="774">
        <f>SUM(K2:K84)</f>
        <v>829965.4</v>
      </c>
      <c r="L85" s="777"/>
      <c r="M85" s="794">
        <f>SUM(M2:M84)</f>
        <v>153717942</v>
      </c>
      <c r="N85" s="794"/>
      <c r="O85" s="782"/>
      <c r="P85" s="785"/>
      <c r="Q85" s="785"/>
      <c r="R85" s="785"/>
      <c r="S85" s="776"/>
      <c r="T85" s="776"/>
      <c r="U85" s="776"/>
      <c r="V85" s="776"/>
      <c r="W85" s="776"/>
      <c r="X85" s="776"/>
      <c r="Y85" s="785"/>
      <c r="Z85" s="776"/>
      <c r="AA85" s="776"/>
      <c r="AB85" s="776"/>
    </row>
    <row r="86" spans="1:28" ht="15.75" customHeight="1">
      <c r="A86" s="776"/>
      <c r="B86" s="776"/>
      <c r="C86" s="776"/>
      <c r="D86" s="776"/>
      <c r="E86" s="777"/>
      <c r="F86" s="776"/>
      <c r="G86" s="777"/>
      <c r="H86" s="776"/>
      <c r="I86" s="777"/>
      <c r="J86" s="777"/>
      <c r="K86" s="786"/>
      <c r="L86" s="777"/>
      <c r="M86" s="785" t="s">
        <v>1185</v>
      </c>
      <c r="N86" s="785"/>
      <c r="O86" s="795">
        <f>SUMPRODUCT(N2:N84,O2:O84)</f>
        <v>216.15046037906609</v>
      </c>
      <c r="P86" s="785"/>
      <c r="Q86" s="785"/>
      <c r="R86" s="785"/>
      <c r="S86" s="776"/>
      <c r="T86" s="776"/>
      <c r="U86" s="776"/>
      <c r="V86" s="776"/>
      <c r="W86" s="776"/>
      <c r="X86" s="776"/>
      <c r="Y86" s="785"/>
      <c r="Z86" s="776"/>
      <c r="AA86" s="776"/>
      <c r="AB86" s="776"/>
    </row>
    <row r="87" spans="1:28" ht="15.75" customHeight="1">
      <c r="A87" s="776"/>
      <c r="B87" s="776"/>
      <c r="C87" s="776"/>
      <c r="D87" s="776"/>
      <c r="E87" s="777"/>
      <c r="F87" s="776"/>
      <c r="G87" s="777"/>
      <c r="H87" s="776"/>
      <c r="I87" s="777"/>
      <c r="J87" s="777"/>
      <c r="K87" s="786"/>
      <c r="L87" s="777"/>
      <c r="M87" s="785"/>
      <c r="N87" s="785"/>
      <c r="O87" s="785"/>
      <c r="P87" s="785"/>
      <c r="Q87" s="785"/>
      <c r="R87" s="785"/>
      <c r="S87" s="776"/>
      <c r="T87" s="776"/>
      <c r="U87" s="776"/>
      <c r="V87" s="776"/>
      <c r="W87" s="776"/>
      <c r="X87" s="776"/>
      <c r="Y87" s="785"/>
      <c r="Z87" s="776"/>
      <c r="AA87" s="776"/>
      <c r="AB87" s="776"/>
    </row>
    <row r="88" spans="1:28" ht="15.75" customHeight="1">
      <c r="A88" s="776"/>
      <c r="B88" s="776"/>
      <c r="C88" s="776"/>
      <c r="D88" s="776"/>
      <c r="E88" s="777"/>
      <c r="F88" s="776"/>
      <c r="G88" s="777"/>
      <c r="H88" s="776"/>
      <c r="I88" s="777"/>
      <c r="J88" s="777"/>
      <c r="K88" s="786"/>
      <c r="L88" s="777"/>
      <c r="M88" s="785"/>
      <c r="N88" s="785"/>
      <c r="O88" s="785"/>
      <c r="P88" s="785"/>
      <c r="Q88" s="785"/>
      <c r="R88" s="785"/>
      <c r="S88" s="776"/>
      <c r="T88" s="776"/>
      <c r="U88" s="776"/>
      <c r="V88" s="776"/>
      <c r="W88" s="776"/>
      <c r="X88" s="776"/>
      <c r="Y88" s="785"/>
      <c r="Z88" s="776"/>
      <c r="AA88" s="776"/>
      <c r="AB88" s="776"/>
    </row>
    <row r="89" spans="1:28" ht="15.75" customHeight="1">
      <c r="A89" s="776"/>
      <c r="B89" s="776"/>
      <c r="C89" s="776"/>
      <c r="D89" s="776"/>
      <c r="E89" s="777"/>
      <c r="F89" s="776"/>
      <c r="G89" s="777"/>
      <c r="H89" s="776"/>
      <c r="I89" s="777"/>
      <c r="J89" s="777"/>
      <c r="K89" s="786"/>
      <c r="L89" s="777"/>
      <c r="M89" s="785"/>
      <c r="N89" s="785"/>
      <c r="O89" s="785"/>
      <c r="P89" s="785"/>
      <c r="Q89" s="785"/>
      <c r="R89" s="785"/>
      <c r="S89" s="776"/>
      <c r="T89" s="776"/>
      <c r="U89" s="776"/>
      <c r="V89" s="776"/>
      <c r="W89" s="776"/>
      <c r="X89" s="776"/>
      <c r="Y89" s="785"/>
      <c r="Z89" s="776"/>
      <c r="AA89" s="776"/>
      <c r="AB89" s="776"/>
    </row>
    <row r="90" spans="1:28" ht="15.75" customHeight="1">
      <c r="A90" s="776"/>
      <c r="B90" s="776"/>
      <c r="C90" s="776"/>
      <c r="D90" s="776"/>
      <c r="E90" s="777"/>
      <c r="F90" s="776"/>
      <c r="G90" s="777"/>
      <c r="H90" s="776"/>
      <c r="I90" s="777"/>
      <c r="J90" s="777"/>
      <c r="K90" s="786"/>
      <c r="L90" s="777"/>
      <c r="M90" s="785"/>
      <c r="N90" s="785"/>
      <c r="O90" s="785"/>
      <c r="P90" s="785"/>
      <c r="Q90" s="785"/>
      <c r="R90" s="785"/>
      <c r="S90" s="776"/>
      <c r="T90" s="776"/>
      <c r="U90" s="776"/>
      <c r="V90" s="776"/>
      <c r="W90" s="776"/>
      <c r="X90" s="776"/>
      <c r="Y90" s="785"/>
      <c r="Z90" s="776"/>
      <c r="AA90" s="776"/>
      <c r="AB90" s="776"/>
    </row>
    <row r="91" spans="1:28" ht="15.75" customHeight="1">
      <c r="A91" s="776"/>
      <c r="B91" s="776"/>
      <c r="C91" s="776"/>
      <c r="D91" s="776"/>
      <c r="E91" s="777"/>
      <c r="F91" s="776"/>
      <c r="G91" s="777"/>
      <c r="H91" s="776"/>
      <c r="I91" s="777"/>
      <c r="J91" s="777"/>
      <c r="K91" s="786"/>
      <c r="L91" s="777"/>
      <c r="M91" s="785"/>
      <c r="N91" s="785"/>
      <c r="O91" s="785"/>
      <c r="P91" s="785"/>
      <c r="Q91" s="785"/>
      <c r="R91" s="785"/>
      <c r="S91" s="776"/>
      <c r="T91" s="776"/>
      <c r="U91" s="776"/>
      <c r="V91" s="776"/>
      <c r="W91" s="776"/>
      <c r="X91" s="776"/>
      <c r="Y91" s="785"/>
      <c r="Z91" s="776"/>
      <c r="AA91" s="776"/>
      <c r="AB91" s="776"/>
    </row>
    <row r="92" spans="1:28" ht="15.75" customHeight="1">
      <c r="A92" s="776"/>
      <c r="B92" s="776"/>
      <c r="C92" s="776"/>
      <c r="D92" s="776"/>
      <c r="E92" s="777"/>
      <c r="F92" s="776"/>
      <c r="G92" s="777"/>
      <c r="H92" s="776"/>
      <c r="I92" s="777"/>
      <c r="J92" s="777"/>
      <c r="K92" s="786"/>
      <c r="L92" s="777"/>
      <c r="M92" s="785"/>
      <c r="N92" s="785"/>
      <c r="O92" s="785"/>
      <c r="P92" s="785"/>
      <c r="Q92" s="785"/>
      <c r="R92" s="785"/>
      <c r="S92" s="776"/>
      <c r="T92" s="776"/>
      <c r="U92" s="776"/>
      <c r="V92" s="776"/>
      <c r="W92" s="776"/>
      <c r="X92" s="776"/>
      <c r="Y92" s="785"/>
      <c r="Z92" s="776"/>
      <c r="AA92" s="776"/>
      <c r="AB92" s="776"/>
    </row>
    <row r="93" spans="1:28" ht="15.75" customHeight="1">
      <c r="A93" s="776"/>
      <c r="B93" s="776"/>
      <c r="C93" s="776"/>
      <c r="D93" s="776"/>
      <c r="E93" s="777"/>
      <c r="F93" s="776"/>
      <c r="G93" s="777"/>
      <c r="H93" s="776"/>
      <c r="I93" s="777"/>
      <c r="J93" s="777"/>
      <c r="K93" s="786"/>
      <c r="L93" s="777"/>
      <c r="M93" s="785"/>
      <c r="N93" s="785"/>
      <c r="O93" s="785"/>
      <c r="P93" s="785"/>
      <c r="Q93" s="785"/>
      <c r="R93" s="785"/>
      <c r="S93" s="776"/>
      <c r="T93" s="776"/>
      <c r="U93" s="776"/>
      <c r="V93" s="776"/>
      <c r="W93" s="776"/>
      <c r="X93" s="776"/>
      <c r="Y93" s="785"/>
      <c r="Z93" s="776"/>
      <c r="AA93" s="776"/>
      <c r="AB93" s="776"/>
    </row>
    <row r="94" spans="1:28" ht="15.75" customHeight="1">
      <c r="A94" s="776"/>
      <c r="B94" s="776"/>
      <c r="C94" s="776"/>
      <c r="D94" s="776"/>
      <c r="E94" s="777"/>
      <c r="F94" s="776"/>
      <c r="G94" s="777"/>
      <c r="H94" s="776"/>
      <c r="I94" s="777"/>
      <c r="J94" s="777"/>
      <c r="K94" s="786"/>
      <c r="L94" s="777"/>
      <c r="M94" s="785"/>
      <c r="N94" s="785"/>
      <c r="O94" s="785"/>
      <c r="P94" s="785"/>
      <c r="Q94" s="785"/>
      <c r="R94" s="785"/>
      <c r="S94" s="776"/>
      <c r="T94" s="776"/>
      <c r="U94" s="776"/>
      <c r="V94" s="776"/>
      <c r="W94" s="776"/>
      <c r="X94" s="776"/>
      <c r="Y94" s="785"/>
      <c r="Z94" s="776"/>
      <c r="AA94" s="776"/>
      <c r="AB94" s="776"/>
    </row>
    <row r="95" spans="1:28" ht="15.75" customHeight="1">
      <c r="A95" s="776"/>
      <c r="B95" s="776"/>
      <c r="C95" s="776"/>
      <c r="D95" s="776"/>
      <c r="E95" s="777"/>
      <c r="F95" s="776"/>
      <c r="G95" s="777"/>
      <c r="H95" s="776"/>
      <c r="I95" s="777"/>
      <c r="J95" s="777"/>
      <c r="K95" s="786"/>
      <c r="L95" s="777"/>
      <c r="M95" s="785"/>
      <c r="N95" s="785"/>
      <c r="O95" s="785"/>
      <c r="P95" s="785"/>
      <c r="Q95" s="785"/>
      <c r="R95" s="785"/>
      <c r="S95" s="776"/>
      <c r="T95" s="776"/>
      <c r="U95" s="776"/>
      <c r="V95" s="776"/>
      <c r="W95" s="776"/>
      <c r="X95" s="776"/>
      <c r="Y95" s="785"/>
      <c r="Z95" s="776"/>
      <c r="AA95" s="776"/>
      <c r="AB95" s="776"/>
    </row>
    <row r="96" spans="1:28" ht="15.75" customHeight="1">
      <c r="A96" s="776"/>
      <c r="B96" s="776"/>
      <c r="C96" s="776"/>
      <c r="D96" s="776"/>
      <c r="E96" s="777"/>
      <c r="F96" s="776"/>
      <c r="G96" s="777"/>
      <c r="H96" s="776"/>
      <c r="I96" s="777"/>
      <c r="J96" s="777"/>
      <c r="K96" s="786"/>
      <c r="L96" s="777"/>
      <c r="M96" s="785"/>
      <c r="N96" s="785"/>
      <c r="O96" s="785"/>
      <c r="P96" s="785"/>
      <c r="Q96" s="785"/>
      <c r="R96" s="785"/>
      <c r="S96" s="776"/>
      <c r="T96" s="776"/>
      <c r="U96" s="776"/>
      <c r="V96" s="776"/>
      <c r="W96" s="776"/>
      <c r="X96" s="776"/>
      <c r="Y96" s="785"/>
      <c r="Z96" s="776"/>
      <c r="AA96" s="776"/>
      <c r="AB96" s="776"/>
    </row>
    <row r="97" spans="1:28" ht="15.75" customHeight="1">
      <c r="A97" s="776"/>
      <c r="B97" s="776"/>
      <c r="C97" s="776"/>
      <c r="D97" s="776"/>
      <c r="E97" s="777"/>
      <c r="F97" s="776"/>
      <c r="G97" s="777"/>
      <c r="H97" s="776"/>
      <c r="I97" s="777"/>
      <c r="J97" s="777"/>
      <c r="K97" s="786"/>
      <c r="L97" s="777"/>
      <c r="M97" s="785"/>
      <c r="N97" s="785"/>
      <c r="O97" s="785"/>
      <c r="P97" s="785"/>
      <c r="Q97" s="785"/>
      <c r="R97" s="785"/>
      <c r="S97" s="776"/>
      <c r="T97" s="776"/>
      <c r="U97" s="776"/>
      <c r="V97" s="776"/>
      <c r="W97" s="776"/>
      <c r="X97" s="776"/>
      <c r="Y97" s="785"/>
      <c r="Z97" s="776"/>
      <c r="AA97" s="776"/>
      <c r="AB97" s="776"/>
    </row>
    <row r="98" spans="1:28" ht="15.75" customHeight="1">
      <c r="A98" s="776"/>
      <c r="B98" s="776"/>
      <c r="C98" s="776"/>
      <c r="D98" s="776"/>
      <c r="E98" s="777"/>
      <c r="F98" s="776"/>
      <c r="G98" s="777"/>
      <c r="H98" s="776"/>
      <c r="I98" s="777"/>
      <c r="J98" s="777"/>
      <c r="K98" s="786"/>
      <c r="L98" s="777"/>
      <c r="M98" s="785"/>
      <c r="N98" s="785"/>
      <c r="O98" s="785"/>
      <c r="P98" s="785"/>
      <c r="Q98" s="785"/>
      <c r="R98" s="785"/>
      <c r="S98" s="776"/>
      <c r="T98" s="776"/>
      <c r="U98" s="776"/>
      <c r="V98" s="776"/>
      <c r="W98" s="776"/>
      <c r="X98" s="776"/>
      <c r="Y98" s="785"/>
      <c r="Z98" s="776"/>
      <c r="AA98" s="776"/>
      <c r="AB98" s="776"/>
    </row>
    <row r="99" spans="1:28" ht="15.75" customHeight="1">
      <c r="A99" s="776"/>
      <c r="B99" s="776"/>
      <c r="C99" s="776"/>
      <c r="D99" s="776"/>
      <c r="E99" s="777"/>
      <c r="F99" s="776"/>
      <c r="G99" s="777"/>
      <c r="H99" s="776"/>
      <c r="I99" s="777"/>
      <c r="J99" s="777"/>
      <c r="K99" s="786"/>
      <c r="L99" s="777"/>
      <c r="M99" s="785"/>
      <c r="N99" s="785"/>
      <c r="O99" s="785"/>
      <c r="P99" s="785"/>
      <c r="Q99" s="785"/>
      <c r="R99" s="785"/>
      <c r="S99" s="776"/>
      <c r="T99" s="776"/>
      <c r="U99" s="776"/>
      <c r="V99" s="776"/>
      <c r="W99" s="776"/>
      <c r="X99" s="776"/>
      <c r="Y99" s="785"/>
      <c r="Z99" s="776"/>
      <c r="AA99" s="776"/>
      <c r="AB99" s="776"/>
    </row>
    <row r="100" spans="1:28" ht="15.75" customHeight="1">
      <c r="A100" s="776"/>
      <c r="B100" s="776"/>
      <c r="C100" s="776"/>
      <c r="D100" s="776"/>
      <c r="E100" s="777"/>
      <c r="F100" s="776"/>
      <c r="G100" s="777"/>
      <c r="H100" s="776"/>
      <c r="I100" s="777"/>
      <c r="J100" s="777"/>
      <c r="K100" s="786"/>
      <c r="L100" s="777"/>
      <c r="M100" s="785"/>
      <c r="N100" s="785"/>
      <c r="O100" s="785"/>
      <c r="P100" s="785"/>
      <c r="Q100" s="785"/>
      <c r="R100" s="785"/>
      <c r="S100" s="776"/>
      <c r="T100" s="776"/>
      <c r="U100" s="776"/>
      <c r="V100" s="776"/>
      <c r="W100" s="776"/>
      <c r="X100" s="776"/>
      <c r="Y100" s="785"/>
      <c r="Z100" s="776"/>
      <c r="AA100" s="776"/>
      <c r="AB100" s="776"/>
    </row>
    <row r="101" spans="1:28" ht="15.75" customHeight="1">
      <c r="A101" s="776"/>
      <c r="B101" s="776"/>
      <c r="C101" s="776"/>
      <c r="D101" s="776"/>
      <c r="E101" s="777"/>
      <c r="F101" s="776"/>
      <c r="G101" s="777"/>
      <c r="H101" s="776"/>
      <c r="I101" s="777"/>
      <c r="J101" s="777"/>
      <c r="K101" s="786"/>
      <c r="L101" s="777"/>
      <c r="M101" s="785"/>
      <c r="N101" s="785"/>
      <c r="O101" s="785"/>
      <c r="P101" s="785"/>
      <c r="Q101" s="785"/>
      <c r="R101" s="785"/>
      <c r="S101" s="776"/>
      <c r="T101" s="776"/>
      <c r="U101" s="776"/>
      <c r="V101" s="776"/>
      <c r="W101" s="776"/>
      <c r="X101" s="776"/>
      <c r="Y101" s="785"/>
      <c r="Z101" s="776"/>
      <c r="AA101" s="776"/>
      <c r="AB101" s="776"/>
    </row>
    <row r="102" spans="1:28" ht="15.75" customHeight="1">
      <c r="A102" s="776"/>
      <c r="B102" s="776"/>
      <c r="C102" s="776"/>
      <c r="D102" s="776"/>
      <c r="E102" s="777"/>
      <c r="F102" s="776"/>
      <c r="G102" s="777"/>
      <c r="H102" s="776"/>
      <c r="I102" s="777"/>
      <c r="J102" s="777"/>
      <c r="K102" s="786"/>
      <c r="L102" s="777"/>
      <c r="M102" s="785"/>
      <c r="N102" s="785"/>
      <c r="O102" s="785"/>
      <c r="P102" s="785"/>
      <c r="Q102" s="785"/>
      <c r="R102" s="785"/>
      <c r="S102" s="776"/>
      <c r="T102" s="776"/>
      <c r="U102" s="776"/>
      <c r="V102" s="776"/>
      <c r="W102" s="776"/>
      <c r="X102" s="776"/>
      <c r="Y102" s="785"/>
      <c r="Z102" s="776"/>
      <c r="AA102" s="776"/>
      <c r="AB102" s="776"/>
    </row>
    <row r="103" spans="1:28" ht="15.75" customHeight="1">
      <c r="A103" s="776"/>
      <c r="B103" s="776"/>
      <c r="C103" s="776"/>
      <c r="D103" s="776"/>
      <c r="E103" s="777"/>
      <c r="F103" s="776"/>
      <c r="G103" s="777"/>
      <c r="H103" s="776"/>
      <c r="I103" s="777"/>
      <c r="J103" s="777"/>
      <c r="K103" s="786"/>
      <c r="L103" s="777"/>
      <c r="M103" s="785"/>
      <c r="N103" s="785"/>
      <c r="O103" s="785"/>
      <c r="P103" s="785"/>
      <c r="Q103" s="785"/>
      <c r="R103" s="785"/>
      <c r="S103" s="776"/>
      <c r="T103" s="776"/>
      <c r="U103" s="776"/>
      <c r="V103" s="776"/>
      <c r="W103" s="776"/>
      <c r="X103" s="776"/>
      <c r="Y103" s="785"/>
      <c r="Z103" s="776"/>
      <c r="AA103" s="776"/>
      <c r="AB103" s="776"/>
    </row>
    <row r="104" spans="1:28" ht="15.75" customHeight="1">
      <c r="A104" s="776"/>
      <c r="B104" s="776"/>
      <c r="C104" s="776"/>
      <c r="D104" s="776"/>
      <c r="E104" s="777"/>
      <c r="F104" s="776"/>
      <c r="G104" s="777"/>
      <c r="H104" s="776"/>
      <c r="I104" s="777"/>
      <c r="J104" s="777"/>
      <c r="K104" s="786"/>
      <c r="L104" s="777"/>
      <c r="M104" s="785"/>
      <c r="N104" s="785"/>
      <c r="O104" s="785"/>
      <c r="P104" s="785"/>
      <c r="Q104" s="785"/>
      <c r="R104" s="785"/>
      <c r="S104" s="776"/>
      <c r="T104" s="776"/>
      <c r="U104" s="776"/>
      <c r="V104" s="776"/>
      <c r="W104" s="776"/>
      <c r="X104" s="776"/>
      <c r="Y104" s="785"/>
      <c r="Z104" s="776"/>
      <c r="AA104" s="776"/>
      <c r="AB104" s="776"/>
    </row>
    <row r="105" spans="1:28" ht="15.75" customHeight="1">
      <c r="A105" s="776"/>
      <c r="B105" s="776"/>
      <c r="C105" s="776"/>
      <c r="D105" s="776"/>
      <c r="E105" s="777"/>
      <c r="F105" s="776"/>
      <c r="G105" s="777"/>
      <c r="H105" s="776"/>
      <c r="I105" s="777"/>
      <c r="J105" s="777"/>
      <c r="K105" s="786"/>
      <c r="L105" s="777"/>
      <c r="M105" s="785"/>
      <c r="N105" s="785"/>
      <c r="O105" s="785"/>
      <c r="P105" s="785"/>
      <c r="Q105" s="785"/>
      <c r="R105" s="785"/>
      <c r="S105" s="776"/>
      <c r="T105" s="776"/>
      <c r="U105" s="776"/>
      <c r="V105" s="776"/>
      <c r="W105" s="776"/>
      <c r="X105" s="776"/>
      <c r="Y105" s="785"/>
      <c r="Z105" s="776"/>
      <c r="AA105" s="776"/>
      <c r="AB105" s="776"/>
    </row>
    <row r="106" spans="1:28" ht="15.75" customHeight="1">
      <c r="A106" s="776"/>
      <c r="B106" s="776"/>
      <c r="C106" s="776"/>
      <c r="D106" s="776"/>
      <c r="E106" s="777"/>
      <c r="F106" s="776"/>
      <c r="G106" s="777"/>
      <c r="H106" s="776"/>
      <c r="I106" s="777"/>
      <c r="J106" s="777"/>
      <c r="K106" s="786"/>
      <c r="L106" s="777"/>
      <c r="M106" s="785"/>
      <c r="N106" s="785"/>
      <c r="O106" s="785"/>
      <c r="P106" s="785"/>
      <c r="Q106" s="785"/>
      <c r="R106" s="785"/>
      <c r="S106" s="776"/>
      <c r="T106" s="776"/>
      <c r="U106" s="776"/>
      <c r="V106" s="776"/>
      <c r="W106" s="776"/>
      <c r="X106" s="776"/>
      <c r="Y106" s="785"/>
      <c r="Z106" s="776"/>
      <c r="AA106" s="776"/>
      <c r="AB106" s="776"/>
    </row>
    <row r="107" spans="1:28" ht="15.75" customHeight="1">
      <c r="A107" s="776"/>
      <c r="B107" s="776"/>
      <c r="C107" s="776"/>
      <c r="D107" s="776"/>
      <c r="E107" s="777"/>
      <c r="F107" s="776"/>
      <c r="G107" s="777"/>
      <c r="H107" s="776"/>
      <c r="I107" s="777"/>
      <c r="J107" s="777"/>
      <c r="K107" s="786"/>
      <c r="L107" s="777"/>
      <c r="M107" s="785"/>
      <c r="N107" s="785"/>
      <c r="O107" s="785"/>
      <c r="P107" s="785"/>
      <c r="Q107" s="785"/>
      <c r="R107" s="785"/>
      <c r="S107" s="776"/>
      <c r="T107" s="776"/>
      <c r="U107" s="776"/>
      <c r="V107" s="776"/>
      <c r="W107" s="776"/>
      <c r="X107" s="776"/>
      <c r="Y107" s="785"/>
      <c r="Z107" s="776"/>
      <c r="AA107" s="776"/>
      <c r="AB107" s="776"/>
    </row>
    <row r="108" spans="1:28" ht="15.75" customHeight="1">
      <c r="A108" s="776"/>
      <c r="B108" s="776"/>
      <c r="C108" s="776"/>
      <c r="D108" s="776"/>
      <c r="E108" s="777"/>
      <c r="F108" s="776"/>
      <c r="G108" s="777"/>
      <c r="H108" s="776"/>
      <c r="I108" s="777"/>
      <c r="J108" s="777"/>
      <c r="K108" s="786"/>
      <c r="L108" s="777"/>
      <c r="M108" s="785"/>
      <c r="N108" s="785"/>
      <c r="O108" s="785"/>
      <c r="P108" s="785"/>
      <c r="Q108" s="785"/>
      <c r="R108" s="785"/>
      <c r="S108" s="776"/>
      <c r="T108" s="776"/>
      <c r="U108" s="776"/>
      <c r="V108" s="776"/>
      <c r="W108" s="776"/>
      <c r="X108" s="776"/>
      <c r="Y108" s="785"/>
      <c r="Z108" s="776"/>
      <c r="AA108" s="776"/>
      <c r="AB108" s="776"/>
    </row>
    <row r="109" spans="1:28" ht="15.75" customHeight="1">
      <c r="A109" s="776"/>
      <c r="B109" s="776"/>
      <c r="C109" s="776"/>
      <c r="D109" s="776"/>
      <c r="E109" s="777"/>
      <c r="F109" s="776"/>
      <c r="G109" s="777"/>
      <c r="H109" s="776"/>
      <c r="I109" s="777"/>
      <c r="J109" s="777"/>
      <c r="K109" s="786"/>
      <c r="L109" s="777"/>
      <c r="M109" s="785"/>
      <c r="N109" s="785"/>
      <c r="O109" s="785"/>
      <c r="P109" s="785"/>
      <c r="Q109" s="785"/>
      <c r="R109" s="785"/>
      <c r="S109" s="776"/>
      <c r="T109" s="776"/>
      <c r="U109" s="776"/>
      <c r="V109" s="776"/>
      <c r="W109" s="776"/>
      <c r="X109" s="776"/>
      <c r="Y109" s="785"/>
      <c r="Z109" s="776"/>
      <c r="AA109" s="776"/>
      <c r="AB109" s="776"/>
    </row>
    <row r="110" spans="1:28" ht="15.75" customHeight="1">
      <c r="A110" s="776"/>
      <c r="B110" s="776"/>
      <c r="C110" s="776"/>
      <c r="D110" s="776"/>
      <c r="E110" s="777"/>
      <c r="F110" s="776"/>
      <c r="G110" s="777"/>
      <c r="H110" s="776"/>
      <c r="I110" s="777"/>
      <c r="J110" s="777"/>
      <c r="K110" s="786"/>
      <c r="L110" s="777"/>
      <c r="M110" s="785"/>
      <c r="N110" s="785"/>
      <c r="O110" s="785"/>
      <c r="P110" s="785"/>
      <c r="Q110" s="785"/>
      <c r="R110" s="785"/>
      <c r="S110" s="776"/>
      <c r="T110" s="776"/>
      <c r="U110" s="776"/>
      <c r="V110" s="776"/>
      <c r="W110" s="776"/>
      <c r="X110" s="776"/>
      <c r="Y110" s="785"/>
      <c r="Z110" s="776"/>
      <c r="AA110" s="776"/>
      <c r="AB110" s="776"/>
    </row>
    <row r="111" spans="1:28" ht="15.75" customHeight="1">
      <c r="A111" s="776"/>
      <c r="B111" s="776"/>
      <c r="C111" s="776"/>
      <c r="D111" s="776"/>
      <c r="E111" s="777"/>
      <c r="F111" s="776"/>
      <c r="G111" s="777"/>
      <c r="H111" s="776"/>
      <c r="I111" s="777"/>
      <c r="J111" s="777"/>
      <c r="K111" s="786"/>
      <c r="L111" s="777"/>
      <c r="M111" s="785"/>
      <c r="N111" s="785"/>
      <c r="O111" s="785"/>
      <c r="P111" s="785"/>
      <c r="Q111" s="785"/>
      <c r="R111" s="785"/>
      <c r="S111" s="776"/>
      <c r="T111" s="776"/>
      <c r="U111" s="776"/>
      <c r="V111" s="776"/>
      <c r="W111" s="776"/>
      <c r="X111" s="776"/>
      <c r="Y111" s="785"/>
      <c r="Z111" s="776"/>
      <c r="AA111" s="776"/>
      <c r="AB111" s="776"/>
    </row>
    <row r="112" spans="1:28" ht="15.75" customHeight="1">
      <c r="A112" s="776"/>
      <c r="B112" s="776"/>
      <c r="C112" s="776"/>
      <c r="D112" s="776"/>
      <c r="E112" s="777"/>
      <c r="F112" s="776"/>
      <c r="G112" s="777"/>
      <c r="H112" s="776"/>
      <c r="I112" s="777"/>
      <c r="J112" s="777"/>
      <c r="K112" s="786"/>
      <c r="L112" s="777"/>
      <c r="M112" s="785"/>
      <c r="N112" s="785"/>
      <c r="O112" s="785"/>
      <c r="P112" s="785"/>
      <c r="Q112" s="785"/>
      <c r="R112" s="785"/>
      <c r="S112" s="776"/>
      <c r="T112" s="776"/>
      <c r="U112" s="776"/>
      <c r="V112" s="776"/>
      <c r="W112" s="776"/>
      <c r="X112" s="776"/>
      <c r="Y112" s="785"/>
      <c r="Z112" s="776"/>
      <c r="AA112" s="776"/>
      <c r="AB112" s="776"/>
    </row>
    <row r="113" spans="1:28" ht="15.75" customHeight="1">
      <c r="A113" s="776"/>
      <c r="B113" s="776"/>
      <c r="C113" s="776"/>
      <c r="D113" s="776"/>
      <c r="E113" s="777"/>
      <c r="F113" s="776"/>
      <c r="G113" s="777"/>
      <c r="H113" s="776"/>
      <c r="I113" s="777"/>
      <c r="J113" s="777"/>
      <c r="K113" s="786"/>
      <c r="L113" s="777"/>
      <c r="M113" s="785"/>
      <c r="N113" s="785"/>
      <c r="O113" s="785"/>
      <c r="P113" s="785"/>
      <c r="Q113" s="785"/>
      <c r="R113" s="785"/>
      <c r="S113" s="776"/>
      <c r="T113" s="776"/>
      <c r="U113" s="776"/>
      <c r="V113" s="776"/>
      <c r="W113" s="776"/>
      <c r="X113" s="776"/>
      <c r="Y113" s="785"/>
      <c r="Z113" s="776"/>
      <c r="AA113" s="776"/>
      <c r="AB113" s="776"/>
    </row>
    <row r="114" spans="1:28" ht="15.75" customHeight="1">
      <c r="A114" s="776"/>
      <c r="B114" s="776"/>
      <c r="C114" s="776"/>
      <c r="D114" s="776"/>
      <c r="E114" s="777"/>
      <c r="F114" s="776"/>
      <c r="G114" s="777"/>
      <c r="H114" s="776"/>
      <c r="I114" s="777"/>
      <c r="J114" s="777"/>
      <c r="K114" s="786"/>
      <c r="L114" s="777"/>
      <c r="M114" s="785"/>
      <c r="N114" s="785"/>
      <c r="O114" s="785"/>
      <c r="P114" s="785"/>
      <c r="Q114" s="785"/>
      <c r="R114" s="785"/>
      <c r="S114" s="776"/>
      <c r="T114" s="776"/>
      <c r="U114" s="776"/>
      <c r="V114" s="776"/>
      <c r="W114" s="776"/>
      <c r="X114" s="776"/>
      <c r="Y114" s="785"/>
      <c r="Z114" s="776"/>
      <c r="AA114" s="776"/>
      <c r="AB114" s="776"/>
    </row>
    <row r="115" spans="1:28" ht="15.75" customHeight="1">
      <c r="A115" s="776"/>
      <c r="B115" s="776"/>
      <c r="C115" s="776"/>
      <c r="D115" s="776"/>
      <c r="E115" s="777"/>
      <c r="F115" s="776"/>
      <c r="G115" s="777"/>
      <c r="H115" s="776"/>
      <c r="I115" s="777"/>
      <c r="J115" s="777"/>
      <c r="K115" s="786"/>
      <c r="L115" s="777"/>
      <c r="M115" s="785"/>
      <c r="N115" s="785"/>
      <c r="O115" s="785"/>
      <c r="P115" s="785"/>
      <c r="Q115" s="785"/>
      <c r="R115" s="785"/>
      <c r="S115" s="776"/>
      <c r="T115" s="776"/>
      <c r="U115" s="776"/>
      <c r="V115" s="776"/>
      <c r="W115" s="776"/>
      <c r="X115" s="776"/>
      <c r="Y115" s="785"/>
      <c r="Z115" s="776"/>
      <c r="AA115" s="776"/>
      <c r="AB115" s="776"/>
    </row>
    <row r="116" spans="1:28" ht="15.75" customHeight="1">
      <c r="A116" s="776"/>
      <c r="B116" s="776"/>
      <c r="C116" s="776"/>
      <c r="D116" s="776"/>
      <c r="E116" s="777"/>
      <c r="F116" s="776"/>
      <c r="G116" s="777"/>
      <c r="H116" s="776"/>
      <c r="I116" s="777"/>
      <c r="J116" s="777"/>
      <c r="K116" s="786"/>
      <c r="L116" s="777"/>
      <c r="M116" s="785"/>
      <c r="N116" s="785"/>
      <c r="O116" s="785"/>
      <c r="P116" s="785"/>
      <c r="Q116" s="785"/>
      <c r="R116" s="785"/>
      <c r="S116" s="776"/>
      <c r="T116" s="776"/>
      <c r="U116" s="776"/>
      <c r="V116" s="776"/>
      <c r="W116" s="776"/>
      <c r="X116" s="776"/>
      <c r="Y116" s="785"/>
      <c r="Z116" s="776"/>
      <c r="AA116" s="776"/>
      <c r="AB116" s="776"/>
    </row>
    <row r="117" spans="1:28" ht="15.75" customHeight="1">
      <c r="A117" s="776"/>
      <c r="B117" s="776"/>
      <c r="C117" s="776"/>
      <c r="D117" s="776"/>
      <c r="E117" s="777"/>
      <c r="F117" s="776"/>
      <c r="G117" s="777"/>
      <c r="H117" s="776"/>
      <c r="I117" s="777"/>
      <c r="J117" s="777"/>
      <c r="K117" s="786"/>
      <c r="L117" s="777"/>
      <c r="M117" s="785"/>
      <c r="N117" s="785"/>
      <c r="O117" s="785"/>
      <c r="P117" s="785"/>
      <c r="Q117" s="785"/>
      <c r="R117" s="785"/>
      <c r="S117" s="776"/>
      <c r="T117" s="776"/>
      <c r="U117" s="776"/>
      <c r="V117" s="776"/>
      <c r="W117" s="776"/>
      <c r="X117" s="776"/>
      <c r="Y117" s="785"/>
      <c r="Z117" s="776"/>
      <c r="AA117" s="776"/>
      <c r="AB117" s="776"/>
    </row>
    <row r="118" spans="1:28" ht="15.75" customHeight="1">
      <c r="A118" s="776"/>
      <c r="B118" s="776"/>
      <c r="C118" s="776"/>
      <c r="D118" s="776"/>
      <c r="E118" s="777"/>
      <c r="F118" s="776"/>
      <c r="G118" s="777"/>
      <c r="H118" s="776"/>
      <c r="I118" s="777"/>
      <c r="J118" s="777"/>
      <c r="K118" s="786"/>
      <c r="L118" s="777"/>
      <c r="M118" s="785"/>
      <c r="N118" s="785"/>
      <c r="O118" s="785"/>
      <c r="P118" s="785"/>
      <c r="Q118" s="785"/>
      <c r="R118" s="785"/>
      <c r="S118" s="776"/>
      <c r="T118" s="776"/>
      <c r="U118" s="776"/>
      <c r="V118" s="776"/>
      <c r="W118" s="776"/>
      <c r="X118" s="776"/>
      <c r="Y118" s="785"/>
      <c r="Z118" s="776"/>
      <c r="AA118" s="776"/>
      <c r="AB118" s="776"/>
    </row>
    <row r="119" spans="1:28" ht="15.75" customHeight="1">
      <c r="A119" s="776"/>
      <c r="B119" s="776"/>
      <c r="C119" s="776"/>
      <c r="D119" s="776"/>
      <c r="E119" s="777"/>
      <c r="F119" s="776"/>
      <c r="G119" s="777"/>
      <c r="H119" s="776"/>
      <c r="I119" s="777"/>
      <c r="J119" s="777"/>
      <c r="K119" s="786"/>
      <c r="L119" s="777"/>
      <c r="M119" s="785"/>
      <c r="N119" s="785"/>
      <c r="O119" s="785"/>
      <c r="P119" s="785"/>
      <c r="Q119" s="785"/>
      <c r="R119" s="785"/>
      <c r="S119" s="776"/>
      <c r="T119" s="776"/>
      <c r="U119" s="776"/>
      <c r="V119" s="776"/>
      <c r="W119" s="776"/>
      <c r="X119" s="776"/>
      <c r="Y119" s="785"/>
      <c r="Z119" s="776"/>
      <c r="AA119" s="776"/>
      <c r="AB119" s="776"/>
    </row>
    <row r="120" spans="1:28" ht="15.75" customHeight="1">
      <c r="A120" s="776"/>
      <c r="B120" s="776"/>
      <c r="C120" s="776"/>
      <c r="D120" s="776"/>
      <c r="E120" s="777"/>
      <c r="F120" s="776"/>
      <c r="G120" s="777"/>
      <c r="H120" s="776"/>
      <c r="I120" s="777"/>
      <c r="J120" s="777"/>
      <c r="K120" s="786"/>
      <c r="L120" s="777"/>
      <c r="M120" s="785"/>
      <c r="N120" s="785"/>
      <c r="O120" s="785"/>
      <c r="P120" s="785"/>
      <c r="Q120" s="785"/>
      <c r="R120" s="785"/>
      <c r="S120" s="776"/>
      <c r="T120" s="776"/>
      <c r="U120" s="776"/>
      <c r="V120" s="776"/>
      <c r="W120" s="776"/>
      <c r="X120" s="776"/>
      <c r="Y120" s="785"/>
      <c r="Z120" s="776"/>
      <c r="AA120" s="776"/>
      <c r="AB120" s="776"/>
    </row>
    <row r="121" spans="1:28" ht="15.75" customHeight="1">
      <c r="A121" s="776"/>
      <c r="B121" s="776"/>
      <c r="C121" s="776"/>
      <c r="D121" s="776"/>
      <c r="E121" s="777"/>
      <c r="F121" s="776"/>
      <c r="G121" s="777"/>
      <c r="H121" s="776"/>
      <c r="I121" s="777"/>
      <c r="J121" s="777"/>
      <c r="K121" s="786"/>
      <c r="L121" s="777"/>
      <c r="M121" s="785"/>
      <c r="N121" s="785"/>
      <c r="O121" s="785"/>
      <c r="P121" s="785"/>
      <c r="Q121" s="785"/>
      <c r="R121" s="785"/>
      <c r="S121" s="776"/>
      <c r="T121" s="776"/>
      <c r="U121" s="776"/>
      <c r="V121" s="776"/>
      <c r="W121" s="776"/>
      <c r="X121" s="776"/>
      <c r="Y121" s="785"/>
      <c r="Z121" s="776"/>
      <c r="AA121" s="776"/>
      <c r="AB121" s="776"/>
    </row>
    <row r="122" spans="1:28" ht="15.75" customHeight="1">
      <c r="A122" s="776"/>
      <c r="B122" s="776"/>
      <c r="C122" s="776"/>
      <c r="D122" s="776"/>
      <c r="E122" s="777"/>
      <c r="F122" s="776"/>
      <c r="G122" s="777"/>
      <c r="H122" s="776"/>
      <c r="I122" s="777"/>
      <c r="J122" s="777"/>
      <c r="K122" s="786"/>
      <c r="L122" s="777"/>
      <c r="M122" s="785"/>
      <c r="N122" s="785"/>
      <c r="O122" s="785"/>
      <c r="P122" s="785"/>
      <c r="Q122" s="785"/>
      <c r="R122" s="785"/>
      <c r="S122" s="776"/>
      <c r="T122" s="776"/>
      <c r="U122" s="776"/>
      <c r="V122" s="776"/>
      <c r="W122" s="776"/>
      <c r="X122" s="776"/>
      <c r="Y122" s="785"/>
      <c r="Z122" s="776"/>
      <c r="AA122" s="776"/>
      <c r="AB122" s="776"/>
    </row>
    <row r="123" spans="1:28" ht="15.75" customHeight="1">
      <c r="A123" s="776"/>
      <c r="B123" s="776"/>
      <c r="C123" s="776"/>
      <c r="D123" s="776"/>
      <c r="E123" s="777"/>
      <c r="F123" s="776"/>
      <c r="G123" s="777"/>
      <c r="H123" s="776"/>
      <c r="I123" s="777"/>
      <c r="J123" s="777"/>
      <c r="K123" s="786"/>
      <c r="L123" s="777"/>
      <c r="M123" s="785"/>
      <c r="N123" s="785"/>
      <c r="O123" s="785"/>
      <c r="P123" s="785"/>
      <c r="Q123" s="785"/>
      <c r="R123" s="785"/>
      <c r="S123" s="776"/>
      <c r="T123" s="776"/>
      <c r="U123" s="776"/>
      <c r="V123" s="776"/>
      <c r="W123" s="776"/>
      <c r="X123" s="776"/>
      <c r="Y123" s="785"/>
      <c r="Z123" s="776"/>
      <c r="AA123" s="776"/>
      <c r="AB123" s="776"/>
    </row>
    <row r="124" spans="1:28" ht="15.75" customHeight="1">
      <c r="A124" s="776"/>
      <c r="B124" s="776"/>
      <c r="C124" s="776"/>
      <c r="D124" s="776"/>
      <c r="E124" s="777"/>
      <c r="F124" s="776"/>
      <c r="G124" s="777"/>
      <c r="H124" s="776"/>
      <c r="I124" s="777"/>
      <c r="J124" s="777"/>
      <c r="K124" s="786"/>
      <c r="L124" s="777"/>
      <c r="M124" s="785"/>
      <c r="N124" s="785"/>
      <c r="O124" s="785"/>
      <c r="P124" s="785"/>
      <c r="Q124" s="785"/>
      <c r="R124" s="785"/>
      <c r="S124" s="776"/>
      <c r="T124" s="776"/>
      <c r="U124" s="776"/>
      <c r="V124" s="776"/>
      <c r="W124" s="776"/>
      <c r="X124" s="776"/>
      <c r="Y124" s="785"/>
      <c r="Z124" s="776"/>
      <c r="AA124" s="776"/>
      <c r="AB124" s="776"/>
    </row>
    <row r="125" spans="1:28" ht="15.75" customHeight="1">
      <c r="A125" s="776"/>
      <c r="B125" s="776"/>
      <c r="C125" s="776"/>
      <c r="D125" s="776"/>
      <c r="E125" s="777"/>
      <c r="F125" s="776"/>
      <c r="G125" s="777"/>
      <c r="H125" s="776"/>
      <c r="I125" s="777"/>
      <c r="J125" s="777"/>
      <c r="K125" s="786"/>
      <c r="L125" s="777"/>
      <c r="M125" s="785"/>
      <c r="N125" s="785"/>
      <c r="O125" s="785"/>
      <c r="P125" s="785"/>
      <c r="Q125" s="785"/>
      <c r="R125" s="785"/>
      <c r="S125" s="776"/>
      <c r="T125" s="776"/>
      <c r="U125" s="776"/>
      <c r="V125" s="776"/>
      <c r="W125" s="776"/>
      <c r="X125" s="776"/>
      <c r="Y125" s="785"/>
      <c r="Z125" s="776"/>
      <c r="AA125" s="776"/>
      <c r="AB125" s="776"/>
    </row>
    <row r="126" spans="1:28" ht="15.75" customHeight="1">
      <c r="A126" s="776"/>
      <c r="B126" s="776"/>
      <c r="C126" s="776"/>
      <c r="D126" s="776"/>
      <c r="E126" s="777"/>
      <c r="F126" s="776"/>
      <c r="G126" s="777"/>
      <c r="H126" s="776"/>
      <c r="I126" s="777"/>
      <c r="J126" s="777"/>
      <c r="K126" s="786"/>
      <c r="L126" s="777"/>
      <c r="M126" s="785"/>
      <c r="N126" s="785"/>
      <c r="O126" s="785"/>
      <c r="P126" s="785"/>
      <c r="Q126" s="785"/>
      <c r="R126" s="785"/>
      <c r="S126" s="776"/>
      <c r="T126" s="776"/>
      <c r="U126" s="776"/>
      <c r="V126" s="776"/>
      <c r="W126" s="776"/>
      <c r="X126" s="776"/>
      <c r="Y126" s="785"/>
      <c r="Z126" s="776"/>
      <c r="AA126" s="776"/>
      <c r="AB126" s="776"/>
    </row>
    <row r="127" spans="1:28" ht="15.75" customHeight="1">
      <c r="A127" s="776"/>
      <c r="B127" s="776"/>
      <c r="C127" s="776"/>
      <c r="D127" s="776"/>
      <c r="E127" s="777"/>
      <c r="F127" s="776"/>
      <c r="G127" s="777"/>
      <c r="H127" s="776"/>
      <c r="I127" s="777"/>
      <c r="J127" s="777"/>
      <c r="K127" s="786"/>
      <c r="L127" s="777"/>
      <c r="M127" s="785"/>
      <c r="N127" s="785"/>
      <c r="O127" s="785"/>
      <c r="P127" s="785"/>
      <c r="Q127" s="785"/>
      <c r="R127" s="785"/>
      <c r="S127" s="776"/>
      <c r="T127" s="776"/>
      <c r="U127" s="776"/>
      <c r="V127" s="776"/>
      <c r="W127" s="776"/>
      <c r="X127" s="776"/>
      <c r="Y127" s="785"/>
      <c r="Z127" s="776"/>
      <c r="AA127" s="776"/>
      <c r="AB127" s="776"/>
    </row>
    <row r="128" spans="1:28" ht="15.75" customHeight="1">
      <c r="A128" s="776"/>
      <c r="B128" s="776"/>
      <c r="C128" s="776"/>
      <c r="D128" s="776"/>
      <c r="E128" s="777"/>
      <c r="F128" s="776"/>
      <c r="G128" s="777"/>
      <c r="H128" s="776"/>
      <c r="I128" s="777"/>
      <c r="J128" s="777"/>
      <c r="K128" s="786"/>
      <c r="L128" s="777"/>
      <c r="M128" s="785"/>
      <c r="N128" s="785"/>
      <c r="O128" s="785"/>
      <c r="P128" s="785"/>
      <c r="Q128" s="785"/>
      <c r="R128" s="785"/>
      <c r="S128" s="776"/>
      <c r="T128" s="776"/>
      <c r="U128" s="776"/>
      <c r="V128" s="776"/>
      <c r="W128" s="776"/>
      <c r="X128" s="776"/>
      <c r="Y128" s="785"/>
      <c r="Z128" s="776"/>
      <c r="AA128" s="776"/>
      <c r="AB128" s="776"/>
    </row>
    <row r="129" spans="1:28" ht="15.75" customHeight="1">
      <c r="A129" s="776"/>
      <c r="B129" s="776"/>
      <c r="C129" s="776"/>
      <c r="D129" s="776"/>
      <c r="E129" s="777"/>
      <c r="F129" s="776"/>
      <c r="G129" s="777"/>
      <c r="H129" s="776"/>
      <c r="I129" s="777"/>
      <c r="J129" s="777"/>
      <c r="K129" s="786"/>
      <c r="L129" s="777"/>
      <c r="M129" s="785"/>
      <c r="N129" s="785"/>
      <c r="O129" s="785"/>
      <c r="P129" s="785"/>
      <c r="Q129" s="785"/>
      <c r="R129" s="785"/>
      <c r="S129" s="776"/>
      <c r="T129" s="776"/>
      <c r="U129" s="776"/>
      <c r="V129" s="776"/>
      <c r="W129" s="776"/>
      <c r="X129" s="776"/>
      <c r="Y129" s="785"/>
      <c r="Z129" s="776"/>
      <c r="AA129" s="776"/>
      <c r="AB129" s="776"/>
    </row>
    <row r="130" spans="1:28" ht="15.75" customHeight="1">
      <c r="A130" s="776"/>
      <c r="B130" s="776"/>
      <c r="C130" s="776"/>
      <c r="D130" s="776"/>
      <c r="E130" s="777"/>
      <c r="F130" s="776"/>
      <c r="G130" s="777"/>
      <c r="H130" s="776"/>
      <c r="I130" s="777"/>
      <c r="J130" s="777"/>
      <c r="K130" s="786"/>
      <c r="L130" s="777"/>
      <c r="M130" s="785"/>
      <c r="N130" s="785"/>
      <c r="O130" s="785"/>
      <c r="P130" s="785"/>
      <c r="Q130" s="785"/>
      <c r="R130" s="785"/>
      <c r="S130" s="776"/>
      <c r="T130" s="776"/>
      <c r="U130" s="776"/>
      <c r="V130" s="776"/>
      <c r="W130" s="776"/>
      <c r="X130" s="776"/>
      <c r="Y130" s="785"/>
      <c r="Z130" s="776"/>
      <c r="AA130" s="776"/>
      <c r="AB130" s="776"/>
    </row>
    <row r="131" spans="1:28" ht="15.75" customHeight="1">
      <c r="A131" s="776"/>
      <c r="B131" s="776"/>
      <c r="C131" s="776"/>
      <c r="D131" s="776"/>
      <c r="E131" s="777"/>
      <c r="F131" s="776"/>
      <c r="G131" s="777"/>
      <c r="H131" s="776"/>
      <c r="I131" s="777"/>
      <c r="J131" s="777"/>
      <c r="K131" s="786"/>
      <c r="L131" s="777"/>
      <c r="M131" s="785"/>
      <c r="N131" s="785"/>
      <c r="O131" s="785"/>
      <c r="P131" s="785"/>
      <c r="Q131" s="785"/>
      <c r="R131" s="785"/>
      <c r="S131" s="776"/>
      <c r="T131" s="776"/>
      <c r="U131" s="776"/>
      <c r="V131" s="776"/>
      <c r="W131" s="776"/>
      <c r="X131" s="776"/>
      <c r="Y131" s="785"/>
      <c r="Z131" s="776"/>
      <c r="AA131" s="776"/>
      <c r="AB131" s="776"/>
    </row>
    <row r="132" spans="1:28" ht="15.75" customHeight="1">
      <c r="A132" s="776"/>
      <c r="B132" s="776"/>
      <c r="C132" s="776"/>
      <c r="D132" s="776"/>
      <c r="E132" s="777"/>
      <c r="F132" s="776"/>
      <c r="G132" s="777"/>
      <c r="H132" s="776"/>
      <c r="I132" s="777"/>
      <c r="J132" s="777"/>
      <c r="K132" s="786"/>
      <c r="L132" s="777"/>
      <c r="M132" s="785"/>
      <c r="N132" s="785"/>
      <c r="O132" s="785"/>
      <c r="P132" s="785"/>
      <c r="Q132" s="785"/>
      <c r="R132" s="785"/>
      <c r="S132" s="776"/>
      <c r="T132" s="776"/>
      <c r="U132" s="776"/>
      <c r="V132" s="776"/>
      <c r="W132" s="776"/>
      <c r="X132" s="776"/>
      <c r="Y132" s="785"/>
      <c r="Z132" s="776"/>
      <c r="AA132" s="776"/>
      <c r="AB132" s="776"/>
    </row>
    <row r="133" spans="1:28" ht="15.75" customHeight="1">
      <c r="A133" s="776"/>
      <c r="B133" s="776"/>
      <c r="C133" s="776"/>
      <c r="D133" s="776"/>
      <c r="E133" s="777"/>
      <c r="F133" s="776"/>
      <c r="G133" s="777"/>
      <c r="H133" s="776"/>
      <c r="I133" s="777"/>
      <c r="J133" s="777"/>
      <c r="K133" s="786"/>
      <c r="L133" s="777"/>
      <c r="M133" s="785"/>
      <c r="N133" s="785"/>
      <c r="O133" s="785"/>
      <c r="P133" s="785"/>
      <c r="Q133" s="785"/>
      <c r="R133" s="785"/>
      <c r="S133" s="776"/>
      <c r="T133" s="776"/>
      <c r="U133" s="776"/>
      <c r="V133" s="776"/>
      <c r="W133" s="776"/>
      <c r="X133" s="776"/>
      <c r="Y133" s="785"/>
      <c r="Z133" s="776"/>
      <c r="AA133" s="776"/>
      <c r="AB133" s="776"/>
    </row>
    <row r="134" spans="1:28" ht="15.75" customHeight="1">
      <c r="A134" s="776"/>
      <c r="B134" s="776"/>
      <c r="C134" s="776"/>
      <c r="D134" s="776"/>
      <c r="E134" s="777"/>
      <c r="F134" s="776"/>
      <c r="G134" s="777"/>
      <c r="H134" s="776"/>
      <c r="I134" s="777"/>
      <c r="J134" s="777"/>
      <c r="K134" s="786"/>
      <c r="L134" s="777"/>
      <c r="M134" s="785"/>
      <c r="N134" s="785"/>
      <c r="O134" s="785"/>
      <c r="P134" s="785"/>
      <c r="Q134" s="785"/>
      <c r="R134" s="785"/>
      <c r="S134" s="776"/>
      <c r="T134" s="776"/>
      <c r="U134" s="776"/>
      <c r="V134" s="776"/>
      <c r="W134" s="776"/>
      <c r="X134" s="776"/>
      <c r="Y134" s="785"/>
      <c r="Z134" s="776"/>
      <c r="AA134" s="776"/>
      <c r="AB134" s="776"/>
    </row>
    <row r="135" spans="1:28" ht="15.75" customHeight="1">
      <c r="A135" s="776"/>
      <c r="B135" s="776"/>
      <c r="C135" s="776"/>
      <c r="D135" s="776"/>
      <c r="E135" s="777"/>
      <c r="F135" s="776"/>
      <c r="G135" s="777"/>
      <c r="H135" s="776"/>
      <c r="I135" s="777"/>
      <c r="J135" s="777"/>
      <c r="K135" s="786"/>
      <c r="L135" s="777"/>
      <c r="M135" s="785"/>
      <c r="N135" s="785"/>
      <c r="O135" s="785"/>
      <c r="P135" s="785"/>
      <c r="Q135" s="785"/>
      <c r="R135" s="785"/>
      <c r="S135" s="776"/>
      <c r="T135" s="776"/>
      <c r="U135" s="776"/>
      <c r="V135" s="776"/>
      <c r="W135" s="776"/>
      <c r="X135" s="776"/>
      <c r="Y135" s="785"/>
      <c r="Z135" s="776"/>
      <c r="AA135" s="776"/>
      <c r="AB135" s="776"/>
    </row>
    <row r="136" spans="1:28" ht="15.75" customHeight="1">
      <c r="A136" s="776"/>
      <c r="B136" s="776"/>
      <c r="C136" s="776"/>
      <c r="D136" s="776"/>
      <c r="E136" s="777"/>
      <c r="F136" s="776"/>
      <c r="G136" s="777"/>
      <c r="H136" s="776"/>
      <c r="I136" s="777"/>
      <c r="J136" s="777"/>
      <c r="K136" s="786"/>
      <c r="L136" s="777"/>
      <c r="M136" s="785"/>
      <c r="N136" s="785"/>
      <c r="O136" s="785"/>
      <c r="P136" s="785"/>
      <c r="Q136" s="785"/>
      <c r="R136" s="785"/>
      <c r="S136" s="776"/>
      <c r="T136" s="776"/>
      <c r="U136" s="776"/>
      <c r="V136" s="776"/>
      <c r="W136" s="776"/>
      <c r="X136" s="776"/>
      <c r="Y136" s="785"/>
      <c r="Z136" s="776"/>
      <c r="AA136" s="776"/>
      <c r="AB136" s="776"/>
    </row>
    <row r="137" spans="1:28" ht="15.75" customHeight="1">
      <c r="A137" s="776"/>
      <c r="B137" s="776"/>
      <c r="C137" s="776"/>
      <c r="D137" s="776"/>
      <c r="E137" s="777"/>
      <c r="F137" s="776"/>
      <c r="G137" s="777"/>
      <c r="H137" s="776"/>
      <c r="I137" s="777"/>
      <c r="J137" s="777"/>
      <c r="K137" s="786"/>
      <c r="L137" s="777"/>
      <c r="M137" s="785"/>
      <c r="N137" s="785"/>
      <c r="O137" s="785"/>
      <c r="P137" s="785"/>
      <c r="Q137" s="785"/>
      <c r="R137" s="785"/>
      <c r="S137" s="776"/>
      <c r="T137" s="776"/>
      <c r="U137" s="776"/>
      <c r="V137" s="776"/>
      <c r="W137" s="776"/>
      <c r="X137" s="776"/>
      <c r="Y137" s="785"/>
      <c r="Z137" s="776"/>
      <c r="AA137" s="776"/>
      <c r="AB137" s="776"/>
    </row>
    <row r="138" spans="1:28" ht="15.75" customHeight="1">
      <c r="A138" s="776"/>
      <c r="B138" s="776"/>
      <c r="C138" s="776"/>
      <c r="D138" s="776"/>
      <c r="E138" s="777"/>
      <c r="F138" s="776"/>
      <c r="G138" s="777"/>
      <c r="H138" s="776"/>
      <c r="I138" s="777"/>
      <c r="J138" s="777"/>
      <c r="K138" s="786"/>
      <c r="L138" s="777"/>
      <c r="M138" s="785"/>
      <c r="N138" s="785"/>
      <c r="O138" s="785"/>
      <c r="P138" s="785"/>
      <c r="Q138" s="785"/>
      <c r="R138" s="785"/>
      <c r="S138" s="776"/>
      <c r="T138" s="776"/>
      <c r="U138" s="776"/>
      <c r="V138" s="776"/>
      <c r="W138" s="776"/>
      <c r="X138" s="776"/>
      <c r="Y138" s="785"/>
      <c r="Z138" s="776"/>
      <c r="AA138" s="776"/>
      <c r="AB138" s="776"/>
    </row>
    <row r="139" spans="1:28" ht="15.75" customHeight="1">
      <c r="A139" s="776"/>
      <c r="B139" s="776"/>
      <c r="C139" s="776"/>
      <c r="D139" s="776"/>
      <c r="E139" s="777"/>
      <c r="F139" s="776"/>
      <c r="G139" s="777"/>
      <c r="H139" s="776"/>
      <c r="I139" s="777"/>
      <c r="J139" s="777"/>
      <c r="K139" s="786"/>
      <c r="L139" s="777"/>
      <c r="M139" s="785"/>
      <c r="N139" s="785"/>
      <c r="O139" s="785"/>
      <c r="P139" s="785"/>
      <c r="Q139" s="785"/>
      <c r="R139" s="785"/>
      <c r="S139" s="776"/>
      <c r="T139" s="776"/>
      <c r="U139" s="776"/>
      <c r="V139" s="776"/>
      <c r="W139" s="776"/>
      <c r="X139" s="776"/>
      <c r="Y139" s="785"/>
      <c r="Z139" s="776"/>
      <c r="AA139" s="776"/>
      <c r="AB139" s="776"/>
    </row>
    <row r="140" spans="1:28" ht="15.75" customHeight="1">
      <c r="A140" s="776"/>
      <c r="B140" s="776"/>
      <c r="C140" s="776"/>
      <c r="D140" s="776"/>
      <c r="E140" s="777"/>
      <c r="F140" s="776"/>
      <c r="G140" s="777"/>
      <c r="H140" s="776"/>
      <c r="I140" s="777"/>
      <c r="J140" s="777"/>
      <c r="K140" s="786"/>
      <c r="L140" s="777"/>
      <c r="M140" s="785"/>
      <c r="N140" s="785"/>
      <c r="O140" s="785"/>
      <c r="P140" s="785"/>
      <c r="Q140" s="785"/>
      <c r="R140" s="785"/>
      <c r="S140" s="776"/>
      <c r="T140" s="776"/>
      <c r="U140" s="776"/>
      <c r="V140" s="776"/>
      <c r="W140" s="776"/>
      <c r="X140" s="776"/>
      <c r="Y140" s="785"/>
      <c r="Z140" s="776"/>
      <c r="AA140" s="776"/>
      <c r="AB140" s="776"/>
    </row>
    <row r="141" spans="1:28" ht="15.75" customHeight="1">
      <c r="A141" s="776"/>
      <c r="B141" s="776"/>
      <c r="C141" s="776"/>
      <c r="D141" s="776"/>
      <c r="E141" s="777"/>
      <c r="F141" s="776"/>
      <c r="G141" s="777"/>
      <c r="H141" s="776"/>
      <c r="I141" s="777"/>
      <c r="J141" s="777"/>
      <c r="K141" s="786"/>
      <c r="L141" s="777"/>
      <c r="M141" s="785"/>
      <c r="N141" s="785"/>
      <c r="O141" s="785"/>
      <c r="P141" s="785"/>
      <c r="Q141" s="785"/>
      <c r="R141" s="785"/>
      <c r="S141" s="776"/>
      <c r="T141" s="776"/>
      <c r="U141" s="776"/>
      <c r="V141" s="776"/>
      <c r="W141" s="776"/>
      <c r="X141" s="776"/>
      <c r="Y141" s="785"/>
      <c r="Z141" s="776"/>
      <c r="AA141" s="776"/>
      <c r="AB141" s="776"/>
    </row>
    <row r="142" spans="1:28" ht="15.75" customHeight="1">
      <c r="A142" s="776"/>
      <c r="B142" s="776"/>
      <c r="C142" s="776"/>
      <c r="D142" s="776"/>
      <c r="E142" s="777"/>
      <c r="F142" s="776"/>
      <c r="G142" s="777"/>
      <c r="H142" s="776"/>
      <c r="I142" s="777"/>
      <c r="J142" s="777"/>
      <c r="K142" s="786"/>
      <c r="L142" s="777"/>
      <c r="M142" s="785"/>
      <c r="N142" s="785"/>
      <c r="O142" s="785"/>
      <c r="P142" s="785"/>
      <c r="Q142" s="785"/>
      <c r="R142" s="785"/>
      <c r="S142" s="776"/>
      <c r="T142" s="776"/>
      <c r="U142" s="776"/>
      <c r="V142" s="776"/>
      <c r="W142" s="776"/>
      <c r="X142" s="776"/>
      <c r="Y142" s="785"/>
      <c r="Z142" s="776"/>
      <c r="AA142" s="776"/>
      <c r="AB142" s="776"/>
    </row>
    <row r="143" spans="1:28" ht="15.75" customHeight="1">
      <c r="A143" s="776"/>
      <c r="B143" s="776"/>
      <c r="C143" s="776"/>
      <c r="D143" s="776"/>
      <c r="E143" s="777"/>
      <c r="F143" s="776"/>
      <c r="G143" s="777"/>
      <c r="H143" s="776"/>
      <c r="I143" s="777"/>
      <c r="J143" s="777"/>
      <c r="K143" s="786"/>
      <c r="L143" s="777"/>
      <c r="M143" s="785"/>
      <c r="N143" s="785"/>
      <c r="O143" s="785"/>
      <c r="P143" s="785"/>
      <c r="Q143" s="785"/>
      <c r="R143" s="785"/>
      <c r="S143" s="776"/>
      <c r="T143" s="776"/>
      <c r="U143" s="776"/>
      <c r="V143" s="776"/>
      <c r="W143" s="776"/>
      <c r="X143" s="776"/>
      <c r="Y143" s="785"/>
      <c r="Z143" s="776"/>
      <c r="AA143" s="776"/>
      <c r="AB143" s="776"/>
    </row>
    <row r="144" spans="1:28" ht="15.75" customHeight="1">
      <c r="A144" s="776"/>
      <c r="B144" s="776"/>
      <c r="C144" s="776"/>
      <c r="D144" s="776"/>
      <c r="E144" s="777"/>
      <c r="F144" s="776"/>
      <c r="G144" s="777"/>
      <c r="H144" s="776"/>
      <c r="I144" s="777"/>
      <c r="J144" s="777"/>
      <c r="K144" s="786"/>
      <c r="L144" s="777"/>
      <c r="M144" s="785"/>
      <c r="N144" s="785"/>
      <c r="O144" s="785"/>
      <c r="P144" s="785"/>
      <c r="Q144" s="785"/>
      <c r="R144" s="785"/>
      <c r="S144" s="776"/>
      <c r="T144" s="776"/>
      <c r="U144" s="776"/>
      <c r="V144" s="776"/>
      <c r="W144" s="776"/>
      <c r="X144" s="776"/>
      <c r="Y144" s="785"/>
      <c r="Z144" s="776"/>
      <c r="AA144" s="776"/>
      <c r="AB144" s="776"/>
    </row>
    <row r="145" spans="1:28" ht="15.75" customHeight="1">
      <c r="A145" s="776"/>
      <c r="B145" s="776"/>
      <c r="C145" s="776"/>
      <c r="D145" s="776"/>
      <c r="E145" s="777"/>
      <c r="F145" s="776"/>
      <c r="G145" s="777"/>
      <c r="H145" s="776"/>
      <c r="I145" s="777"/>
      <c r="J145" s="777"/>
      <c r="K145" s="786"/>
      <c r="L145" s="777"/>
      <c r="M145" s="785"/>
      <c r="N145" s="785"/>
      <c r="O145" s="785"/>
      <c r="P145" s="785"/>
      <c r="Q145" s="785"/>
      <c r="R145" s="785"/>
      <c r="S145" s="776"/>
      <c r="T145" s="776"/>
      <c r="U145" s="776"/>
      <c r="V145" s="776"/>
      <c r="W145" s="776"/>
      <c r="X145" s="776"/>
      <c r="Y145" s="785"/>
      <c r="Z145" s="776"/>
      <c r="AA145" s="776"/>
      <c r="AB145" s="776"/>
    </row>
    <row r="146" spans="1:28" ht="15.75" customHeight="1">
      <c r="A146" s="776"/>
      <c r="B146" s="776"/>
      <c r="C146" s="776"/>
      <c r="D146" s="776"/>
      <c r="E146" s="777"/>
      <c r="F146" s="776"/>
      <c r="G146" s="777"/>
      <c r="H146" s="776"/>
      <c r="I146" s="777"/>
      <c r="J146" s="777"/>
      <c r="K146" s="786"/>
      <c r="L146" s="777"/>
      <c r="M146" s="785"/>
      <c r="N146" s="785"/>
      <c r="O146" s="785"/>
      <c r="P146" s="785"/>
      <c r="Q146" s="785"/>
      <c r="R146" s="785"/>
      <c r="S146" s="776"/>
      <c r="T146" s="776"/>
      <c r="U146" s="776"/>
      <c r="V146" s="776"/>
      <c r="W146" s="776"/>
      <c r="X146" s="776"/>
      <c r="Y146" s="785"/>
      <c r="Z146" s="776"/>
      <c r="AA146" s="776"/>
      <c r="AB146" s="776"/>
    </row>
    <row r="147" spans="1:28" ht="15.75" customHeight="1">
      <c r="A147" s="776"/>
      <c r="B147" s="776"/>
      <c r="C147" s="776"/>
      <c r="D147" s="776"/>
      <c r="E147" s="777"/>
      <c r="F147" s="776"/>
      <c r="G147" s="777"/>
      <c r="H147" s="776"/>
      <c r="I147" s="777"/>
      <c r="J147" s="777"/>
      <c r="K147" s="786"/>
      <c r="L147" s="777"/>
      <c r="M147" s="785"/>
      <c r="N147" s="785"/>
      <c r="O147" s="785"/>
      <c r="P147" s="785"/>
      <c r="Q147" s="785"/>
      <c r="R147" s="785"/>
      <c r="S147" s="776"/>
      <c r="T147" s="776"/>
      <c r="U147" s="776"/>
      <c r="V147" s="776"/>
      <c r="W147" s="776"/>
      <c r="X147" s="776"/>
      <c r="Y147" s="785"/>
      <c r="Z147" s="776"/>
      <c r="AA147" s="776"/>
      <c r="AB147" s="776"/>
    </row>
    <row r="148" spans="1:28" ht="15.75" customHeight="1">
      <c r="A148" s="776"/>
      <c r="B148" s="776"/>
      <c r="C148" s="776"/>
      <c r="D148" s="776"/>
      <c r="E148" s="777"/>
      <c r="F148" s="776"/>
      <c r="G148" s="777"/>
      <c r="H148" s="776"/>
      <c r="I148" s="777"/>
      <c r="J148" s="777"/>
      <c r="K148" s="786"/>
      <c r="L148" s="777"/>
      <c r="M148" s="785"/>
      <c r="N148" s="785"/>
      <c r="O148" s="785"/>
      <c r="P148" s="785"/>
      <c r="Q148" s="785"/>
      <c r="R148" s="785"/>
      <c r="S148" s="776"/>
      <c r="T148" s="776"/>
      <c r="U148" s="776"/>
      <c r="V148" s="776"/>
      <c r="W148" s="776"/>
      <c r="X148" s="776"/>
      <c r="Y148" s="785"/>
      <c r="Z148" s="776"/>
      <c r="AA148" s="776"/>
      <c r="AB148" s="776"/>
    </row>
    <row r="149" spans="1:28" ht="15.75" customHeight="1">
      <c r="A149" s="776"/>
      <c r="B149" s="776"/>
      <c r="C149" s="776"/>
      <c r="D149" s="776"/>
      <c r="E149" s="777"/>
      <c r="F149" s="776"/>
      <c r="G149" s="777"/>
      <c r="H149" s="776"/>
      <c r="I149" s="777"/>
      <c r="J149" s="777"/>
      <c r="K149" s="786"/>
      <c r="L149" s="777"/>
      <c r="M149" s="785"/>
      <c r="N149" s="785"/>
      <c r="O149" s="785"/>
      <c r="P149" s="785"/>
      <c r="Q149" s="785"/>
      <c r="R149" s="785"/>
      <c r="S149" s="776"/>
      <c r="T149" s="776"/>
      <c r="U149" s="776"/>
      <c r="V149" s="776"/>
      <c r="W149" s="776"/>
      <c r="X149" s="776"/>
      <c r="Y149" s="785"/>
      <c r="Z149" s="776"/>
      <c r="AA149" s="776"/>
      <c r="AB149" s="776"/>
    </row>
    <row r="150" spans="1:28" ht="15.75" customHeight="1">
      <c r="A150" s="776"/>
      <c r="B150" s="776"/>
      <c r="C150" s="776"/>
      <c r="D150" s="776"/>
      <c r="E150" s="777"/>
      <c r="F150" s="776"/>
      <c r="G150" s="777"/>
      <c r="H150" s="776"/>
      <c r="I150" s="777"/>
      <c r="J150" s="777"/>
      <c r="K150" s="786"/>
      <c r="L150" s="777"/>
      <c r="M150" s="785"/>
      <c r="N150" s="785"/>
      <c r="O150" s="785"/>
      <c r="P150" s="785"/>
      <c r="Q150" s="785"/>
      <c r="R150" s="785"/>
      <c r="S150" s="776"/>
      <c r="T150" s="776"/>
      <c r="U150" s="776"/>
      <c r="V150" s="776"/>
      <c r="W150" s="776"/>
      <c r="X150" s="776"/>
      <c r="Y150" s="785"/>
      <c r="Z150" s="776"/>
      <c r="AA150" s="776"/>
      <c r="AB150" s="776"/>
    </row>
    <row r="151" spans="1:28" ht="15.75" customHeight="1">
      <c r="A151" s="776"/>
      <c r="B151" s="776"/>
      <c r="C151" s="776"/>
      <c r="D151" s="776"/>
      <c r="E151" s="777"/>
      <c r="F151" s="776"/>
      <c r="G151" s="777"/>
      <c r="H151" s="776"/>
      <c r="I151" s="777"/>
      <c r="J151" s="777"/>
      <c r="K151" s="786"/>
      <c r="L151" s="777"/>
      <c r="M151" s="785"/>
      <c r="N151" s="785"/>
      <c r="O151" s="785"/>
      <c r="P151" s="785"/>
      <c r="Q151" s="785"/>
      <c r="R151" s="785"/>
      <c r="S151" s="776"/>
      <c r="T151" s="776"/>
      <c r="U151" s="776"/>
      <c r="V151" s="776"/>
      <c r="W151" s="776"/>
      <c r="X151" s="776"/>
      <c r="Y151" s="785"/>
      <c r="Z151" s="776"/>
      <c r="AA151" s="776"/>
      <c r="AB151" s="776"/>
    </row>
    <row r="152" spans="1:28" ht="15.75" customHeight="1">
      <c r="A152" s="776"/>
      <c r="B152" s="776"/>
      <c r="C152" s="776"/>
      <c r="D152" s="776"/>
      <c r="E152" s="777"/>
      <c r="F152" s="776"/>
      <c r="G152" s="777"/>
      <c r="H152" s="776"/>
      <c r="I152" s="777"/>
      <c r="J152" s="777"/>
      <c r="K152" s="786"/>
      <c r="L152" s="777"/>
      <c r="M152" s="785"/>
      <c r="N152" s="785"/>
      <c r="O152" s="785"/>
      <c r="P152" s="785"/>
      <c r="Q152" s="785"/>
      <c r="R152" s="785"/>
      <c r="S152" s="776"/>
      <c r="T152" s="776"/>
      <c r="U152" s="776"/>
      <c r="V152" s="776"/>
      <c r="W152" s="776"/>
      <c r="X152" s="776"/>
      <c r="Y152" s="785"/>
      <c r="Z152" s="776"/>
      <c r="AA152" s="776"/>
      <c r="AB152" s="776"/>
    </row>
    <row r="153" spans="1:28" ht="15.75" customHeight="1">
      <c r="A153" s="776"/>
      <c r="B153" s="776"/>
      <c r="C153" s="776"/>
      <c r="D153" s="776"/>
      <c r="E153" s="777"/>
      <c r="F153" s="776"/>
      <c r="G153" s="777"/>
      <c r="H153" s="776"/>
      <c r="I153" s="777"/>
      <c r="J153" s="777"/>
      <c r="K153" s="786"/>
      <c r="L153" s="777"/>
      <c r="M153" s="785"/>
      <c r="N153" s="785"/>
      <c r="O153" s="785"/>
      <c r="P153" s="785"/>
      <c r="Q153" s="785"/>
      <c r="R153" s="785"/>
      <c r="S153" s="776"/>
      <c r="T153" s="776"/>
      <c r="U153" s="776"/>
      <c r="V153" s="776"/>
      <c r="W153" s="776"/>
      <c r="X153" s="776"/>
      <c r="Y153" s="785"/>
      <c r="Z153" s="776"/>
      <c r="AA153" s="776"/>
      <c r="AB153" s="776"/>
    </row>
    <row r="154" spans="1:28" ht="15.75" customHeight="1">
      <c r="A154" s="776"/>
      <c r="B154" s="776"/>
      <c r="C154" s="776"/>
      <c r="D154" s="776"/>
      <c r="E154" s="777"/>
      <c r="F154" s="776"/>
      <c r="G154" s="777"/>
      <c r="H154" s="776"/>
      <c r="I154" s="777"/>
      <c r="J154" s="777"/>
      <c r="K154" s="786"/>
      <c r="L154" s="777"/>
      <c r="M154" s="785"/>
      <c r="N154" s="785"/>
      <c r="O154" s="785"/>
      <c r="P154" s="785"/>
      <c r="Q154" s="785"/>
      <c r="R154" s="785"/>
      <c r="S154" s="776"/>
      <c r="T154" s="776"/>
      <c r="U154" s="776"/>
      <c r="V154" s="776"/>
      <c r="W154" s="776"/>
      <c r="X154" s="776"/>
      <c r="Y154" s="785"/>
      <c r="Z154" s="776"/>
      <c r="AA154" s="776"/>
      <c r="AB154" s="776"/>
    </row>
    <row r="155" spans="1:28" ht="15.75" customHeight="1">
      <c r="A155" s="776"/>
      <c r="B155" s="776"/>
      <c r="C155" s="776"/>
      <c r="D155" s="776"/>
      <c r="E155" s="777"/>
      <c r="F155" s="776"/>
      <c r="G155" s="777"/>
      <c r="H155" s="776"/>
      <c r="I155" s="777"/>
      <c r="J155" s="777"/>
      <c r="K155" s="786"/>
      <c r="L155" s="777"/>
      <c r="M155" s="785"/>
      <c r="N155" s="785"/>
      <c r="O155" s="785"/>
      <c r="P155" s="785"/>
      <c r="Q155" s="785"/>
      <c r="R155" s="785"/>
      <c r="S155" s="776"/>
      <c r="T155" s="776"/>
      <c r="U155" s="776"/>
      <c r="V155" s="776"/>
      <c r="W155" s="776"/>
      <c r="X155" s="776"/>
      <c r="Y155" s="785"/>
      <c r="Z155" s="776"/>
      <c r="AA155" s="776"/>
      <c r="AB155" s="776"/>
    </row>
    <row r="156" spans="1:28" ht="15.75" customHeight="1">
      <c r="A156" s="776"/>
      <c r="B156" s="776"/>
      <c r="C156" s="776"/>
      <c r="D156" s="776"/>
      <c r="E156" s="777"/>
      <c r="F156" s="776"/>
      <c r="G156" s="777"/>
      <c r="H156" s="776"/>
      <c r="I156" s="777"/>
      <c r="J156" s="777"/>
      <c r="K156" s="786"/>
      <c r="L156" s="777"/>
      <c r="M156" s="785"/>
      <c r="N156" s="785"/>
      <c r="O156" s="785"/>
      <c r="P156" s="785"/>
      <c r="Q156" s="785"/>
      <c r="R156" s="785"/>
      <c r="S156" s="776"/>
      <c r="T156" s="776"/>
      <c r="U156" s="776"/>
      <c r="V156" s="776"/>
      <c r="W156" s="776"/>
      <c r="X156" s="776"/>
      <c r="Y156" s="785"/>
      <c r="Z156" s="776"/>
      <c r="AA156" s="776"/>
      <c r="AB156" s="776"/>
    </row>
    <row r="157" spans="1:28" ht="15.75" customHeight="1">
      <c r="A157" s="776"/>
      <c r="B157" s="776"/>
      <c r="C157" s="776"/>
      <c r="D157" s="776"/>
      <c r="E157" s="777"/>
      <c r="F157" s="776"/>
      <c r="G157" s="777"/>
      <c r="H157" s="776"/>
      <c r="I157" s="777"/>
      <c r="J157" s="777"/>
      <c r="K157" s="786"/>
      <c r="L157" s="777"/>
      <c r="M157" s="785"/>
      <c r="N157" s="785"/>
      <c r="O157" s="785"/>
      <c r="P157" s="785"/>
      <c r="Q157" s="785"/>
      <c r="R157" s="785"/>
      <c r="S157" s="776"/>
      <c r="T157" s="776"/>
      <c r="U157" s="776"/>
      <c r="V157" s="776"/>
      <c r="W157" s="776"/>
      <c r="X157" s="776"/>
      <c r="Y157" s="785"/>
      <c r="Z157" s="776"/>
      <c r="AA157" s="776"/>
      <c r="AB157" s="776"/>
    </row>
    <row r="158" spans="1:28" ht="15.75" customHeight="1">
      <c r="A158" s="776"/>
      <c r="B158" s="776"/>
      <c r="C158" s="776"/>
      <c r="D158" s="776"/>
      <c r="E158" s="777"/>
      <c r="F158" s="776"/>
      <c r="G158" s="777"/>
      <c r="H158" s="776"/>
      <c r="I158" s="777"/>
      <c r="J158" s="777"/>
      <c r="K158" s="786"/>
      <c r="L158" s="777"/>
      <c r="M158" s="785"/>
      <c r="N158" s="785"/>
      <c r="O158" s="785"/>
      <c r="P158" s="785"/>
      <c r="Q158" s="785"/>
      <c r="R158" s="785"/>
      <c r="S158" s="776"/>
      <c r="T158" s="776"/>
      <c r="U158" s="776"/>
      <c r="V158" s="776"/>
      <c r="W158" s="776"/>
      <c r="X158" s="776"/>
      <c r="Y158" s="785"/>
      <c r="Z158" s="776"/>
      <c r="AA158" s="776"/>
      <c r="AB158" s="776"/>
    </row>
    <row r="159" spans="1:28" ht="15.75" customHeight="1">
      <c r="A159" s="776"/>
      <c r="B159" s="776"/>
      <c r="C159" s="776"/>
      <c r="D159" s="776"/>
      <c r="E159" s="777"/>
      <c r="F159" s="776"/>
      <c r="G159" s="777"/>
      <c r="H159" s="776"/>
      <c r="I159" s="777"/>
      <c r="J159" s="777"/>
      <c r="K159" s="786"/>
      <c r="L159" s="777"/>
      <c r="M159" s="785"/>
      <c r="N159" s="785"/>
      <c r="O159" s="785"/>
      <c r="P159" s="785"/>
      <c r="Q159" s="785"/>
      <c r="R159" s="785"/>
      <c r="S159" s="776"/>
      <c r="T159" s="776"/>
      <c r="U159" s="776"/>
      <c r="V159" s="776"/>
      <c r="W159" s="776"/>
      <c r="X159" s="776"/>
      <c r="Y159" s="785"/>
      <c r="Z159" s="776"/>
      <c r="AA159" s="776"/>
      <c r="AB159" s="776"/>
    </row>
    <row r="160" spans="1:28" ht="15.75" customHeight="1">
      <c r="A160" s="776"/>
      <c r="B160" s="776"/>
      <c r="C160" s="776"/>
      <c r="D160" s="776"/>
      <c r="E160" s="777"/>
      <c r="F160" s="776"/>
      <c r="G160" s="777"/>
      <c r="H160" s="776"/>
      <c r="I160" s="777"/>
      <c r="J160" s="777"/>
      <c r="K160" s="786"/>
      <c r="L160" s="777"/>
      <c r="M160" s="785"/>
      <c r="N160" s="785"/>
      <c r="O160" s="785"/>
      <c r="P160" s="785"/>
      <c r="Q160" s="785"/>
      <c r="R160" s="785"/>
      <c r="S160" s="776"/>
      <c r="T160" s="776"/>
      <c r="U160" s="776"/>
      <c r="V160" s="776"/>
      <c r="W160" s="776"/>
      <c r="X160" s="776"/>
      <c r="Y160" s="785"/>
      <c r="Z160" s="776"/>
      <c r="AA160" s="776"/>
      <c r="AB160" s="776"/>
    </row>
    <row r="161" spans="1:28" ht="15.75" customHeight="1">
      <c r="A161" s="776"/>
      <c r="B161" s="776"/>
      <c r="C161" s="776"/>
      <c r="D161" s="776"/>
      <c r="E161" s="777"/>
      <c r="F161" s="776"/>
      <c r="G161" s="777"/>
      <c r="H161" s="776"/>
      <c r="I161" s="777"/>
      <c r="J161" s="777"/>
      <c r="K161" s="786"/>
      <c r="L161" s="777"/>
      <c r="M161" s="785"/>
      <c r="N161" s="785"/>
      <c r="O161" s="785"/>
      <c r="P161" s="785"/>
      <c r="Q161" s="785"/>
      <c r="R161" s="785"/>
      <c r="S161" s="776"/>
      <c r="T161" s="776"/>
      <c r="U161" s="776"/>
      <c r="V161" s="776"/>
      <c r="W161" s="776"/>
      <c r="X161" s="776"/>
      <c r="Y161" s="785"/>
      <c r="Z161" s="776"/>
      <c r="AA161" s="776"/>
      <c r="AB161" s="776"/>
    </row>
    <row r="162" spans="1:28" ht="15.75" customHeight="1">
      <c r="A162" s="776"/>
      <c r="B162" s="776"/>
      <c r="C162" s="776"/>
      <c r="D162" s="776"/>
      <c r="E162" s="777"/>
      <c r="F162" s="776"/>
      <c r="G162" s="777"/>
      <c r="H162" s="776"/>
      <c r="I162" s="777"/>
      <c r="J162" s="777"/>
      <c r="K162" s="786"/>
      <c r="L162" s="777"/>
      <c r="M162" s="785"/>
      <c r="N162" s="785"/>
      <c r="O162" s="785"/>
      <c r="P162" s="785"/>
      <c r="Q162" s="785"/>
      <c r="R162" s="785"/>
      <c r="S162" s="776"/>
      <c r="T162" s="776"/>
      <c r="U162" s="776"/>
      <c r="V162" s="776"/>
      <c r="W162" s="776"/>
      <c r="X162" s="776"/>
      <c r="Y162" s="785"/>
      <c r="Z162" s="776"/>
      <c r="AA162" s="776"/>
      <c r="AB162" s="776"/>
    </row>
    <row r="163" spans="1:28" ht="15.75" customHeight="1">
      <c r="A163" s="776"/>
      <c r="B163" s="776"/>
      <c r="C163" s="776"/>
      <c r="D163" s="776"/>
      <c r="E163" s="777"/>
      <c r="F163" s="776"/>
      <c r="G163" s="777"/>
      <c r="H163" s="776"/>
      <c r="I163" s="777"/>
      <c r="J163" s="777"/>
      <c r="K163" s="786"/>
      <c r="L163" s="777"/>
      <c r="M163" s="785"/>
      <c r="N163" s="785"/>
      <c r="O163" s="785"/>
      <c r="P163" s="785"/>
      <c r="Q163" s="785"/>
      <c r="R163" s="785"/>
      <c r="S163" s="776"/>
      <c r="T163" s="776"/>
      <c r="U163" s="776"/>
      <c r="V163" s="776"/>
      <c r="W163" s="776"/>
      <c r="X163" s="776"/>
      <c r="Y163" s="785"/>
      <c r="Z163" s="776"/>
      <c r="AA163" s="776"/>
      <c r="AB163" s="776"/>
    </row>
    <row r="164" spans="1:28" ht="15.75" customHeight="1">
      <c r="A164" s="776"/>
      <c r="B164" s="776"/>
      <c r="C164" s="776"/>
      <c r="D164" s="776"/>
      <c r="E164" s="777"/>
      <c r="F164" s="776"/>
      <c r="G164" s="777"/>
      <c r="H164" s="776"/>
      <c r="I164" s="777"/>
      <c r="J164" s="777"/>
      <c r="K164" s="786"/>
      <c r="L164" s="777"/>
      <c r="M164" s="785"/>
      <c r="N164" s="785"/>
      <c r="O164" s="785"/>
      <c r="P164" s="785"/>
      <c r="Q164" s="785"/>
      <c r="R164" s="785"/>
      <c r="S164" s="776"/>
      <c r="T164" s="776"/>
      <c r="U164" s="776"/>
      <c r="V164" s="776"/>
      <c r="W164" s="776"/>
      <c r="X164" s="776"/>
      <c r="Y164" s="785"/>
      <c r="Z164" s="776"/>
      <c r="AA164" s="776"/>
      <c r="AB164" s="776"/>
    </row>
    <row r="165" spans="1:28" ht="15.75" customHeight="1">
      <c r="A165" s="776"/>
      <c r="B165" s="776"/>
      <c r="C165" s="776"/>
      <c r="D165" s="776"/>
      <c r="E165" s="777"/>
      <c r="F165" s="776"/>
      <c r="G165" s="777"/>
      <c r="H165" s="776"/>
      <c r="I165" s="777"/>
      <c r="J165" s="777"/>
      <c r="K165" s="786"/>
      <c r="L165" s="777"/>
      <c r="M165" s="785"/>
      <c r="N165" s="785"/>
      <c r="O165" s="785"/>
      <c r="P165" s="785"/>
      <c r="Q165" s="785"/>
      <c r="R165" s="785"/>
      <c r="S165" s="776"/>
      <c r="T165" s="776"/>
      <c r="U165" s="776"/>
      <c r="V165" s="776"/>
      <c r="W165" s="776"/>
      <c r="X165" s="776"/>
      <c r="Y165" s="785"/>
      <c r="Z165" s="776"/>
      <c r="AA165" s="776"/>
      <c r="AB165" s="776"/>
    </row>
    <row r="166" spans="1:28" ht="15.75" customHeight="1">
      <c r="A166" s="776"/>
      <c r="B166" s="776"/>
      <c r="C166" s="776"/>
      <c r="D166" s="776"/>
      <c r="E166" s="777"/>
      <c r="F166" s="776"/>
      <c r="G166" s="777"/>
      <c r="H166" s="776"/>
      <c r="I166" s="777"/>
      <c r="J166" s="777"/>
      <c r="K166" s="786"/>
      <c r="L166" s="777"/>
      <c r="M166" s="785"/>
      <c r="N166" s="785"/>
      <c r="O166" s="785"/>
      <c r="P166" s="785"/>
      <c r="Q166" s="785"/>
      <c r="R166" s="785"/>
      <c r="S166" s="776"/>
      <c r="T166" s="776"/>
      <c r="U166" s="776"/>
      <c r="V166" s="776"/>
      <c r="W166" s="776"/>
      <c r="X166" s="776"/>
      <c r="Y166" s="785"/>
      <c r="Z166" s="776"/>
      <c r="AA166" s="776"/>
      <c r="AB166" s="776"/>
    </row>
    <row r="167" spans="1:28" ht="15.75" customHeight="1">
      <c r="A167" s="776"/>
      <c r="B167" s="776"/>
      <c r="C167" s="776"/>
      <c r="D167" s="776"/>
      <c r="E167" s="777"/>
      <c r="F167" s="776"/>
      <c r="G167" s="777"/>
      <c r="H167" s="776"/>
      <c r="I167" s="777"/>
      <c r="J167" s="777"/>
      <c r="K167" s="786"/>
      <c r="L167" s="777"/>
      <c r="M167" s="785"/>
      <c r="N167" s="785"/>
      <c r="O167" s="785"/>
      <c r="P167" s="785"/>
      <c r="Q167" s="785"/>
      <c r="R167" s="785"/>
      <c r="S167" s="776"/>
      <c r="T167" s="776"/>
      <c r="U167" s="776"/>
      <c r="V167" s="776"/>
      <c r="W167" s="776"/>
      <c r="X167" s="776"/>
      <c r="Y167" s="785"/>
      <c r="Z167" s="776"/>
      <c r="AA167" s="776"/>
      <c r="AB167" s="776"/>
    </row>
    <row r="168" spans="1:28" ht="15.75" customHeight="1">
      <c r="A168" s="776"/>
      <c r="B168" s="776"/>
      <c r="C168" s="776"/>
      <c r="D168" s="776"/>
      <c r="E168" s="777"/>
      <c r="F168" s="776"/>
      <c r="G168" s="777"/>
      <c r="H168" s="776"/>
      <c r="I168" s="777"/>
      <c r="J168" s="777"/>
      <c r="K168" s="786"/>
      <c r="L168" s="777"/>
      <c r="M168" s="785"/>
      <c r="N168" s="785"/>
      <c r="O168" s="785"/>
      <c r="P168" s="785"/>
      <c r="Q168" s="785"/>
      <c r="R168" s="785"/>
      <c r="S168" s="776"/>
      <c r="T168" s="776"/>
      <c r="U168" s="776"/>
      <c r="V168" s="776"/>
      <c r="W168" s="776"/>
      <c r="X168" s="776"/>
      <c r="Y168" s="785"/>
      <c r="Z168" s="776"/>
      <c r="AA168" s="776"/>
      <c r="AB168" s="776"/>
    </row>
    <row r="169" spans="1:28" ht="15.75" customHeight="1">
      <c r="A169" s="776"/>
      <c r="B169" s="776"/>
      <c r="C169" s="776"/>
      <c r="D169" s="776"/>
      <c r="E169" s="777"/>
      <c r="F169" s="776"/>
      <c r="G169" s="777"/>
      <c r="H169" s="776"/>
      <c r="I169" s="777"/>
      <c r="J169" s="777"/>
      <c r="K169" s="786"/>
      <c r="L169" s="777"/>
      <c r="M169" s="785"/>
      <c r="N169" s="785"/>
      <c r="O169" s="785"/>
      <c r="P169" s="785"/>
      <c r="Q169" s="785"/>
      <c r="R169" s="785"/>
      <c r="S169" s="776"/>
      <c r="T169" s="776"/>
      <c r="U169" s="776"/>
      <c r="V169" s="776"/>
      <c r="W169" s="776"/>
      <c r="X169" s="776"/>
      <c r="Y169" s="785"/>
      <c r="Z169" s="776"/>
      <c r="AA169" s="776"/>
      <c r="AB169" s="776"/>
    </row>
    <row r="170" spans="1:28" ht="15.75" customHeight="1">
      <c r="A170" s="776"/>
      <c r="B170" s="776"/>
      <c r="C170" s="776"/>
      <c r="D170" s="776"/>
      <c r="E170" s="777"/>
      <c r="F170" s="776"/>
      <c r="G170" s="777"/>
      <c r="H170" s="776"/>
      <c r="I170" s="777"/>
      <c r="J170" s="777"/>
      <c r="K170" s="786"/>
      <c r="L170" s="777"/>
      <c r="M170" s="785"/>
      <c r="N170" s="785"/>
      <c r="O170" s="785"/>
      <c r="P170" s="785"/>
      <c r="Q170" s="785"/>
      <c r="R170" s="785"/>
      <c r="S170" s="776"/>
      <c r="T170" s="776"/>
      <c r="U170" s="776"/>
      <c r="V170" s="776"/>
      <c r="W170" s="776"/>
      <c r="X170" s="776"/>
      <c r="Y170" s="785"/>
      <c r="Z170" s="776"/>
      <c r="AA170" s="776"/>
      <c r="AB170" s="776"/>
    </row>
    <row r="171" spans="1:28" ht="15.75" customHeight="1">
      <c r="A171" s="776"/>
      <c r="B171" s="776"/>
      <c r="C171" s="776"/>
      <c r="D171" s="776"/>
      <c r="E171" s="777"/>
      <c r="F171" s="776"/>
      <c r="G171" s="777"/>
      <c r="H171" s="776"/>
      <c r="I171" s="777"/>
      <c r="J171" s="777"/>
      <c r="K171" s="786"/>
      <c r="L171" s="777"/>
      <c r="M171" s="785"/>
      <c r="N171" s="785"/>
      <c r="O171" s="785"/>
      <c r="P171" s="785"/>
      <c r="Q171" s="785"/>
      <c r="R171" s="785"/>
      <c r="S171" s="776"/>
      <c r="T171" s="776"/>
      <c r="U171" s="776"/>
      <c r="V171" s="776"/>
      <c r="W171" s="776"/>
      <c r="X171" s="776"/>
      <c r="Y171" s="785"/>
      <c r="Z171" s="776"/>
      <c r="AA171" s="776"/>
      <c r="AB171" s="776"/>
    </row>
    <row r="172" spans="1:28" ht="15.75" customHeight="1">
      <c r="A172" s="776"/>
      <c r="B172" s="776"/>
      <c r="C172" s="776"/>
      <c r="D172" s="776"/>
      <c r="E172" s="777"/>
      <c r="F172" s="776"/>
      <c r="G172" s="777"/>
      <c r="H172" s="776"/>
      <c r="I172" s="777"/>
      <c r="J172" s="777"/>
      <c r="K172" s="786"/>
      <c r="L172" s="777"/>
      <c r="M172" s="785"/>
      <c r="N172" s="785"/>
      <c r="O172" s="785"/>
      <c r="P172" s="785"/>
      <c r="Q172" s="785"/>
      <c r="R172" s="785"/>
      <c r="S172" s="776"/>
      <c r="T172" s="776"/>
      <c r="U172" s="776"/>
      <c r="V172" s="776"/>
      <c r="W172" s="776"/>
      <c r="X172" s="776"/>
      <c r="Y172" s="785"/>
      <c r="Z172" s="776"/>
      <c r="AA172" s="776"/>
      <c r="AB172" s="776"/>
    </row>
    <row r="173" spans="1:28" ht="15.75" customHeight="1">
      <c r="A173" s="776"/>
      <c r="B173" s="776"/>
      <c r="C173" s="776"/>
      <c r="D173" s="776"/>
      <c r="E173" s="777"/>
      <c r="F173" s="776"/>
      <c r="G173" s="777"/>
      <c r="H173" s="776"/>
      <c r="I173" s="777"/>
      <c r="J173" s="777"/>
      <c r="K173" s="786"/>
      <c r="L173" s="777"/>
      <c r="M173" s="785"/>
      <c r="N173" s="785"/>
      <c r="O173" s="785"/>
      <c r="P173" s="785"/>
      <c r="Q173" s="785"/>
      <c r="R173" s="785"/>
      <c r="S173" s="776"/>
      <c r="T173" s="776"/>
      <c r="U173" s="776"/>
      <c r="V173" s="776"/>
      <c r="W173" s="776"/>
      <c r="X173" s="776"/>
      <c r="Y173" s="785"/>
      <c r="Z173" s="776"/>
      <c r="AA173" s="776"/>
      <c r="AB173" s="776"/>
    </row>
    <row r="174" spans="1:28" ht="15.75" customHeight="1">
      <c r="A174" s="776"/>
      <c r="B174" s="776"/>
      <c r="C174" s="776"/>
      <c r="D174" s="776"/>
      <c r="E174" s="777"/>
      <c r="F174" s="776"/>
      <c r="G174" s="777"/>
      <c r="H174" s="776"/>
      <c r="I174" s="777"/>
      <c r="J174" s="777"/>
      <c r="K174" s="786"/>
      <c r="L174" s="777"/>
      <c r="M174" s="785"/>
      <c r="N174" s="785"/>
      <c r="O174" s="785"/>
      <c r="P174" s="785"/>
      <c r="Q174" s="785"/>
      <c r="R174" s="785"/>
      <c r="S174" s="776"/>
      <c r="T174" s="776"/>
      <c r="U174" s="776"/>
      <c r="V174" s="776"/>
      <c r="W174" s="776"/>
      <c r="X174" s="776"/>
      <c r="Y174" s="785"/>
      <c r="Z174" s="776"/>
      <c r="AA174" s="776"/>
      <c r="AB174" s="776"/>
    </row>
    <row r="175" spans="1:28" ht="15.75" customHeight="1">
      <c r="A175" s="776"/>
      <c r="B175" s="776"/>
      <c r="C175" s="776"/>
      <c r="D175" s="776"/>
      <c r="E175" s="777"/>
      <c r="F175" s="776"/>
      <c r="G175" s="777"/>
      <c r="H175" s="776"/>
      <c r="I175" s="777"/>
      <c r="J175" s="777"/>
      <c r="K175" s="786"/>
      <c r="L175" s="777"/>
      <c r="M175" s="785"/>
      <c r="N175" s="785"/>
      <c r="O175" s="785"/>
      <c r="P175" s="785"/>
      <c r="Q175" s="785"/>
      <c r="R175" s="785"/>
      <c r="S175" s="776"/>
      <c r="T175" s="776"/>
      <c r="U175" s="776"/>
      <c r="V175" s="776"/>
      <c r="W175" s="776"/>
      <c r="X175" s="776"/>
      <c r="Y175" s="785"/>
      <c r="Z175" s="776"/>
      <c r="AA175" s="776"/>
      <c r="AB175" s="776"/>
    </row>
    <row r="176" spans="1:28" ht="15.75" customHeight="1">
      <c r="A176" s="776"/>
      <c r="B176" s="776"/>
      <c r="C176" s="776"/>
      <c r="D176" s="776"/>
      <c r="E176" s="777"/>
      <c r="F176" s="776"/>
      <c r="G176" s="777"/>
      <c r="H176" s="776"/>
      <c r="I176" s="777"/>
      <c r="J176" s="777"/>
      <c r="K176" s="786"/>
      <c r="L176" s="777"/>
      <c r="M176" s="785"/>
      <c r="N176" s="785"/>
      <c r="O176" s="785"/>
      <c r="P176" s="785"/>
      <c r="Q176" s="785"/>
      <c r="R176" s="785"/>
      <c r="S176" s="776"/>
      <c r="T176" s="776"/>
      <c r="U176" s="776"/>
      <c r="V176" s="776"/>
      <c r="W176" s="776"/>
      <c r="X176" s="776"/>
      <c r="Y176" s="785"/>
      <c r="Z176" s="776"/>
      <c r="AA176" s="776"/>
      <c r="AB176" s="776"/>
    </row>
    <row r="177" spans="1:28" ht="15.75" customHeight="1">
      <c r="A177" s="776"/>
      <c r="B177" s="776"/>
      <c r="C177" s="776"/>
      <c r="D177" s="776"/>
      <c r="E177" s="777"/>
      <c r="F177" s="776"/>
      <c r="G177" s="777"/>
      <c r="H177" s="776"/>
      <c r="I177" s="777"/>
      <c r="J177" s="777"/>
      <c r="K177" s="786"/>
      <c r="L177" s="777"/>
      <c r="M177" s="785"/>
      <c r="N177" s="785"/>
      <c r="O177" s="785"/>
      <c r="P177" s="785"/>
      <c r="Q177" s="785"/>
      <c r="R177" s="785"/>
      <c r="S177" s="776"/>
      <c r="T177" s="776"/>
      <c r="U177" s="776"/>
      <c r="V177" s="776"/>
      <c r="W177" s="776"/>
      <c r="X177" s="776"/>
      <c r="Y177" s="785"/>
      <c r="Z177" s="776"/>
      <c r="AA177" s="776"/>
      <c r="AB177" s="776"/>
    </row>
    <row r="178" spans="1:28" ht="15.75" customHeight="1">
      <c r="A178" s="776"/>
      <c r="B178" s="776"/>
      <c r="C178" s="776"/>
      <c r="D178" s="776"/>
      <c r="E178" s="777"/>
      <c r="F178" s="776"/>
      <c r="G178" s="777"/>
      <c r="H178" s="776"/>
      <c r="I178" s="777"/>
      <c r="J178" s="777"/>
      <c r="K178" s="786"/>
      <c r="L178" s="777"/>
      <c r="M178" s="785"/>
      <c r="N178" s="785"/>
      <c r="O178" s="785"/>
      <c r="P178" s="785"/>
      <c r="Q178" s="785"/>
      <c r="R178" s="785"/>
      <c r="S178" s="776"/>
      <c r="T178" s="776"/>
      <c r="U178" s="776"/>
      <c r="V178" s="776"/>
      <c r="W178" s="776"/>
      <c r="X178" s="776"/>
      <c r="Y178" s="785"/>
      <c r="Z178" s="776"/>
      <c r="AA178" s="776"/>
      <c r="AB178" s="776"/>
    </row>
    <row r="179" spans="1:28" ht="15.75" customHeight="1">
      <c r="A179" s="776"/>
      <c r="B179" s="776"/>
      <c r="C179" s="776"/>
      <c r="D179" s="776"/>
      <c r="E179" s="777"/>
      <c r="F179" s="776"/>
      <c r="G179" s="777"/>
      <c r="H179" s="776"/>
      <c r="I179" s="777"/>
      <c r="J179" s="777"/>
      <c r="K179" s="786"/>
      <c r="L179" s="777"/>
      <c r="M179" s="785"/>
      <c r="N179" s="785"/>
      <c r="O179" s="785"/>
      <c r="P179" s="785"/>
      <c r="Q179" s="785"/>
      <c r="R179" s="785"/>
      <c r="S179" s="776"/>
      <c r="T179" s="776"/>
      <c r="U179" s="776"/>
      <c r="V179" s="776"/>
      <c r="W179" s="776"/>
      <c r="X179" s="776"/>
      <c r="Y179" s="785"/>
      <c r="Z179" s="776"/>
      <c r="AA179" s="776"/>
      <c r="AB179" s="776"/>
    </row>
    <row r="180" spans="1:28" ht="15.75" customHeight="1">
      <c r="A180" s="776"/>
      <c r="B180" s="776"/>
      <c r="C180" s="776"/>
      <c r="D180" s="776"/>
      <c r="E180" s="777"/>
      <c r="F180" s="776"/>
      <c r="G180" s="777"/>
      <c r="H180" s="776"/>
      <c r="I180" s="777"/>
      <c r="J180" s="777"/>
      <c r="K180" s="786"/>
      <c r="L180" s="777"/>
      <c r="M180" s="785"/>
      <c r="N180" s="785"/>
      <c r="O180" s="785"/>
      <c r="P180" s="785"/>
      <c r="Q180" s="785"/>
      <c r="R180" s="785"/>
      <c r="S180" s="776"/>
      <c r="T180" s="776"/>
      <c r="U180" s="776"/>
      <c r="V180" s="776"/>
      <c r="W180" s="776"/>
      <c r="X180" s="776"/>
      <c r="Y180" s="785"/>
      <c r="Z180" s="776"/>
      <c r="AA180" s="776"/>
      <c r="AB180" s="776"/>
    </row>
    <row r="181" spans="1:28" ht="15.75" customHeight="1">
      <c r="A181" s="776"/>
      <c r="B181" s="776"/>
      <c r="C181" s="776"/>
      <c r="D181" s="776"/>
      <c r="E181" s="777"/>
      <c r="F181" s="776"/>
      <c r="G181" s="777"/>
      <c r="H181" s="776"/>
      <c r="I181" s="777"/>
      <c r="J181" s="777"/>
      <c r="K181" s="786"/>
      <c r="L181" s="777"/>
      <c r="M181" s="785"/>
      <c r="N181" s="785"/>
      <c r="O181" s="785"/>
      <c r="P181" s="785"/>
      <c r="Q181" s="785"/>
      <c r="R181" s="785"/>
      <c r="S181" s="776"/>
      <c r="T181" s="776"/>
      <c r="U181" s="776"/>
      <c r="V181" s="776"/>
      <c r="W181" s="776"/>
      <c r="X181" s="776"/>
      <c r="Y181" s="785"/>
      <c r="Z181" s="776"/>
      <c r="AA181" s="776"/>
      <c r="AB181" s="776"/>
    </row>
    <row r="182" spans="1:28" ht="15.75" customHeight="1">
      <c r="A182" s="776"/>
      <c r="B182" s="776"/>
      <c r="C182" s="776"/>
      <c r="D182" s="776"/>
      <c r="E182" s="777"/>
      <c r="F182" s="776"/>
      <c r="G182" s="777"/>
      <c r="H182" s="776"/>
      <c r="I182" s="777"/>
      <c r="J182" s="777"/>
      <c r="K182" s="786"/>
      <c r="L182" s="777"/>
      <c r="M182" s="785"/>
      <c r="N182" s="785"/>
      <c r="O182" s="785"/>
      <c r="P182" s="785"/>
      <c r="Q182" s="785"/>
      <c r="R182" s="785"/>
      <c r="S182" s="776"/>
      <c r="T182" s="776"/>
      <c r="U182" s="776"/>
      <c r="V182" s="776"/>
      <c r="W182" s="776"/>
      <c r="X182" s="776"/>
      <c r="Y182" s="785"/>
      <c r="Z182" s="776"/>
      <c r="AA182" s="776"/>
      <c r="AB182" s="776"/>
    </row>
    <row r="183" spans="1:28" ht="15.75" customHeight="1">
      <c r="A183" s="776"/>
      <c r="B183" s="776"/>
      <c r="C183" s="776"/>
      <c r="D183" s="776"/>
      <c r="E183" s="777"/>
      <c r="F183" s="776"/>
      <c r="G183" s="777"/>
      <c r="H183" s="776"/>
      <c r="I183" s="777"/>
      <c r="J183" s="777"/>
      <c r="K183" s="786"/>
      <c r="L183" s="777"/>
      <c r="M183" s="785"/>
      <c r="N183" s="785"/>
      <c r="O183" s="785"/>
      <c r="P183" s="785"/>
      <c r="Q183" s="785"/>
      <c r="R183" s="785"/>
      <c r="S183" s="776"/>
      <c r="T183" s="776"/>
      <c r="U183" s="776"/>
      <c r="V183" s="776"/>
      <c r="W183" s="776"/>
      <c r="X183" s="776"/>
      <c r="Y183" s="785"/>
      <c r="Z183" s="776"/>
      <c r="AA183" s="776"/>
      <c r="AB183" s="776"/>
    </row>
    <row r="184" spans="1:28" ht="15.75" customHeight="1">
      <c r="A184" s="776"/>
      <c r="B184" s="776"/>
      <c r="C184" s="776"/>
      <c r="D184" s="776"/>
      <c r="E184" s="777"/>
      <c r="F184" s="776"/>
      <c r="G184" s="777"/>
      <c r="H184" s="776"/>
      <c r="I184" s="777"/>
      <c r="J184" s="777"/>
      <c r="K184" s="786"/>
      <c r="L184" s="777"/>
      <c r="M184" s="785"/>
      <c r="N184" s="785"/>
      <c r="O184" s="785"/>
      <c r="P184" s="785"/>
      <c r="Q184" s="785"/>
      <c r="R184" s="785"/>
      <c r="S184" s="776"/>
      <c r="T184" s="776"/>
      <c r="U184" s="776"/>
      <c r="V184" s="776"/>
      <c r="W184" s="776"/>
      <c r="X184" s="776"/>
      <c r="Y184" s="785"/>
      <c r="Z184" s="776"/>
      <c r="AA184" s="776"/>
      <c r="AB184" s="776"/>
    </row>
    <row r="185" spans="1:28" ht="15.75" customHeight="1">
      <c r="A185" s="776"/>
      <c r="B185" s="776"/>
      <c r="C185" s="776"/>
      <c r="D185" s="776"/>
      <c r="E185" s="777"/>
      <c r="F185" s="776"/>
      <c r="G185" s="777"/>
      <c r="H185" s="776"/>
      <c r="I185" s="777"/>
      <c r="J185" s="777"/>
      <c r="K185" s="786"/>
      <c r="L185" s="777"/>
      <c r="M185" s="785"/>
      <c r="N185" s="785"/>
      <c r="O185" s="785"/>
      <c r="P185" s="785"/>
      <c r="Q185" s="785"/>
      <c r="R185" s="785"/>
      <c r="S185" s="776"/>
      <c r="T185" s="776"/>
      <c r="U185" s="776"/>
      <c r="V185" s="776"/>
      <c r="W185" s="776"/>
      <c r="X185" s="776"/>
      <c r="Y185" s="785"/>
      <c r="Z185" s="776"/>
      <c r="AA185" s="776"/>
      <c r="AB185" s="776"/>
    </row>
    <row r="186" spans="1:28" ht="15.75" customHeight="1">
      <c r="A186" s="776"/>
      <c r="B186" s="776"/>
      <c r="C186" s="776"/>
      <c r="D186" s="776"/>
      <c r="E186" s="777"/>
      <c r="F186" s="776"/>
      <c r="G186" s="777"/>
      <c r="H186" s="776"/>
      <c r="I186" s="777"/>
      <c r="J186" s="777"/>
      <c r="K186" s="786"/>
      <c r="L186" s="777"/>
      <c r="M186" s="785"/>
      <c r="N186" s="785"/>
      <c r="O186" s="785"/>
      <c r="P186" s="785"/>
      <c r="Q186" s="785"/>
      <c r="R186" s="785"/>
      <c r="S186" s="776"/>
      <c r="T186" s="776"/>
      <c r="U186" s="776"/>
      <c r="V186" s="776"/>
      <c r="W186" s="776"/>
      <c r="X186" s="776"/>
      <c r="Y186" s="785"/>
      <c r="Z186" s="776"/>
      <c r="AA186" s="776"/>
      <c r="AB186" s="776"/>
    </row>
    <row r="187" spans="1:28" ht="15.75" customHeight="1">
      <c r="A187" s="776"/>
      <c r="B187" s="776"/>
      <c r="C187" s="776"/>
      <c r="D187" s="776"/>
      <c r="E187" s="777"/>
      <c r="F187" s="776"/>
      <c r="G187" s="777"/>
      <c r="H187" s="776"/>
      <c r="I187" s="777"/>
      <c r="J187" s="777"/>
      <c r="K187" s="786"/>
      <c r="L187" s="777"/>
      <c r="M187" s="785"/>
      <c r="N187" s="785"/>
      <c r="O187" s="785"/>
      <c r="P187" s="785"/>
      <c r="Q187" s="785"/>
      <c r="R187" s="785"/>
      <c r="S187" s="776"/>
      <c r="T187" s="776"/>
      <c r="U187" s="776"/>
      <c r="V187" s="776"/>
      <c r="W187" s="776"/>
      <c r="X187" s="776"/>
      <c r="Y187" s="785"/>
      <c r="Z187" s="776"/>
      <c r="AA187" s="776"/>
      <c r="AB187" s="776"/>
    </row>
    <row r="188" spans="1:28" ht="15.75" customHeight="1">
      <c r="A188" s="776"/>
      <c r="B188" s="776"/>
      <c r="C188" s="776"/>
      <c r="D188" s="776"/>
      <c r="E188" s="777"/>
      <c r="F188" s="776"/>
      <c r="G188" s="777"/>
      <c r="H188" s="776"/>
      <c r="I188" s="777"/>
      <c r="J188" s="777"/>
      <c r="K188" s="786"/>
      <c r="L188" s="777"/>
      <c r="M188" s="785"/>
      <c r="N188" s="785"/>
      <c r="O188" s="785"/>
      <c r="P188" s="785"/>
      <c r="Q188" s="785"/>
      <c r="R188" s="785"/>
      <c r="S188" s="776"/>
      <c r="T188" s="776"/>
      <c r="U188" s="776"/>
      <c r="V188" s="776"/>
      <c r="W188" s="776"/>
      <c r="X188" s="776"/>
      <c r="Y188" s="785"/>
      <c r="Z188" s="776"/>
      <c r="AA188" s="776"/>
      <c r="AB188" s="776"/>
    </row>
    <row r="189" spans="1:28" ht="15.75" customHeight="1">
      <c r="A189" s="776"/>
      <c r="B189" s="776"/>
      <c r="C189" s="776"/>
      <c r="D189" s="776"/>
      <c r="E189" s="777"/>
      <c r="F189" s="776"/>
      <c r="G189" s="777"/>
      <c r="H189" s="776"/>
      <c r="I189" s="777"/>
      <c r="J189" s="777"/>
      <c r="K189" s="786"/>
      <c r="L189" s="777"/>
      <c r="M189" s="785"/>
      <c r="N189" s="785"/>
      <c r="O189" s="785"/>
      <c r="P189" s="785"/>
      <c r="Q189" s="785"/>
      <c r="R189" s="785"/>
      <c r="S189" s="776"/>
      <c r="T189" s="776"/>
      <c r="U189" s="776"/>
      <c r="V189" s="776"/>
      <c r="W189" s="776"/>
      <c r="X189" s="776"/>
      <c r="Y189" s="785"/>
      <c r="Z189" s="776"/>
      <c r="AA189" s="776"/>
      <c r="AB189" s="776"/>
    </row>
    <row r="190" spans="1:28" ht="15.75" customHeight="1">
      <c r="A190" s="776"/>
      <c r="B190" s="776"/>
      <c r="C190" s="776"/>
      <c r="D190" s="776"/>
      <c r="E190" s="777"/>
      <c r="F190" s="776"/>
      <c r="G190" s="777"/>
      <c r="H190" s="776"/>
      <c r="I190" s="777"/>
      <c r="J190" s="777"/>
      <c r="K190" s="786"/>
      <c r="L190" s="777"/>
      <c r="M190" s="785"/>
      <c r="N190" s="785"/>
      <c r="O190" s="785"/>
      <c r="P190" s="785"/>
      <c r="Q190" s="785"/>
      <c r="R190" s="785"/>
      <c r="S190" s="776"/>
      <c r="T190" s="776"/>
      <c r="U190" s="776"/>
      <c r="V190" s="776"/>
      <c r="W190" s="776"/>
      <c r="X190" s="776"/>
      <c r="Y190" s="785"/>
      <c r="Z190" s="776"/>
      <c r="AA190" s="776"/>
      <c r="AB190" s="776"/>
    </row>
    <row r="191" spans="1:28" ht="15.75" customHeight="1">
      <c r="A191" s="776"/>
      <c r="B191" s="776"/>
      <c r="C191" s="776"/>
      <c r="D191" s="776"/>
      <c r="E191" s="777"/>
      <c r="F191" s="776"/>
      <c r="G191" s="777"/>
      <c r="H191" s="776"/>
      <c r="I191" s="777"/>
      <c r="J191" s="777"/>
      <c r="K191" s="786"/>
      <c r="L191" s="777"/>
      <c r="M191" s="785"/>
      <c r="N191" s="785"/>
      <c r="O191" s="785"/>
      <c r="P191" s="785"/>
      <c r="Q191" s="785"/>
      <c r="R191" s="785"/>
      <c r="S191" s="776"/>
      <c r="T191" s="776"/>
      <c r="U191" s="776"/>
      <c r="V191" s="776"/>
      <c r="W191" s="776"/>
      <c r="X191" s="776"/>
      <c r="Y191" s="785"/>
      <c r="Z191" s="776"/>
      <c r="AA191" s="776"/>
      <c r="AB191" s="776"/>
    </row>
    <row r="192" spans="1:28" ht="15.75" customHeight="1">
      <c r="A192" s="776"/>
      <c r="B192" s="776"/>
      <c r="C192" s="776"/>
      <c r="D192" s="776"/>
      <c r="E192" s="777"/>
      <c r="F192" s="776"/>
      <c r="G192" s="777"/>
      <c r="H192" s="776"/>
      <c r="I192" s="777"/>
      <c r="J192" s="777"/>
      <c r="K192" s="786"/>
      <c r="L192" s="777"/>
      <c r="M192" s="785"/>
      <c r="N192" s="785"/>
      <c r="O192" s="785"/>
      <c r="P192" s="785"/>
      <c r="Q192" s="785"/>
      <c r="R192" s="785"/>
      <c r="S192" s="776"/>
      <c r="T192" s="776"/>
      <c r="U192" s="776"/>
      <c r="V192" s="776"/>
      <c r="W192" s="776"/>
      <c r="X192" s="776"/>
      <c r="Y192" s="785"/>
      <c r="Z192" s="776"/>
      <c r="AA192" s="776"/>
      <c r="AB192" s="776"/>
    </row>
    <row r="193" spans="1:28" ht="15.75" customHeight="1">
      <c r="A193" s="776"/>
      <c r="B193" s="776"/>
      <c r="C193" s="776"/>
      <c r="D193" s="776"/>
      <c r="E193" s="777"/>
      <c r="F193" s="776"/>
      <c r="G193" s="777"/>
      <c r="H193" s="776"/>
      <c r="I193" s="777"/>
      <c r="J193" s="777"/>
      <c r="K193" s="786"/>
      <c r="L193" s="777"/>
      <c r="M193" s="785"/>
      <c r="N193" s="785"/>
      <c r="O193" s="785"/>
      <c r="P193" s="785"/>
      <c r="Q193" s="785"/>
      <c r="R193" s="785"/>
      <c r="S193" s="776"/>
      <c r="T193" s="776"/>
      <c r="U193" s="776"/>
      <c r="V193" s="776"/>
      <c r="W193" s="776"/>
      <c r="X193" s="776"/>
      <c r="Y193" s="785"/>
      <c r="Z193" s="776"/>
      <c r="AA193" s="776"/>
      <c r="AB193" s="776"/>
    </row>
    <row r="194" spans="1:28" ht="15.75" customHeight="1">
      <c r="A194" s="776"/>
      <c r="B194" s="776"/>
      <c r="C194" s="776"/>
      <c r="D194" s="776"/>
      <c r="E194" s="777"/>
      <c r="F194" s="776"/>
      <c r="G194" s="777"/>
      <c r="H194" s="776"/>
      <c r="I194" s="777"/>
      <c r="J194" s="777"/>
      <c r="K194" s="786"/>
      <c r="L194" s="777"/>
      <c r="M194" s="785"/>
      <c r="N194" s="785"/>
      <c r="O194" s="785"/>
      <c r="P194" s="785"/>
      <c r="Q194" s="785"/>
      <c r="R194" s="785"/>
      <c r="S194" s="776"/>
      <c r="T194" s="776"/>
      <c r="U194" s="776"/>
      <c r="V194" s="776"/>
      <c r="W194" s="776"/>
      <c r="X194" s="776"/>
      <c r="Y194" s="785"/>
      <c r="Z194" s="776"/>
      <c r="AA194" s="776"/>
      <c r="AB194" s="776"/>
    </row>
    <row r="195" spans="1:28" ht="15.75" customHeight="1">
      <c r="A195" s="776"/>
      <c r="B195" s="776"/>
      <c r="C195" s="776"/>
      <c r="D195" s="776"/>
      <c r="E195" s="777"/>
      <c r="F195" s="776"/>
      <c r="G195" s="777"/>
      <c r="H195" s="776"/>
      <c r="I195" s="777"/>
      <c r="J195" s="777"/>
      <c r="K195" s="786"/>
      <c r="L195" s="777"/>
      <c r="M195" s="785"/>
      <c r="N195" s="785"/>
      <c r="O195" s="785"/>
      <c r="P195" s="785"/>
      <c r="Q195" s="785"/>
      <c r="R195" s="785"/>
      <c r="S195" s="776"/>
      <c r="T195" s="776"/>
      <c r="U195" s="776"/>
      <c r="V195" s="776"/>
      <c r="W195" s="776"/>
      <c r="X195" s="776"/>
      <c r="Y195" s="785"/>
      <c r="Z195" s="776"/>
      <c r="AA195" s="776"/>
      <c r="AB195" s="776"/>
    </row>
    <row r="196" spans="1:28" ht="15.75" customHeight="1">
      <c r="A196" s="776"/>
      <c r="B196" s="776"/>
      <c r="C196" s="776"/>
      <c r="D196" s="776"/>
      <c r="E196" s="777"/>
      <c r="F196" s="776"/>
      <c r="G196" s="777"/>
      <c r="H196" s="776"/>
      <c r="I196" s="777"/>
      <c r="J196" s="777"/>
      <c r="K196" s="786"/>
      <c r="L196" s="777"/>
      <c r="M196" s="785"/>
      <c r="N196" s="785"/>
      <c r="O196" s="785"/>
      <c r="P196" s="785"/>
      <c r="Q196" s="785"/>
      <c r="R196" s="785"/>
      <c r="S196" s="776"/>
      <c r="T196" s="776"/>
      <c r="U196" s="776"/>
      <c r="V196" s="776"/>
      <c r="W196" s="776"/>
      <c r="X196" s="776"/>
      <c r="Y196" s="785"/>
      <c r="Z196" s="776"/>
      <c r="AA196" s="776"/>
      <c r="AB196" s="776"/>
    </row>
    <row r="197" spans="1:28" ht="15.75" customHeight="1">
      <c r="A197" s="776"/>
      <c r="B197" s="776"/>
      <c r="C197" s="776"/>
      <c r="D197" s="776"/>
      <c r="E197" s="777"/>
      <c r="F197" s="776"/>
      <c r="G197" s="777"/>
      <c r="H197" s="776"/>
      <c r="I197" s="777"/>
      <c r="J197" s="777"/>
      <c r="K197" s="786"/>
      <c r="L197" s="777"/>
      <c r="M197" s="785"/>
      <c r="N197" s="785"/>
      <c r="O197" s="785"/>
      <c r="P197" s="785"/>
      <c r="Q197" s="785"/>
      <c r="R197" s="785"/>
      <c r="S197" s="776"/>
      <c r="T197" s="776"/>
      <c r="U197" s="776"/>
      <c r="V197" s="776"/>
      <c r="W197" s="776"/>
      <c r="X197" s="776"/>
      <c r="Y197" s="785"/>
      <c r="Z197" s="776"/>
      <c r="AA197" s="776"/>
      <c r="AB197" s="776"/>
    </row>
    <row r="198" spans="1:28" ht="15.75" customHeight="1">
      <c r="A198" s="776"/>
      <c r="B198" s="776"/>
      <c r="C198" s="776"/>
      <c r="D198" s="776"/>
      <c r="E198" s="777"/>
      <c r="F198" s="776"/>
      <c r="G198" s="777"/>
      <c r="H198" s="776"/>
      <c r="I198" s="777"/>
      <c r="J198" s="777"/>
      <c r="K198" s="786"/>
      <c r="L198" s="777"/>
      <c r="M198" s="785"/>
      <c r="N198" s="785"/>
      <c r="O198" s="785"/>
      <c r="P198" s="785"/>
      <c r="Q198" s="785"/>
      <c r="R198" s="785"/>
      <c r="S198" s="776"/>
      <c r="T198" s="776"/>
      <c r="U198" s="776"/>
      <c r="V198" s="776"/>
      <c r="W198" s="776"/>
      <c r="X198" s="776"/>
      <c r="Y198" s="785"/>
      <c r="Z198" s="776"/>
      <c r="AA198" s="776"/>
      <c r="AB198" s="776"/>
    </row>
    <row r="199" spans="1:28" ht="15.75" customHeight="1">
      <c r="A199" s="776"/>
      <c r="B199" s="776"/>
      <c r="C199" s="776"/>
      <c r="D199" s="776"/>
      <c r="E199" s="777"/>
      <c r="F199" s="776"/>
      <c r="G199" s="777"/>
      <c r="H199" s="776"/>
      <c r="I199" s="777"/>
      <c r="J199" s="777"/>
      <c r="K199" s="786"/>
      <c r="L199" s="777"/>
      <c r="M199" s="785"/>
      <c r="N199" s="785"/>
      <c r="O199" s="785"/>
      <c r="P199" s="785"/>
      <c r="Q199" s="785"/>
      <c r="R199" s="785"/>
      <c r="S199" s="776"/>
      <c r="T199" s="776"/>
      <c r="U199" s="776"/>
      <c r="V199" s="776"/>
      <c r="W199" s="776"/>
      <c r="X199" s="776"/>
      <c r="Y199" s="785"/>
      <c r="Z199" s="776"/>
      <c r="AA199" s="776"/>
      <c r="AB199" s="776"/>
    </row>
    <row r="200" spans="1:28" ht="15.75" customHeight="1">
      <c r="A200" s="776"/>
      <c r="B200" s="776"/>
      <c r="C200" s="776"/>
      <c r="D200" s="776"/>
      <c r="E200" s="777"/>
      <c r="F200" s="776"/>
      <c r="G200" s="777"/>
      <c r="H200" s="776"/>
      <c r="I200" s="777"/>
      <c r="J200" s="777"/>
      <c r="K200" s="786"/>
      <c r="L200" s="777"/>
      <c r="M200" s="785"/>
      <c r="N200" s="785"/>
      <c r="O200" s="785"/>
      <c r="P200" s="785"/>
      <c r="Q200" s="785"/>
      <c r="R200" s="785"/>
      <c r="S200" s="776"/>
      <c r="T200" s="776"/>
      <c r="U200" s="776"/>
      <c r="V200" s="776"/>
      <c r="W200" s="776"/>
      <c r="X200" s="776"/>
      <c r="Y200" s="785"/>
      <c r="Z200" s="776"/>
      <c r="AA200" s="776"/>
      <c r="AB200" s="776"/>
    </row>
    <row r="201" spans="1:28" ht="15.75" customHeight="1">
      <c r="A201" s="776"/>
      <c r="B201" s="776"/>
      <c r="C201" s="776"/>
      <c r="D201" s="776"/>
      <c r="E201" s="777"/>
      <c r="F201" s="776"/>
      <c r="G201" s="777"/>
      <c r="H201" s="776"/>
      <c r="I201" s="777"/>
      <c r="J201" s="777"/>
      <c r="K201" s="786"/>
      <c r="L201" s="777"/>
      <c r="M201" s="785"/>
      <c r="N201" s="785"/>
      <c r="O201" s="785"/>
      <c r="P201" s="785"/>
      <c r="Q201" s="785"/>
      <c r="R201" s="785"/>
      <c r="S201" s="776"/>
      <c r="T201" s="776"/>
      <c r="U201" s="776"/>
      <c r="V201" s="776"/>
      <c r="W201" s="776"/>
      <c r="X201" s="776"/>
      <c r="Y201" s="785"/>
      <c r="Z201" s="776"/>
      <c r="AA201" s="776"/>
      <c r="AB201" s="776"/>
    </row>
    <row r="202" spans="1:28" ht="15.75" customHeight="1">
      <c r="A202" s="776"/>
      <c r="B202" s="776"/>
      <c r="C202" s="776"/>
      <c r="D202" s="776"/>
      <c r="E202" s="777"/>
      <c r="F202" s="776"/>
      <c r="G202" s="777"/>
      <c r="H202" s="776"/>
      <c r="I202" s="777"/>
      <c r="J202" s="777"/>
      <c r="K202" s="786"/>
      <c r="L202" s="777"/>
      <c r="M202" s="785"/>
      <c r="N202" s="785"/>
      <c r="O202" s="785"/>
      <c r="P202" s="785"/>
      <c r="Q202" s="785"/>
      <c r="R202" s="785"/>
      <c r="S202" s="776"/>
      <c r="T202" s="776"/>
      <c r="U202" s="776"/>
      <c r="V202" s="776"/>
      <c r="W202" s="776"/>
      <c r="X202" s="776"/>
      <c r="Y202" s="785"/>
      <c r="Z202" s="776"/>
      <c r="AA202" s="776"/>
      <c r="AB202" s="776"/>
    </row>
    <row r="203" spans="1:28" ht="15.75" customHeight="1">
      <c r="A203" s="776"/>
      <c r="B203" s="776"/>
      <c r="C203" s="776"/>
      <c r="D203" s="776"/>
      <c r="E203" s="777"/>
      <c r="F203" s="776"/>
      <c r="G203" s="777"/>
      <c r="H203" s="776"/>
      <c r="I203" s="777"/>
      <c r="J203" s="777"/>
      <c r="K203" s="786"/>
      <c r="L203" s="777"/>
      <c r="M203" s="785"/>
      <c r="N203" s="785"/>
      <c r="O203" s="785"/>
      <c r="P203" s="785"/>
      <c r="Q203" s="785"/>
      <c r="R203" s="785"/>
      <c r="S203" s="776"/>
      <c r="T203" s="776"/>
      <c r="U203" s="776"/>
      <c r="V203" s="776"/>
      <c r="W203" s="776"/>
      <c r="X203" s="776"/>
      <c r="Y203" s="785"/>
      <c r="Z203" s="776"/>
      <c r="AA203" s="776"/>
      <c r="AB203" s="776"/>
    </row>
    <row r="204" spans="1:28" ht="15.75" customHeight="1">
      <c r="A204" s="776"/>
      <c r="B204" s="776"/>
      <c r="C204" s="776"/>
      <c r="D204" s="776"/>
      <c r="E204" s="777"/>
      <c r="F204" s="776"/>
      <c r="G204" s="777"/>
      <c r="H204" s="776"/>
      <c r="I204" s="777"/>
      <c r="J204" s="777"/>
      <c r="K204" s="786"/>
      <c r="L204" s="777"/>
      <c r="M204" s="785"/>
      <c r="N204" s="785"/>
      <c r="O204" s="785"/>
      <c r="P204" s="785"/>
      <c r="Q204" s="785"/>
      <c r="R204" s="785"/>
      <c r="S204" s="776"/>
      <c r="T204" s="776"/>
      <c r="U204" s="776"/>
      <c r="V204" s="776"/>
      <c r="W204" s="776"/>
      <c r="X204" s="776"/>
      <c r="Y204" s="785"/>
      <c r="Z204" s="776"/>
      <c r="AA204" s="776"/>
      <c r="AB204" s="776"/>
    </row>
    <row r="205" spans="1:28" ht="15.75" customHeight="1">
      <c r="A205" s="776"/>
      <c r="B205" s="776"/>
      <c r="C205" s="776"/>
      <c r="D205" s="776"/>
      <c r="E205" s="777"/>
      <c r="F205" s="776"/>
      <c r="G205" s="777"/>
      <c r="H205" s="776"/>
      <c r="I205" s="777"/>
      <c r="J205" s="777"/>
      <c r="K205" s="786"/>
      <c r="L205" s="777"/>
      <c r="M205" s="785"/>
      <c r="N205" s="785"/>
      <c r="O205" s="785"/>
      <c r="P205" s="785"/>
      <c r="Q205" s="785"/>
      <c r="R205" s="785"/>
      <c r="S205" s="776"/>
      <c r="T205" s="776"/>
      <c r="U205" s="776"/>
      <c r="V205" s="776"/>
      <c r="W205" s="776"/>
      <c r="X205" s="776"/>
      <c r="Y205" s="785"/>
      <c r="Z205" s="776"/>
      <c r="AA205" s="776"/>
      <c r="AB205" s="776"/>
    </row>
    <row r="206" spans="1:28" ht="15.75" customHeight="1">
      <c r="A206" s="776"/>
      <c r="B206" s="776"/>
      <c r="C206" s="776"/>
      <c r="D206" s="776"/>
      <c r="E206" s="777"/>
      <c r="F206" s="776"/>
      <c r="G206" s="777"/>
      <c r="H206" s="776"/>
      <c r="I206" s="777"/>
      <c r="J206" s="777"/>
      <c r="K206" s="786"/>
      <c r="L206" s="777"/>
      <c r="M206" s="785"/>
      <c r="N206" s="785"/>
      <c r="O206" s="785"/>
      <c r="P206" s="785"/>
      <c r="Q206" s="785"/>
      <c r="R206" s="785"/>
      <c r="S206" s="776"/>
      <c r="T206" s="776"/>
      <c r="U206" s="776"/>
      <c r="V206" s="776"/>
      <c r="W206" s="776"/>
      <c r="X206" s="776"/>
      <c r="Y206" s="785"/>
      <c r="Z206" s="776"/>
      <c r="AA206" s="776"/>
      <c r="AB206" s="776"/>
    </row>
    <row r="207" spans="1:28" ht="15.75" customHeight="1">
      <c r="A207" s="776"/>
      <c r="B207" s="776"/>
      <c r="C207" s="776"/>
      <c r="D207" s="776"/>
      <c r="E207" s="777"/>
      <c r="F207" s="776"/>
      <c r="G207" s="777"/>
      <c r="H207" s="776"/>
      <c r="I207" s="777"/>
      <c r="J207" s="777"/>
      <c r="K207" s="786"/>
      <c r="L207" s="777"/>
      <c r="M207" s="785"/>
      <c r="N207" s="785"/>
      <c r="O207" s="785"/>
      <c r="P207" s="785"/>
      <c r="Q207" s="785"/>
      <c r="R207" s="785"/>
      <c r="S207" s="776"/>
      <c r="T207" s="776"/>
      <c r="U207" s="776"/>
      <c r="V207" s="776"/>
      <c r="W207" s="776"/>
      <c r="X207" s="776"/>
      <c r="Y207" s="785"/>
      <c r="Z207" s="776"/>
      <c r="AA207" s="776"/>
      <c r="AB207" s="776"/>
    </row>
    <row r="208" spans="1:28" ht="15.75" customHeight="1">
      <c r="A208" s="776"/>
      <c r="B208" s="776"/>
      <c r="C208" s="776"/>
      <c r="D208" s="776"/>
      <c r="E208" s="777"/>
      <c r="F208" s="776"/>
      <c r="G208" s="777"/>
      <c r="H208" s="776"/>
      <c r="I208" s="777"/>
      <c r="J208" s="777"/>
      <c r="K208" s="786"/>
      <c r="L208" s="777"/>
      <c r="M208" s="785"/>
      <c r="N208" s="785"/>
      <c r="O208" s="785"/>
      <c r="P208" s="785"/>
      <c r="Q208" s="785"/>
      <c r="R208" s="785"/>
      <c r="S208" s="776"/>
      <c r="T208" s="776"/>
      <c r="U208" s="776"/>
      <c r="V208" s="776"/>
      <c r="W208" s="776"/>
      <c r="X208" s="776"/>
      <c r="Y208" s="785"/>
      <c r="Z208" s="776"/>
      <c r="AA208" s="776"/>
      <c r="AB208" s="776"/>
    </row>
    <row r="209" spans="1:28" ht="15.75" customHeight="1">
      <c r="A209" s="776"/>
      <c r="B209" s="776"/>
      <c r="C209" s="776"/>
      <c r="D209" s="776"/>
      <c r="E209" s="777"/>
      <c r="F209" s="776"/>
      <c r="G209" s="777"/>
      <c r="H209" s="776"/>
      <c r="I209" s="777"/>
      <c r="J209" s="777"/>
      <c r="K209" s="786"/>
      <c r="L209" s="777"/>
      <c r="M209" s="785"/>
      <c r="N209" s="785"/>
      <c r="O209" s="785"/>
      <c r="P209" s="785"/>
      <c r="Q209" s="785"/>
      <c r="R209" s="785"/>
      <c r="S209" s="776"/>
      <c r="T209" s="776"/>
      <c r="U209" s="776"/>
      <c r="V209" s="776"/>
      <c r="W209" s="776"/>
      <c r="X209" s="776"/>
      <c r="Y209" s="785"/>
      <c r="Z209" s="776"/>
      <c r="AA209" s="776"/>
      <c r="AB209" s="776"/>
    </row>
    <row r="210" spans="1:28" ht="15.75" customHeight="1">
      <c r="A210" s="776"/>
      <c r="B210" s="776"/>
      <c r="C210" s="776"/>
      <c r="D210" s="776"/>
      <c r="E210" s="777"/>
      <c r="F210" s="776"/>
      <c r="G210" s="777"/>
      <c r="H210" s="776"/>
      <c r="I210" s="777"/>
      <c r="J210" s="777"/>
      <c r="K210" s="786"/>
      <c r="L210" s="777"/>
      <c r="M210" s="785"/>
      <c r="N210" s="785"/>
      <c r="O210" s="785"/>
      <c r="P210" s="785"/>
      <c r="Q210" s="785"/>
      <c r="R210" s="785"/>
      <c r="S210" s="776"/>
      <c r="T210" s="776"/>
      <c r="U210" s="776"/>
      <c r="V210" s="776"/>
      <c r="W210" s="776"/>
      <c r="X210" s="776"/>
      <c r="Y210" s="785"/>
      <c r="Z210" s="776"/>
      <c r="AA210" s="776"/>
      <c r="AB210" s="776"/>
    </row>
    <row r="211" spans="1:28" ht="15.75" customHeight="1">
      <c r="A211" s="776"/>
      <c r="B211" s="776"/>
      <c r="C211" s="776"/>
      <c r="D211" s="776"/>
      <c r="E211" s="777"/>
      <c r="F211" s="776"/>
      <c r="G211" s="777"/>
      <c r="H211" s="776"/>
      <c r="I211" s="777"/>
      <c r="J211" s="777"/>
      <c r="K211" s="786"/>
      <c r="L211" s="777"/>
      <c r="M211" s="785"/>
      <c r="N211" s="785"/>
      <c r="O211" s="785"/>
      <c r="P211" s="785"/>
      <c r="Q211" s="785"/>
      <c r="R211" s="785"/>
      <c r="S211" s="776"/>
      <c r="T211" s="776"/>
      <c r="U211" s="776"/>
      <c r="V211" s="776"/>
      <c r="W211" s="776"/>
      <c r="X211" s="776"/>
      <c r="Y211" s="785"/>
      <c r="Z211" s="776"/>
      <c r="AA211" s="776"/>
      <c r="AB211" s="776"/>
    </row>
    <row r="212" spans="1:28" ht="15.75" customHeight="1">
      <c r="A212" s="776"/>
      <c r="B212" s="776"/>
      <c r="C212" s="776"/>
      <c r="D212" s="776"/>
      <c r="E212" s="777"/>
      <c r="F212" s="776"/>
      <c r="G212" s="777"/>
      <c r="H212" s="776"/>
      <c r="I212" s="777"/>
      <c r="J212" s="777"/>
      <c r="K212" s="786"/>
      <c r="L212" s="777"/>
      <c r="M212" s="785"/>
      <c r="N212" s="785"/>
      <c r="O212" s="785"/>
      <c r="P212" s="785"/>
      <c r="Q212" s="785"/>
      <c r="R212" s="785"/>
      <c r="S212" s="776"/>
      <c r="T212" s="776"/>
      <c r="U212" s="776"/>
      <c r="V212" s="776"/>
      <c r="W212" s="776"/>
      <c r="X212" s="776"/>
      <c r="Y212" s="785"/>
      <c r="Z212" s="776"/>
      <c r="AA212" s="776"/>
      <c r="AB212" s="776"/>
    </row>
    <row r="213" spans="1:28" ht="15.75" customHeight="1">
      <c r="A213" s="776"/>
      <c r="B213" s="776"/>
      <c r="C213" s="776"/>
      <c r="D213" s="776"/>
      <c r="E213" s="777"/>
      <c r="F213" s="776"/>
      <c r="G213" s="777"/>
      <c r="H213" s="776"/>
      <c r="I213" s="777"/>
      <c r="J213" s="777"/>
      <c r="K213" s="786"/>
      <c r="L213" s="777"/>
      <c r="M213" s="785"/>
      <c r="N213" s="785"/>
      <c r="O213" s="785"/>
      <c r="P213" s="785"/>
      <c r="Q213" s="785"/>
      <c r="R213" s="785"/>
      <c r="S213" s="776"/>
      <c r="T213" s="776"/>
      <c r="U213" s="776"/>
      <c r="V213" s="776"/>
      <c r="W213" s="776"/>
      <c r="X213" s="776"/>
      <c r="Y213" s="785"/>
      <c r="Z213" s="776"/>
      <c r="AA213" s="776"/>
      <c r="AB213" s="776"/>
    </row>
    <row r="214" spans="1:28" ht="15.75" customHeight="1">
      <c r="A214" s="776"/>
      <c r="B214" s="776"/>
      <c r="C214" s="776"/>
      <c r="D214" s="776"/>
      <c r="E214" s="777"/>
      <c r="F214" s="776"/>
      <c r="G214" s="777"/>
      <c r="H214" s="776"/>
      <c r="I214" s="777"/>
      <c r="J214" s="777"/>
      <c r="K214" s="786"/>
      <c r="L214" s="777"/>
      <c r="M214" s="785"/>
      <c r="N214" s="785"/>
      <c r="O214" s="785"/>
      <c r="P214" s="785"/>
      <c r="Q214" s="785"/>
      <c r="R214" s="785"/>
      <c r="S214" s="776"/>
      <c r="T214" s="776"/>
      <c r="U214" s="776"/>
      <c r="V214" s="776"/>
      <c r="W214" s="776"/>
      <c r="X214" s="776"/>
      <c r="Y214" s="785"/>
      <c r="Z214" s="776"/>
      <c r="AA214" s="776"/>
      <c r="AB214" s="776"/>
    </row>
    <row r="215" spans="1:28" ht="15.75" customHeight="1">
      <c r="A215" s="776"/>
      <c r="B215" s="776"/>
      <c r="C215" s="776"/>
      <c r="D215" s="776"/>
      <c r="E215" s="777"/>
      <c r="F215" s="776"/>
      <c r="G215" s="777"/>
      <c r="H215" s="776"/>
      <c r="I215" s="777"/>
      <c r="J215" s="777"/>
      <c r="K215" s="786"/>
      <c r="L215" s="777"/>
      <c r="M215" s="785"/>
      <c r="N215" s="785"/>
      <c r="O215" s="785"/>
      <c r="P215" s="785"/>
      <c r="Q215" s="785"/>
      <c r="R215" s="785"/>
      <c r="S215" s="776"/>
      <c r="T215" s="776"/>
      <c r="U215" s="776"/>
      <c r="V215" s="776"/>
      <c r="W215" s="776"/>
      <c r="X215" s="776"/>
      <c r="Y215" s="785"/>
      <c r="Z215" s="776"/>
      <c r="AA215" s="776"/>
      <c r="AB215" s="776"/>
    </row>
    <row r="216" spans="1:28" ht="15.75" customHeight="1">
      <c r="A216" s="776"/>
      <c r="B216" s="776"/>
      <c r="C216" s="776"/>
      <c r="D216" s="776"/>
      <c r="E216" s="777"/>
      <c r="F216" s="776"/>
      <c r="G216" s="777"/>
      <c r="H216" s="776"/>
      <c r="I216" s="777"/>
      <c r="J216" s="777"/>
      <c r="K216" s="786"/>
      <c r="L216" s="777"/>
      <c r="M216" s="785"/>
      <c r="N216" s="785"/>
      <c r="O216" s="785"/>
      <c r="P216" s="785"/>
      <c r="Q216" s="785"/>
      <c r="R216" s="785"/>
      <c r="S216" s="776"/>
      <c r="T216" s="776"/>
      <c r="U216" s="776"/>
      <c r="V216" s="776"/>
      <c r="W216" s="776"/>
      <c r="X216" s="776"/>
      <c r="Y216" s="785"/>
      <c r="Z216" s="776"/>
      <c r="AA216" s="776"/>
      <c r="AB216" s="776"/>
    </row>
    <row r="217" spans="1:28" ht="15.75" customHeight="1">
      <c r="A217" s="776"/>
      <c r="B217" s="776"/>
      <c r="C217" s="776"/>
      <c r="D217" s="776"/>
      <c r="E217" s="777"/>
      <c r="F217" s="776"/>
      <c r="G217" s="777"/>
      <c r="H217" s="776"/>
      <c r="I217" s="777"/>
      <c r="J217" s="777"/>
      <c r="K217" s="786"/>
      <c r="L217" s="777"/>
      <c r="M217" s="785"/>
      <c r="N217" s="785"/>
      <c r="O217" s="785"/>
      <c r="P217" s="785"/>
      <c r="Q217" s="785"/>
      <c r="R217" s="785"/>
      <c r="S217" s="776"/>
      <c r="T217" s="776"/>
      <c r="U217" s="776"/>
      <c r="V217" s="776"/>
      <c r="W217" s="776"/>
      <c r="X217" s="776"/>
      <c r="Y217" s="785"/>
      <c r="Z217" s="776"/>
      <c r="AA217" s="776"/>
      <c r="AB217" s="776"/>
    </row>
    <row r="218" spans="1:28" ht="15.75" customHeight="1">
      <c r="A218" s="776"/>
      <c r="B218" s="776"/>
      <c r="C218" s="776"/>
      <c r="D218" s="776"/>
      <c r="E218" s="777"/>
      <c r="F218" s="776"/>
      <c r="G218" s="777"/>
      <c r="H218" s="776"/>
      <c r="I218" s="777"/>
      <c r="J218" s="777"/>
      <c r="K218" s="786"/>
      <c r="L218" s="777"/>
      <c r="M218" s="785"/>
      <c r="N218" s="785"/>
      <c r="O218" s="785"/>
      <c r="P218" s="785"/>
      <c r="Q218" s="785"/>
      <c r="R218" s="785"/>
      <c r="S218" s="776"/>
      <c r="T218" s="776"/>
      <c r="U218" s="776"/>
      <c r="V218" s="776"/>
      <c r="W218" s="776"/>
      <c r="X218" s="776"/>
      <c r="Y218" s="785"/>
      <c r="Z218" s="776"/>
      <c r="AA218" s="776"/>
      <c r="AB218" s="776"/>
    </row>
    <row r="219" spans="1:28" ht="15.75" customHeight="1">
      <c r="A219" s="776"/>
      <c r="B219" s="776"/>
      <c r="C219" s="776"/>
      <c r="D219" s="776"/>
      <c r="E219" s="777"/>
      <c r="F219" s="776"/>
      <c r="G219" s="777"/>
      <c r="H219" s="776"/>
      <c r="I219" s="777"/>
      <c r="J219" s="777"/>
      <c r="K219" s="786"/>
      <c r="L219" s="777"/>
      <c r="M219" s="785"/>
      <c r="N219" s="785"/>
      <c r="O219" s="785"/>
      <c r="P219" s="785"/>
      <c r="Q219" s="785"/>
      <c r="R219" s="785"/>
      <c r="S219" s="776"/>
      <c r="T219" s="776"/>
      <c r="U219" s="776"/>
      <c r="V219" s="776"/>
      <c r="W219" s="776"/>
      <c r="X219" s="776"/>
      <c r="Y219" s="785"/>
      <c r="Z219" s="776"/>
      <c r="AA219" s="776"/>
      <c r="AB219" s="776"/>
    </row>
    <row r="220" spans="1:28" ht="15.75" customHeight="1">
      <c r="A220" s="776"/>
      <c r="B220" s="776"/>
      <c r="C220" s="776"/>
      <c r="D220" s="776"/>
      <c r="E220" s="777"/>
      <c r="F220" s="776"/>
      <c r="G220" s="777"/>
      <c r="H220" s="776"/>
      <c r="I220" s="777"/>
      <c r="J220" s="777"/>
      <c r="K220" s="786"/>
      <c r="L220" s="777"/>
      <c r="M220" s="785"/>
      <c r="N220" s="785"/>
      <c r="O220" s="785"/>
      <c r="P220" s="785"/>
      <c r="Q220" s="785"/>
      <c r="R220" s="785"/>
      <c r="S220" s="776"/>
      <c r="T220" s="776"/>
      <c r="U220" s="776"/>
      <c r="V220" s="776"/>
      <c r="W220" s="776"/>
      <c r="X220" s="776"/>
      <c r="Y220" s="785"/>
      <c r="Z220" s="776"/>
      <c r="AA220" s="776"/>
      <c r="AB220" s="776"/>
    </row>
    <row r="221" spans="1:28" ht="15.75" customHeight="1">
      <c r="A221" s="776"/>
      <c r="B221" s="776"/>
      <c r="C221" s="776"/>
      <c r="D221" s="776"/>
      <c r="E221" s="777"/>
      <c r="F221" s="776"/>
      <c r="G221" s="777"/>
      <c r="H221" s="776"/>
      <c r="I221" s="777"/>
      <c r="J221" s="777"/>
      <c r="K221" s="786"/>
      <c r="L221" s="777"/>
      <c r="M221" s="785"/>
      <c r="N221" s="785"/>
      <c r="O221" s="785"/>
      <c r="P221" s="785"/>
      <c r="Q221" s="785"/>
      <c r="R221" s="785"/>
      <c r="S221" s="776"/>
      <c r="T221" s="776"/>
      <c r="U221" s="776"/>
      <c r="V221" s="776"/>
      <c r="W221" s="776"/>
      <c r="X221" s="776"/>
      <c r="Y221" s="785"/>
      <c r="Z221" s="776"/>
      <c r="AA221" s="776"/>
      <c r="AB221" s="776"/>
    </row>
    <row r="222" spans="1:28" ht="15.75" customHeight="1">
      <c r="A222" s="776"/>
      <c r="B222" s="776"/>
      <c r="C222" s="776"/>
      <c r="D222" s="776"/>
      <c r="E222" s="777"/>
      <c r="F222" s="776"/>
      <c r="G222" s="777"/>
      <c r="H222" s="776"/>
      <c r="I222" s="777"/>
      <c r="J222" s="777"/>
      <c r="K222" s="786"/>
      <c r="L222" s="777"/>
      <c r="M222" s="785"/>
      <c r="N222" s="785"/>
      <c r="O222" s="785"/>
      <c r="P222" s="785"/>
      <c r="Q222" s="785"/>
      <c r="R222" s="785"/>
      <c r="S222" s="776"/>
      <c r="T222" s="776"/>
      <c r="U222" s="776"/>
      <c r="V222" s="776"/>
      <c r="W222" s="776"/>
      <c r="X222" s="776"/>
      <c r="Y222" s="785"/>
      <c r="Z222" s="776"/>
      <c r="AA222" s="776"/>
      <c r="AB222" s="776"/>
    </row>
    <row r="223" spans="1:28" ht="15.75" customHeight="1">
      <c r="A223" s="776"/>
      <c r="B223" s="776"/>
      <c r="C223" s="776"/>
      <c r="D223" s="776"/>
      <c r="E223" s="777"/>
      <c r="F223" s="776"/>
      <c r="G223" s="777"/>
      <c r="H223" s="776"/>
      <c r="I223" s="777"/>
      <c r="J223" s="777"/>
      <c r="K223" s="786"/>
      <c r="L223" s="777"/>
      <c r="M223" s="785"/>
      <c r="N223" s="785"/>
      <c r="O223" s="785"/>
      <c r="P223" s="785"/>
      <c r="Q223" s="785"/>
      <c r="R223" s="785"/>
      <c r="S223" s="776"/>
      <c r="T223" s="776"/>
      <c r="U223" s="776"/>
      <c r="V223" s="776"/>
      <c r="W223" s="776"/>
      <c r="X223" s="776"/>
      <c r="Y223" s="785"/>
      <c r="Z223" s="776"/>
      <c r="AA223" s="776"/>
      <c r="AB223" s="776"/>
    </row>
    <row r="224" spans="1:28" ht="15.75" customHeight="1">
      <c r="A224" s="776"/>
      <c r="B224" s="776"/>
      <c r="C224" s="776"/>
      <c r="D224" s="776"/>
      <c r="E224" s="777"/>
      <c r="F224" s="776"/>
      <c r="G224" s="777"/>
      <c r="H224" s="776"/>
      <c r="I224" s="777"/>
      <c r="J224" s="777"/>
      <c r="K224" s="786"/>
      <c r="L224" s="777"/>
      <c r="M224" s="785"/>
      <c r="N224" s="785"/>
      <c r="O224" s="785"/>
      <c r="P224" s="785"/>
      <c r="Q224" s="785"/>
      <c r="R224" s="785"/>
      <c r="S224" s="776"/>
      <c r="T224" s="776"/>
      <c r="U224" s="776"/>
      <c r="V224" s="776"/>
      <c r="W224" s="776"/>
      <c r="X224" s="776"/>
      <c r="Y224" s="785"/>
      <c r="Z224" s="776"/>
      <c r="AA224" s="776"/>
      <c r="AB224" s="776"/>
    </row>
    <row r="225" spans="1:28" ht="15.75" customHeight="1">
      <c r="A225" s="776"/>
      <c r="B225" s="776"/>
      <c r="C225" s="776"/>
      <c r="D225" s="776"/>
      <c r="E225" s="777"/>
      <c r="F225" s="776"/>
      <c r="G225" s="777"/>
      <c r="H225" s="776"/>
      <c r="I225" s="777"/>
      <c r="J225" s="777"/>
      <c r="K225" s="786"/>
      <c r="L225" s="777"/>
      <c r="M225" s="785"/>
      <c r="N225" s="785"/>
      <c r="O225" s="785"/>
      <c r="P225" s="785"/>
      <c r="Q225" s="785"/>
      <c r="R225" s="785"/>
      <c r="S225" s="776"/>
      <c r="T225" s="776"/>
      <c r="U225" s="776"/>
      <c r="V225" s="776"/>
      <c r="W225" s="776"/>
      <c r="X225" s="776"/>
      <c r="Y225" s="785"/>
      <c r="Z225" s="776"/>
      <c r="AA225" s="776"/>
      <c r="AB225" s="776"/>
    </row>
    <row r="226" spans="1:28" ht="15.75" customHeight="1">
      <c r="A226" s="776"/>
      <c r="B226" s="776"/>
      <c r="C226" s="776"/>
      <c r="D226" s="776"/>
      <c r="E226" s="777"/>
      <c r="F226" s="776"/>
      <c r="G226" s="777"/>
      <c r="H226" s="776"/>
      <c r="I226" s="777"/>
      <c r="J226" s="777"/>
      <c r="K226" s="786"/>
      <c r="L226" s="777"/>
      <c r="M226" s="785"/>
      <c r="N226" s="785"/>
      <c r="O226" s="785"/>
      <c r="P226" s="785"/>
      <c r="Q226" s="785"/>
      <c r="R226" s="785"/>
      <c r="S226" s="776"/>
      <c r="T226" s="776"/>
      <c r="U226" s="776"/>
      <c r="V226" s="776"/>
      <c r="W226" s="776"/>
      <c r="X226" s="776"/>
      <c r="Y226" s="785"/>
      <c r="Z226" s="776"/>
      <c r="AA226" s="776"/>
      <c r="AB226" s="776"/>
    </row>
    <row r="227" spans="1:28" ht="15.75" customHeight="1">
      <c r="A227" s="776"/>
      <c r="B227" s="776"/>
      <c r="C227" s="776"/>
      <c r="D227" s="776"/>
      <c r="E227" s="777"/>
      <c r="F227" s="776"/>
      <c r="G227" s="777"/>
      <c r="H227" s="776"/>
      <c r="I227" s="777"/>
      <c r="J227" s="777"/>
      <c r="K227" s="786"/>
      <c r="L227" s="777"/>
      <c r="M227" s="785"/>
      <c r="N227" s="785"/>
      <c r="O227" s="785"/>
      <c r="P227" s="785"/>
      <c r="Q227" s="785"/>
      <c r="R227" s="785"/>
      <c r="S227" s="776"/>
      <c r="T227" s="776"/>
      <c r="U227" s="776"/>
      <c r="V227" s="776"/>
      <c r="W227" s="776"/>
      <c r="X227" s="776"/>
      <c r="Y227" s="785"/>
      <c r="Z227" s="776"/>
      <c r="AA227" s="776"/>
      <c r="AB227" s="776"/>
    </row>
    <row r="228" spans="1:28" ht="15.75" customHeight="1">
      <c r="A228" s="776"/>
      <c r="B228" s="776"/>
      <c r="C228" s="776"/>
      <c r="D228" s="776"/>
      <c r="E228" s="777"/>
      <c r="F228" s="776"/>
      <c r="G228" s="777"/>
      <c r="H228" s="776"/>
      <c r="I228" s="777"/>
      <c r="J228" s="777"/>
      <c r="K228" s="786"/>
      <c r="L228" s="777"/>
      <c r="M228" s="785"/>
      <c r="N228" s="785"/>
      <c r="O228" s="785"/>
      <c r="P228" s="785"/>
      <c r="Q228" s="785"/>
      <c r="R228" s="785"/>
      <c r="S228" s="776"/>
      <c r="T228" s="776"/>
      <c r="U228" s="776"/>
      <c r="V228" s="776"/>
      <c r="W228" s="776"/>
      <c r="X228" s="776"/>
      <c r="Y228" s="785"/>
      <c r="Z228" s="776"/>
      <c r="AA228" s="776"/>
      <c r="AB228" s="776"/>
    </row>
    <row r="229" spans="1:28" ht="15.75" customHeight="1">
      <c r="A229" s="776"/>
      <c r="B229" s="776"/>
      <c r="C229" s="776"/>
      <c r="D229" s="776"/>
      <c r="E229" s="777"/>
      <c r="F229" s="776"/>
      <c r="G229" s="777"/>
      <c r="H229" s="776"/>
      <c r="I229" s="777"/>
      <c r="J229" s="777"/>
      <c r="K229" s="786"/>
      <c r="L229" s="777"/>
      <c r="M229" s="785"/>
      <c r="N229" s="785"/>
      <c r="O229" s="785"/>
      <c r="P229" s="785"/>
      <c r="Q229" s="785"/>
      <c r="R229" s="785"/>
      <c r="S229" s="776"/>
      <c r="T229" s="776"/>
      <c r="U229" s="776"/>
      <c r="V229" s="776"/>
      <c r="W229" s="776"/>
      <c r="X229" s="776"/>
      <c r="Y229" s="785"/>
      <c r="Z229" s="776"/>
      <c r="AA229" s="776"/>
      <c r="AB229" s="776"/>
    </row>
    <row r="230" spans="1:28" ht="15.75" customHeight="1">
      <c r="A230" s="776"/>
      <c r="B230" s="776"/>
      <c r="C230" s="776"/>
      <c r="D230" s="776"/>
      <c r="E230" s="777"/>
      <c r="F230" s="776"/>
      <c r="G230" s="777"/>
      <c r="H230" s="776"/>
      <c r="I230" s="777"/>
      <c r="J230" s="777"/>
      <c r="K230" s="786"/>
      <c r="L230" s="777"/>
      <c r="M230" s="785"/>
      <c r="N230" s="785"/>
      <c r="O230" s="785"/>
      <c r="P230" s="785"/>
      <c r="Q230" s="785"/>
      <c r="R230" s="785"/>
      <c r="S230" s="776"/>
      <c r="T230" s="776"/>
      <c r="U230" s="776"/>
      <c r="V230" s="776"/>
      <c r="W230" s="776"/>
      <c r="X230" s="776"/>
      <c r="Y230" s="785"/>
      <c r="Z230" s="776"/>
      <c r="AA230" s="776"/>
      <c r="AB230" s="776"/>
    </row>
    <row r="231" spans="1:28" ht="15.75" customHeight="1">
      <c r="A231" s="776"/>
      <c r="B231" s="776"/>
      <c r="C231" s="776"/>
      <c r="D231" s="776"/>
      <c r="E231" s="777"/>
      <c r="F231" s="776"/>
      <c r="G231" s="777"/>
      <c r="H231" s="776"/>
      <c r="I231" s="777"/>
      <c r="J231" s="777"/>
      <c r="K231" s="786"/>
      <c r="L231" s="777"/>
      <c r="M231" s="785"/>
      <c r="N231" s="785"/>
      <c r="O231" s="785"/>
      <c r="P231" s="785"/>
      <c r="Q231" s="785"/>
      <c r="R231" s="785"/>
      <c r="S231" s="776"/>
      <c r="T231" s="776"/>
      <c r="U231" s="776"/>
      <c r="V231" s="776"/>
      <c r="W231" s="776"/>
      <c r="X231" s="776"/>
      <c r="Y231" s="785"/>
      <c r="Z231" s="776"/>
      <c r="AA231" s="776"/>
      <c r="AB231" s="776"/>
    </row>
    <row r="232" spans="1:28" ht="15.75" customHeight="1">
      <c r="A232" s="776"/>
      <c r="B232" s="776"/>
      <c r="C232" s="776"/>
      <c r="D232" s="776"/>
      <c r="E232" s="777"/>
      <c r="F232" s="776"/>
      <c r="G232" s="777"/>
      <c r="H232" s="776"/>
      <c r="I232" s="777"/>
      <c r="J232" s="777"/>
      <c r="K232" s="786"/>
      <c r="L232" s="777"/>
      <c r="M232" s="785"/>
      <c r="N232" s="785"/>
      <c r="O232" s="785"/>
      <c r="P232" s="785"/>
      <c r="Q232" s="785"/>
      <c r="R232" s="785"/>
      <c r="S232" s="776"/>
      <c r="T232" s="776"/>
      <c r="U232" s="776"/>
      <c r="V232" s="776"/>
      <c r="W232" s="776"/>
      <c r="X232" s="776"/>
      <c r="Y232" s="785"/>
      <c r="Z232" s="776"/>
      <c r="AA232" s="776"/>
      <c r="AB232" s="776"/>
    </row>
    <row r="233" spans="1:28" ht="15.75" customHeight="1">
      <c r="A233" s="776"/>
      <c r="B233" s="776"/>
      <c r="C233" s="776"/>
      <c r="D233" s="776"/>
      <c r="E233" s="777"/>
      <c r="F233" s="776"/>
      <c r="G233" s="777"/>
      <c r="H233" s="776"/>
      <c r="I233" s="777"/>
      <c r="J233" s="777"/>
      <c r="K233" s="786"/>
      <c r="L233" s="777"/>
      <c r="M233" s="785"/>
      <c r="N233" s="785"/>
      <c r="O233" s="785"/>
      <c r="P233" s="785"/>
      <c r="Q233" s="785"/>
      <c r="R233" s="785"/>
      <c r="S233" s="776"/>
      <c r="T233" s="776"/>
      <c r="U233" s="776"/>
      <c r="V233" s="776"/>
      <c r="W233" s="776"/>
      <c r="X233" s="776"/>
      <c r="Y233" s="785"/>
      <c r="Z233" s="776"/>
      <c r="AA233" s="776"/>
      <c r="AB233" s="776"/>
    </row>
    <row r="234" spans="1:28" ht="15.75" customHeight="1">
      <c r="A234" s="776"/>
      <c r="B234" s="776"/>
      <c r="C234" s="776"/>
      <c r="D234" s="776"/>
      <c r="E234" s="777"/>
      <c r="F234" s="776"/>
      <c r="G234" s="777"/>
      <c r="H234" s="776"/>
      <c r="I234" s="777"/>
      <c r="J234" s="777"/>
      <c r="K234" s="786"/>
      <c r="L234" s="777"/>
      <c r="M234" s="785"/>
      <c r="N234" s="785"/>
      <c r="O234" s="785"/>
      <c r="P234" s="785"/>
      <c r="Q234" s="785"/>
      <c r="R234" s="785"/>
      <c r="S234" s="776"/>
      <c r="T234" s="776"/>
      <c r="U234" s="776"/>
      <c r="V234" s="776"/>
      <c r="W234" s="776"/>
      <c r="X234" s="776"/>
      <c r="Y234" s="785"/>
      <c r="Z234" s="776"/>
      <c r="AA234" s="776"/>
      <c r="AB234" s="776"/>
    </row>
    <row r="235" spans="1:28" ht="15.75" customHeight="1">
      <c r="A235" s="776"/>
      <c r="B235" s="776"/>
      <c r="C235" s="776"/>
      <c r="D235" s="776"/>
      <c r="E235" s="777"/>
      <c r="F235" s="776"/>
      <c r="G235" s="777"/>
      <c r="H235" s="776"/>
      <c r="I235" s="777"/>
      <c r="J235" s="777"/>
      <c r="K235" s="786"/>
      <c r="L235" s="777"/>
      <c r="M235" s="785"/>
      <c r="N235" s="785"/>
      <c r="O235" s="785"/>
      <c r="P235" s="785"/>
      <c r="Q235" s="785"/>
      <c r="R235" s="785"/>
      <c r="S235" s="776"/>
      <c r="T235" s="776"/>
      <c r="U235" s="776"/>
      <c r="V235" s="776"/>
      <c r="W235" s="776"/>
      <c r="X235" s="776"/>
      <c r="Y235" s="785"/>
      <c r="Z235" s="776"/>
      <c r="AA235" s="776"/>
      <c r="AB235" s="776"/>
    </row>
    <row r="236" spans="1:28" ht="15.75" customHeight="1">
      <c r="A236" s="776"/>
      <c r="B236" s="776"/>
      <c r="C236" s="776"/>
      <c r="D236" s="776"/>
      <c r="E236" s="777"/>
      <c r="F236" s="776"/>
      <c r="G236" s="777"/>
      <c r="H236" s="776"/>
      <c r="I236" s="777"/>
      <c r="J236" s="777"/>
      <c r="K236" s="786"/>
      <c r="L236" s="777"/>
      <c r="M236" s="785"/>
      <c r="N236" s="785"/>
      <c r="O236" s="785"/>
      <c r="P236" s="785"/>
      <c r="Q236" s="785"/>
      <c r="R236" s="785"/>
      <c r="S236" s="776"/>
      <c r="T236" s="776"/>
      <c r="U236" s="776"/>
      <c r="V236" s="776"/>
      <c r="W236" s="776"/>
      <c r="X236" s="776"/>
      <c r="Y236" s="785"/>
      <c r="Z236" s="776"/>
      <c r="AA236" s="776"/>
      <c r="AB236" s="776"/>
    </row>
    <row r="237" spans="1:28" ht="15.75" customHeight="1">
      <c r="A237" s="776"/>
      <c r="B237" s="776"/>
      <c r="C237" s="776"/>
      <c r="D237" s="776"/>
      <c r="E237" s="777"/>
      <c r="F237" s="776"/>
      <c r="G237" s="777"/>
      <c r="H237" s="776"/>
      <c r="I237" s="777"/>
      <c r="J237" s="777"/>
      <c r="K237" s="786"/>
      <c r="L237" s="777"/>
      <c r="M237" s="785"/>
      <c r="N237" s="785"/>
      <c r="O237" s="785"/>
      <c r="P237" s="785"/>
      <c r="Q237" s="785"/>
      <c r="R237" s="785"/>
      <c r="S237" s="776"/>
      <c r="T237" s="776"/>
      <c r="U237" s="776"/>
      <c r="V237" s="776"/>
      <c r="W237" s="776"/>
      <c r="X237" s="776"/>
      <c r="Y237" s="785"/>
      <c r="Z237" s="776"/>
      <c r="AA237" s="776"/>
      <c r="AB237" s="776"/>
    </row>
    <row r="238" spans="1:28" ht="15.75" customHeight="1">
      <c r="A238" s="776"/>
      <c r="B238" s="776"/>
      <c r="C238" s="776"/>
      <c r="D238" s="776"/>
      <c r="E238" s="777"/>
      <c r="F238" s="776"/>
      <c r="G238" s="777"/>
      <c r="H238" s="776"/>
      <c r="I238" s="777"/>
      <c r="J238" s="777"/>
      <c r="K238" s="786"/>
      <c r="L238" s="777"/>
      <c r="M238" s="785"/>
      <c r="N238" s="785"/>
      <c r="O238" s="785"/>
      <c r="P238" s="785"/>
      <c r="Q238" s="785"/>
      <c r="R238" s="785"/>
      <c r="S238" s="776"/>
      <c r="T238" s="776"/>
      <c r="U238" s="776"/>
      <c r="V238" s="776"/>
      <c r="W238" s="776"/>
      <c r="X238" s="776"/>
      <c r="Y238" s="785"/>
      <c r="Z238" s="776"/>
      <c r="AA238" s="776"/>
      <c r="AB238" s="776"/>
    </row>
    <row r="239" spans="1:28" ht="15.75" customHeight="1">
      <c r="A239" s="776"/>
      <c r="B239" s="776"/>
      <c r="C239" s="776"/>
      <c r="D239" s="776"/>
      <c r="E239" s="777"/>
      <c r="F239" s="776"/>
      <c r="G239" s="777"/>
      <c r="H239" s="776"/>
      <c r="I239" s="777"/>
      <c r="J239" s="777"/>
      <c r="K239" s="786"/>
      <c r="L239" s="777"/>
      <c r="M239" s="785"/>
      <c r="N239" s="785"/>
      <c r="O239" s="785"/>
      <c r="P239" s="785"/>
      <c r="Q239" s="785"/>
      <c r="R239" s="785"/>
      <c r="S239" s="776"/>
      <c r="T239" s="776"/>
      <c r="U239" s="776"/>
      <c r="V239" s="776"/>
      <c r="W239" s="776"/>
      <c r="X239" s="776"/>
      <c r="Y239" s="785"/>
      <c r="Z239" s="776"/>
      <c r="AA239" s="776"/>
      <c r="AB239" s="776"/>
    </row>
    <row r="240" spans="1:28" ht="15.75" customHeight="1">
      <c r="A240" s="776"/>
      <c r="B240" s="776"/>
      <c r="C240" s="776"/>
      <c r="D240" s="776"/>
      <c r="E240" s="777"/>
      <c r="F240" s="776"/>
      <c r="G240" s="777"/>
      <c r="H240" s="776"/>
      <c r="I240" s="777"/>
      <c r="J240" s="777"/>
      <c r="K240" s="786"/>
      <c r="L240" s="777"/>
      <c r="M240" s="785"/>
      <c r="N240" s="785"/>
      <c r="O240" s="785"/>
      <c r="P240" s="785"/>
      <c r="Q240" s="785"/>
      <c r="R240" s="785"/>
      <c r="S240" s="776"/>
      <c r="T240" s="776"/>
      <c r="U240" s="776"/>
      <c r="V240" s="776"/>
      <c r="W240" s="776"/>
      <c r="X240" s="776"/>
      <c r="Y240" s="785"/>
      <c r="Z240" s="776"/>
      <c r="AA240" s="776"/>
      <c r="AB240" s="776"/>
    </row>
    <row r="241" spans="1:28" ht="15.75" customHeight="1">
      <c r="A241" s="776"/>
      <c r="B241" s="776"/>
      <c r="C241" s="776"/>
      <c r="D241" s="776"/>
      <c r="E241" s="777"/>
      <c r="F241" s="776"/>
      <c r="G241" s="777"/>
      <c r="H241" s="776"/>
      <c r="I241" s="777"/>
      <c r="J241" s="777"/>
      <c r="K241" s="786"/>
      <c r="L241" s="777"/>
      <c r="M241" s="785"/>
      <c r="N241" s="785"/>
      <c r="O241" s="785"/>
      <c r="P241" s="785"/>
      <c r="Q241" s="785"/>
      <c r="R241" s="785"/>
      <c r="S241" s="776"/>
      <c r="T241" s="776"/>
      <c r="U241" s="776"/>
      <c r="V241" s="776"/>
      <c r="W241" s="776"/>
      <c r="X241" s="776"/>
      <c r="Y241" s="785"/>
      <c r="Z241" s="776"/>
      <c r="AA241" s="776"/>
      <c r="AB241" s="776"/>
    </row>
    <row r="242" spans="1:28" ht="15.75" customHeight="1">
      <c r="A242" s="776"/>
      <c r="B242" s="776"/>
      <c r="C242" s="776"/>
      <c r="D242" s="776"/>
      <c r="E242" s="777"/>
      <c r="F242" s="776"/>
      <c r="G242" s="777"/>
      <c r="H242" s="776"/>
      <c r="I242" s="777"/>
      <c r="J242" s="777"/>
      <c r="K242" s="786"/>
      <c r="L242" s="777"/>
      <c r="M242" s="785"/>
      <c r="N242" s="785"/>
      <c r="O242" s="785"/>
      <c r="P242" s="785"/>
      <c r="Q242" s="785"/>
      <c r="R242" s="785"/>
      <c r="S242" s="776"/>
      <c r="T242" s="776"/>
      <c r="U242" s="776"/>
      <c r="V242" s="776"/>
      <c r="W242" s="776"/>
      <c r="X242" s="776"/>
      <c r="Y242" s="785"/>
      <c r="Z242" s="776"/>
      <c r="AA242" s="776"/>
      <c r="AB242" s="776"/>
    </row>
    <row r="243" spans="1:28" ht="15.75" customHeight="1">
      <c r="A243" s="776"/>
      <c r="B243" s="776"/>
      <c r="C243" s="776"/>
      <c r="D243" s="776"/>
      <c r="E243" s="777"/>
      <c r="F243" s="776"/>
      <c r="G243" s="777"/>
      <c r="H243" s="776"/>
      <c r="I243" s="777"/>
      <c r="J243" s="777"/>
      <c r="K243" s="786"/>
      <c r="L243" s="777"/>
      <c r="M243" s="785"/>
      <c r="N243" s="785"/>
      <c r="O243" s="785"/>
      <c r="P243" s="785"/>
      <c r="Q243" s="785"/>
      <c r="R243" s="785"/>
      <c r="S243" s="776"/>
      <c r="T243" s="776"/>
      <c r="U243" s="776"/>
      <c r="V243" s="776"/>
      <c r="W243" s="776"/>
      <c r="X243" s="776"/>
      <c r="Y243" s="785"/>
      <c r="Z243" s="776"/>
      <c r="AA243" s="776"/>
      <c r="AB243" s="776"/>
    </row>
    <row r="244" spans="1:28" ht="15.75" customHeight="1">
      <c r="A244" s="776"/>
      <c r="B244" s="776"/>
      <c r="C244" s="776"/>
      <c r="D244" s="776"/>
      <c r="E244" s="777"/>
      <c r="F244" s="776"/>
      <c r="G244" s="777"/>
      <c r="H244" s="776"/>
      <c r="I244" s="777"/>
      <c r="J244" s="777"/>
      <c r="K244" s="786"/>
      <c r="L244" s="777"/>
      <c r="M244" s="785"/>
      <c r="N244" s="785"/>
      <c r="O244" s="785"/>
      <c r="P244" s="785"/>
      <c r="Q244" s="785"/>
      <c r="R244" s="785"/>
      <c r="S244" s="776"/>
      <c r="T244" s="776"/>
      <c r="U244" s="776"/>
      <c r="V244" s="776"/>
      <c r="W244" s="776"/>
      <c r="X244" s="776"/>
      <c r="Y244" s="785"/>
      <c r="Z244" s="776"/>
      <c r="AA244" s="776"/>
      <c r="AB244" s="776"/>
    </row>
    <row r="245" spans="1:28" ht="15.75" customHeight="1">
      <c r="A245" s="776"/>
      <c r="B245" s="776"/>
      <c r="C245" s="776"/>
      <c r="D245" s="776"/>
      <c r="E245" s="777"/>
      <c r="F245" s="776"/>
      <c r="G245" s="777"/>
      <c r="H245" s="776"/>
      <c r="I245" s="777"/>
      <c r="J245" s="777"/>
      <c r="K245" s="786"/>
      <c r="L245" s="777"/>
      <c r="M245" s="785"/>
      <c r="N245" s="785"/>
      <c r="O245" s="785"/>
      <c r="P245" s="785"/>
      <c r="Q245" s="785"/>
      <c r="R245" s="785"/>
      <c r="S245" s="776"/>
      <c r="T245" s="776"/>
      <c r="U245" s="776"/>
      <c r="V245" s="776"/>
      <c r="W245" s="776"/>
      <c r="X245" s="776"/>
      <c r="Y245" s="785"/>
      <c r="Z245" s="776"/>
      <c r="AA245" s="776"/>
      <c r="AB245" s="776"/>
    </row>
    <row r="246" spans="1:28" ht="15.75" customHeight="1">
      <c r="A246" s="776"/>
      <c r="B246" s="776"/>
      <c r="C246" s="776"/>
      <c r="D246" s="776"/>
      <c r="E246" s="777"/>
      <c r="F246" s="776"/>
      <c r="G246" s="777"/>
      <c r="H246" s="776"/>
      <c r="I246" s="777"/>
      <c r="J246" s="777"/>
      <c r="K246" s="786"/>
      <c r="L246" s="777"/>
      <c r="M246" s="785"/>
      <c r="N246" s="785"/>
      <c r="O246" s="785"/>
      <c r="P246" s="785"/>
      <c r="Q246" s="785"/>
      <c r="R246" s="785"/>
      <c r="S246" s="776"/>
      <c r="T246" s="776"/>
      <c r="U246" s="776"/>
      <c r="V246" s="776"/>
      <c r="W246" s="776"/>
      <c r="X246" s="776"/>
      <c r="Y246" s="785"/>
      <c r="Z246" s="776"/>
      <c r="AA246" s="776"/>
      <c r="AB246" s="776"/>
    </row>
    <row r="247" spans="1:28" ht="15.75" customHeight="1">
      <c r="A247" s="776"/>
      <c r="B247" s="776"/>
      <c r="C247" s="776"/>
      <c r="D247" s="776"/>
      <c r="E247" s="777"/>
      <c r="F247" s="776"/>
      <c r="G247" s="777"/>
      <c r="H247" s="776"/>
      <c r="I247" s="777"/>
      <c r="J247" s="777"/>
      <c r="K247" s="786"/>
      <c r="L247" s="777"/>
      <c r="M247" s="785"/>
      <c r="N247" s="785"/>
      <c r="O247" s="785"/>
      <c r="P247" s="785"/>
      <c r="Q247" s="785"/>
      <c r="R247" s="785"/>
      <c r="S247" s="776"/>
      <c r="T247" s="776"/>
      <c r="U247" s="776"/>
      <c r="V247" s="776"/>
      <c r="W247" s="776"/>
      <c r="X247" s="776"/>
      <c r="Y247" s="785"/>
      <c r="Z247" s="776"/>
      <c r="AA247" s="776"/>
      <c r="AB247" s="776"/>
    </row>
    <row r="248" spans="1:28" ht="15.75" customHeight="1">
      <c r="A248" s="776"/>
      <c r="B248" s="776"/>
      <c r="C248" s="776"/>
      <c r="D248" s="776"/>
      <c r="E248" s="777"/>
      <c r="F248" s="776"/>
      <c r="G248" s="777"/>
      <c r="H248" s="776"/>
      <c r="I248" s="777"/>
      <c r="J248" s="777"/>
      <c r="K248" s="786"/>
      <c r="L248" s="777"/>
      <c r="M248" s="785"/>
      <c r="N248" s="785"/>
      <c r="O248" s="785"/>
      <c r="P248" s="785"/>
      <c r="Q248" s="785"/>
      <c r="R248" s="785"/>
      <c r="S248" s="776"/>
      <c r="T248" s="776"/>
      <c r="U248" s="776"/>
      <c r="V248" s="776"/>
      <c r="W248" s="776"/>
      <c r="X248" s="776"/>
      <c r="Y248" s="785"/>
      <c r="Z248" s="776"/>
      <c r="AA248" s="776"/>
      <c r="AB248" s="776"/>
    </row>
    <row r="249" spans="1:28" ht="15.75" customHeight="1">
      <c r="A249" s="776"/>
      <c r="B249" s="776"/>
      <c r="C249" s="776"/>
      <c r="D249" s="776"/>
      <c r="E249" s="777"/>
      <c r="F249" s="776"/>
      <c r="G249" s="777"/>
      <c r="H249" s="776"/>
      <c r="I249" s="777"/>
      <c r="J249" s="777"/>
      <c r="K249" s="786"/>
      <c r="L249" s="777"/>
      <c r="M249" s="785"/>
      <c r="N249" s="785"/>
      <c r="O249" s="785"/>
      <c r="P249" s="785"/>
      <c r="Q249" s="785"/>
      <c r="R249" s="785"/>
      <c r="S249" s="776"/>
      <c r="T249" s="776"/>
      <c r="U249" s="776"/>
      <c r="V249" s="776"/>
      <c r="W249" s="776"/>
      <c r="X249" s="776"/>
      <c r="Y249" s="785"/>
      <c r="Z249" s="776"/>
      <c r="AA249" s="776"/>
      <c r="AB249" s="776"/>
    </row>
    <row r="250" spans="1:28" ht="15.75" customHeight="1">
      <c r="A250" s="776"/>
      <c r="B250" s="776"/>
      <c r="C250" s="776"/>
      <c r="D250" s="776"/>
      <c r="E250" s="777"/>
      <c r="F250" s="776"/>
      <c r="G250" s="777"/>
      <c r="H250" s="776"/>
      <c r="I250" s="777"/>
      <c r="J250" s="777"/>
      <c r="K250" s="786"/>
      <c r="L250" s="777"/>
      <c r="M250" s="785"/>
      <c r="N250" s="785"/>
      <c r="O250" s="785"/>
      <c r="P250" s="785"/>
      <c r="Q250" s="785"/>
      <c r="R250" s="785"/>
      <c r="S250" s="776"/>
      <c r="T250" s="776"/>
      <c r="U250" s="776"/>
      <c r="V250" s="776"/>
      <c r="W250" s="776"/>
      <c r="X250" s="776"/>
      <c r="Y250" s="785"/>
      <c r="Z250" s="776"/>
      <c r="AA250" s="776"/>
      <c r="AB250" s="776"/>
    </row>
    <row r="251" spans="1:28" ht="15.75" customHeight="1">
      <c r="A251" s="776"/>
      <c r="B251" s="776"/>
      <c r="C251" s="776"/>
      <c r="D251" s="776"/>
      <c r="E251" s="777"/>
      <c r="F251" s="776"/>
      <c r="G251" s="777"/>
      <c r="H251" s="776"/>
      <c r="I251" s="777"/>
      <c r="J251" s="777"/>
      <c r="K251" s="786"/>
      <c r="L251" s="777"/>
      <c r="M251" s="785"/>
      <c r="N251" s="785"/>
      <c r="O251" s="785"/>
      <c r="P251" s="785"/>
      <c r="Q251" s="785"/>
      <c r="R251" s="785"/>
      <c r="S251" s="776"/>
      <c r="T251" s="776"/>
      <c r="U251" s="776"/>
      <c r="V251" s="776"/>
      <c r="W251" s="776"/>
      <c r="X251" s="776"/>
      <c r="Y251" s="785"/>
      <c r="Z251" s="776"/>
      <c r="AA251" s="776"/>
      <c r="AB251" s="776"/>
    </row>
    <row r="252" spans="1:28" ht="15.75" customHeight="1">
      <c r="A252" s="776"/>
      <c r="B252" s="776"/>
      <c r="C252" s="776"/>
      <c r="D252" s="776"/>
      <c r="E252" s="777"/>
      <c r="F252" s="776"/>
      <c r="G252" s="777"/>
      <c r="H252" s="776"/>
      <c r="I252" s="777"/>
      <c r="J252" s="777"/>
      <c r="K252" s="786"/>
      <c r="L252" s="777"/>
      <c r="M252" s="785"/>
      <c r="N252" s="785"/>
      <c r="O252" s="785"/>
      <c r="P252" s="785"/>
      <c r="Q252" s="785"/>
      <c r="R252" s="785"/>
      <c r="S252" s="776"/>
      <c r="T252" s="776"/>
      <c r="U252" s="776"/>
      <c r="V252" s="776"/>
      <c r="W252" s="776"/>
      <c r="X252" s="776"/>
      <c r="Y252" s="785"/>
      <c r="Z252" s="776"/>
      <c r="AA252" s="776"/>
      <c r="AB252" s="776"/>
    </row>
    <row r="253" spans="1:28" ht="15.75" customHeight="1">
      <c r="A253" s="776"/>
      <c r="B253" s="776"/>
      <c r="C253" s="776"/>
      <c r="D253" s="776"/>
      <c r="E253" s="777"/>
      <c r="F253" s="776"/>
      <c r="G253" s="777"/>
      <c r="H253" s="776"/>
      <c r="I253" s="777"/>
      <c r="J253" s="777"/>
      <c r="K253" s="786"/>
      <c r="L253" s="777"/>
      <c r="M253" s="785"/>
      <c r="N253" s="785"/>
      <c r="O253" s="785"/>
      <c r="P253" s="785"/>
      <c r="Q253" s="785"/>
      <c r="R253" s="785"/>
      <c r="S253" s="776"/>
      <c r="T253" s="776"/>
      <c r="U253" s="776"/>
      <c r="V253" s="776"/>
      <c r="W253" s="776"/>
      <c r="X253" s="776"/>
      <c r="Y253" s="785"/>
      <c r="Z253" s="776"/>
      <c r="AA253" s="776"/>
      <c r="AB253" s="776"/>
    </row>
    <row r="254" spans="1:28" ht="15.75" customHeight="1">
      <c r="A254" s="776"/>
      <c r="B254" s="776"/>
      <c r="C254" s="776"/>
      <c r="D254" s="776"/>
      <c r="E254" s="777"/>
      <c r="F254" s="776"/>
      <c r="G254" s="777"/>
      <c r="H254" s="776"/>
      <c r="I254" s="777"/>
      <c r="J254" s="777"/>
      <c r="K254" s="786"/>
      <c r="L254" s="777"/>
      <c r="M254" s="785"/>
      <c r="N254" s="785"/>
      <c r="O254" s="785"/>
      <c r="P254" s="785"/>
      <c r="Q254" s="785"/>
      <c r="R254" s="785"/>
      <c r="S254" s="776"/>
      <c r="T254" s="776"/>
      <c r="U254" s="776"/>
      <c r="V254" s="776"/>
      <c r="W254" s="776"/>
      <c r="X254" s="776"/>
      <c r="Y254" s="785"/>
      <c r="Z254" s="776"/>
      <c r="AA254" s="776"/>
      <c r="AB254" s="776"/>
    </row>
    <row r="255" spans="1:28" ht="15.75" customHeight="1">
      <c r="A255" s="776"/>
      <c r="B255" s="776"/>
      <c r="C255" s="776"/>
      <c r="D255" s="776"/>
      <c r="E255" s="777"/>
      <c r="F255" s="776"/>
      <c r="G255" s="777"/>
      <c r="H255" s="776"/>
      <c r="I255" s="777"/>
      <c r="J255" s="777"/>
      <c r="K255" s="786"/>
      <c r="L255" s="777"/>
      <c r="M255" s="785"/>
      <c r="N255" s="785"/>
      <c r="O255" s="785"/>
      <c r="P255" s="785"/>
      <c r="Q255" s="785"/>
      <c r="R255" s="785"/>
      <c r="S255" s="776"/>
      <c r="T255" s="776"/>
      <c r="U255" s="776"/>
      <c r="V255" s="776"/>
      <c r="W255" s="776"/>
      <c r="X255" s="776"/>
      <c r="Y255" s="785"/>
      <c r="Z255" s="776"/>
      <c r="AA255" s="776"/>
      <c r="AB255" s="776"/>
    </row>
    <row r="256" spans="1:28" ht="15.75" customHeight="1">
      <c r="A256" s="776"/>
      <c r="B256" s="776"/>
      <c r="C256" s="776"/>
      <c r="D256" s="776"/>
      <c r="E256" s="777"/>
      <c r="F256" s="776"/>
      <c r="G256" s="777"/>
      <c r="H256" s="776"/>
      <c r="I256" s="777"/>
      <c r="J256" s="777"/>
      <c r="K256" s="786"/>
      <c r="L256" s="777"/>
      <c r="M256" s="785"/>
      <c r="N256" s="785"/>
      <c r="O256" s="785"/>
      <c r="P256" s="785"/>
      <c r="Q256" s="785"/>
      <c r="R256" s="785"/>
      <c r="S256" s="776"/>
      <c r="T256" s="776"/>
      <c r="U256" s="776"/>
      <c r="V256" s="776"/>
      <c r="W256" s="776"/>
      <c r="X256" s="776"/>
      <c r="Y256" s="785"/>
      <c r="Z256" s="776"/>
      <c r="AA256" s="776"/>
      <c r="AB256" s="776"/>
    </row>
    <row r="257" spans="1:28" ht="15.75" customHeight="1">
      <c r="A257" s="776"/>
      <c r="B257" s="776"/>
      <c r="C257" s="776"/>
      <c r="D257" s="776"/>
      <c r="E257" s="777"/>
      <c r="F257" s="776"/>
      <c r="G257" s="777"/>
      <c r="H257" s="776"/>
      <c r="I257" s="777"/>
      <c r="J257" s="777"/>
      <c r="K257" s="786"/>
      <c r="L257" s="777"/>
      <c r="M257" s="785"/>
      <c r="N257" s="785"/>
      <c r="O257" s="785"/>
      <c r="P257" s="785"/>
      <c r="Q257" s="785"/>
      <c r="R257" s="785"/>
      <c r="S257" s="776"/>
      <c r="T257" s="776"/>
      <c r="U257" s="776"/>
      <c r="V257" s="776"/>
      <c r="W257" s="776"/>
      <c r="X257" s="776"/>
      <c r="Y257" s="785"/>
      <c r="Z257" s="776"/>
      <c r="AA257" s="776"/>
      <c r="AB257" s="776"/>
    </row>
    <row r="258" spans="1:28" ht="15.75" customHeight="1">
      <c r="A258" s="776"/>
      <c r="B258" s="776"/>
      <c r="C258" s="776"/>
      <c r="D258" s="776"/>
      <c r="E258" s="777"/>
      <c r="F258" s="776"/>
      <c r="G258" s="777"/>
      <c r="H258" s="776"/>
      <c r="I258" s="777"/>
      <c r="J258" s="777"/>
      <c r="K258" s="786"/>
      <c r="L258" s="777"/>
      <c r="M258" s="785"/>
      <c r="N258" s="785"/>
      <c r="O258" s="785"/>
      <c r="P258" s="785"/>
      <c r="Q258" s="785"/>
      <c r="R258" s="785"/>
      <c r="S258" s="776"/>
      <c r="T258" s="776"/>
      <c r="U258" s="776"/>
      <c r="V258" s="776"/>
      <c r="W258" s="776"/>
      <c r="X258" s="776"/>
      <c r="Y258" s="785"/>
      <c r="Z258" s="776"/>
      <c r="AA258" s="776"/>
      <c r="AB258" s="776"/>
    </row>
    <row r="259" spans="1:28" ht="15.75" customHeight="1">
      <c r="A259" s="776"/>
      <c r="B259" s="776"/>
      <c r="C259" s="776"/>
      <c r="D259" s="776"/>
      <c r="E259" s="777"/>
      <c r="F259" s="776"/>
      <c r="G259" s="777"/>
      <c r="H259" s="776"/>
      <c r="I259" s="777"/>
      <c r="J259" s="777"/>
      <c r="K259" s="786"/>
      <c r="L259" s="777"/>
      <c r="M259" s="785"/>
      <c r="N259" s="785"/>
      <c r="O259" s="785"/>
      <c r="P259" s="785"/>
      <c r="Q259" s="785"/>
      <c r="R259" s="785"/>
      <c r="S259" s="776"/>
      <c r="T259" s="776"/>
      <c r="U259" s="776"/>
      <c r="V259" s="776"/>
      <c r="W259" s="776"/>
      <c r="X259" s="776"/>
      <c r="Y259" s="785"/>
      <c r="Z259" s="776"/>
      <c r="AA259" s="776"/>
      <c r="AB259" s="776"/>
    </row>
    <row r="260" spans="1:28" ht="15.75" customHeight="1">
      <c r="A260" s="776"/>
      <c r="B260" s="776"/>
      <c r="C260" s="776"/>
      <c r="D260" s="776"/>
      <c r="E260" s="777"/>
      <c r="F260" s="776"/>
      <c r="G260" s="777"/>
      <c r="H260" s="776"/>
      <c r="I260" s="777"/>
      <c r="J260" s="777"/>
      <c r="K260" s="786"/>
      <c r="L260" s="777"/>
      <c r="M260" s="785"/>
      <c r="N260" s="785"/>
      <c r="O260" s="785"/>
      <c r="P260" s="785"/>
      <c r="Q260" s="785"/>
      <c r="R260" s="785"/>
      <c r="S260" s="776"/>
      <c r="T260" s="776"/>
      <c r="U260" s="776"/>
      <c r="V260" s="776"/>
      <c r="W260" s="776"/>
      <c r="X260" s="776"/>
      <c r="Y260" s="785"/>
      <c r="Z260" s="776"/>
      <c r="AA260" s="776"/>
      <c r="AB260" s="776"/>
    </row>
    <row r="261" spans="1:28" ht="15.75" customHeight="1">
      <c r="A261" s="776"/>
      <c r="B261" s="776"/>
      <c r="C261" s="776"/>
      <c r="D261" s="776"/>
      <c r="E261" s="777"/>
      <c r="F261" s="776"/>
      <c r="G261" s="777"/>
      <c r="H261" s="776"/>
      <c r="I261" s="777"/>
      <c r="J261" s="777"/>
      <c r="K261" s="786"/>
      <c r="L261" s="777"/>
      <c r="M261" s="785"/>
      <c r="N261" s="785"/>
      <c r="O261" s="785"/>
      <c r="P261" s="785"/>
      <c r="Q261" s="785"/>
      <c r="R261" s="785"/>
      <c r="S261" s="776"/>
      <c r="T261" s="776"/>
      <c r="U261" s="776"/>
      <c r="V261" s="776"/>
      <c r="W261" s="776"/>
      <c r="X261" s="776"/>
      <c r="Y261" s="785"/>
      <c r="Z261" s="776"/>
      <c r="AA261" s="776"/>
      <c r="AB261" s="776"/>
    </row>
    <row r="262" spans="1:28" ht="15.75" customHeight="1">
      <c r="A262" s="776"/>
      <c r="B262" s="776"/>
      <c r="C262" s="776"/>
      <c r="D262" s="776"/>
      <c r="E262" s="777"/>
      <c r="F262" s="776"/>
      <c r="G262" s="777"/>
      <c r="H262" s="776"/>
      <c r="I262" s="777"/>
      <c r="J262" s="777"/>
      <c r="K262" s="786"/>
      <c r="L262" s="777"/>
      <c r="M262" s="785"/>
      <c r="N262" s="785"/>
      <c r="O262" s="785"/>
      <c r="P262" s="785"/>
      <c r="Q262" s="785"/>
      <c r="R262" s="785"/>
      <c r="S262" s="776"/>
      <c r="T262" s="776"/>
      <c r="U262" s="776"/>
      <c r="V262" s="776"/>
      <c r="W262" s="776"/>
      <c r="X262" s="776"/>
      <c r="Y262" s="785"/>
      <c r="Z262" s="776"/>
      <c r="AA262" s="776"/>
      <c r="AB262" s="776"/>
    </row>
    <row r="263" spans="1:28" ht="15.75" customHeight="1">
      <c r="A263" s="776"/>
      <c r="B263" s="776"/>
      <c r="C263" s="776"/>
      <c r="D263" s="776"/>
      <c r="E263" s="777"/>
      <c r="F263" s="776"/>
      <c r="G263" s="777"/>
      <c r="H263" s="776"/>
      <c r="I263" s="777"/>
      <c r="J263" s="777"/>
      <c r="K263" s="786"/>
      <c r="L263" s="777"/>
      <c r="M263" s="785"/>
      <c r="N263" s="785"/>
      <c r="O263" s="785"/>
      <c r="P263" s="785"/>
      <c r="Q263" s="785"/>
      <c r="R263" s="785"/>
      <c r="S263" s="776"/>
      <c r="T263" s="776"/>
      <c r="U263" s="776"/>
      <c r="V263" s="776"/>
      <c r="W263" s="776"/>
      <c r="X263" s="776"/>
      <c r="Y263" s="785"/>
      <c r="Z263" s="776"/>
      <c r="AA263" s="776"/>
      <c r="AB263" s="776"/>
    </row>
    <row r="264" spans="1:28" ht="15.75" customHeight="1">
      <c r="A264" s="776"/>
      <c r="B264" s="776"/>
      <c r="C264" s="776"/>
      <c r="D264" s="776"/>
      <c r="E264" s="777"/>
      <c r="F264" s="776"/>
      <c r="G264" s="777"/>
      <c r="H264" s="776"/>
      <c r="I264" s="777"/>
      <c r="J264" s="777"/>
      <c r="K264" s="786"/>
      <c r="L264" s="777"/>
      <c r="M264" s="785"/>
      <c r="N264" s="785"/>
      <c r="O264" s="785"/>
      <c r="P264" s="785"/>
      <c r="Q264" s="785"/>
      <c r="R264" s="785"/>
      <c r="S264" s="776"/>
      <c r="T264" s="776"/>
      <c r="U264" s="776"/>
      <c r="V264" s="776"/>
      <c r="W264" s="776"/>
      <c r="X264" s="776"/>
      <c r="Y264" s="785"/>
      <c r="Z264" s="776"/>
      <c r="AA264" s="776"/>
      <c r="AB264" s="776"/>
    </row>
    <row r="265" spans="1:28" ht="15.75" customHeight="1">
      <c r="A265" s="776"/>
      <c r="B265" s="776"/>
      <c r="C265" s="776"/>
      <c r="D265" s="776"/>
      <c r="E265" s="777"/>
      <c r="F265" s="776"/>
      <c r="G265" s="777"/>
      <c r="H265" s="776"/>
      <c r="I265" s="777"/>
      <c r="J265" s="777"/>
      <c r="K265" s="786"/>
      <c r="L265" s="777"/>
      <c r="M265" s="785"/>
      <c r="N265" s="785"/>
      <c r="O265" s="785"/>
      <c r="P265" s="785"/>
      <c r="Q265" s="785"/>
      <c r="R265" s="785"/>
      <c r="S265" s="776"/>
      <c r="T265" s="776"/>
      <c r="U265" s="776"/>
      <c r="V265" s="776"/>
      <c r="W265" s="776"/>
      <c r="X265" s="776"/>
      <c r="Y265" s="785"/>
      <c r="Z265" s="776"/>
      <c r="AA265" s="776"/>
      <c r="AB265" s="776"/>
    </row>
    <row r="266" spans="1:28" ht="15.75" customHeight="1">
      <c r="A266" s="776"/>
      <c r="B266" s="776"/>
      <c r="C266" s="776"/>
      <c r="D266" s="776"/>
      <c r="E266" s="777"/>
      <c r="F266" s="776"/>
      <c r="G266" s="777"/>
      <c r="H266" s="776"/>
      <c r="I266" s="777"/>
      <c r="J266" s="777"/>
      <c r="K266" s="786"/>
      <c r="L266" s="777"/>
      <c r="M266" s="785"/>
      <c r="N266" s="785"/>
      <c r="O266" s="785"/>
      <c r="P266" s="785"/>
      <c r="Q266" s="785"/>
      <c r="R266" s="785"/>
      <c r="S266" s="776"/>
      <c r="T266" s="776"/>
      <c r="U266" s="776"/>
      <c r="V266" s="776"/>
      <c r="W266" s="776"/>
      <c r="X266" s="776"/>
      <c r="Y266" s="785"/>
      <c r="Z266" s="776"/>
      <c r="AA266" s="776"/>
      <c r="AB266" s="776"/>
    </row>
    <row r="267" spans="1:28" ht="15.75" customHeight="1">
      <c r="A267" s="776"/>
      <c r="B267" s="776"/>
      <c r="C267" s="776"/>
      <c r="D267" s="776"/>
      <c r="E267" s="777"/>
      <c r="F267" s="776"/>
      <c r="G267" s="777"/>
      <c r="H267" s="776"/>
      <c r="I267" s="777"/>
      <c r="J267" s="777"/>
      <c r="K267" s="786"/>
      <c r="L267" s="777"/>
      <c r="M267" s="785"/>
      <c r="N267" s="785"/>
      <c r="O267" s="785"/>
      <c r="P267" s="785"/>
      <c r="Q267" s="785"/>
      <c r="R267" s="785"/>
      <c r="S267" s="776"/>
      <c r="T267" s="776"/>
      <c r="U267" s="776"/>
      <c r="V267" s="776"/>
      <c r="W267" s="776"/>
      <c r="X267" s="776"/>
      <c r="Y267" s="785"/>
      <c r="Z267" s="776"/>
      <c r="AA267" s="776"/>
      <c r="AB267" s="776"/>
    </row>
    <row r="268" spans="1:28" ht="15.75" customHeight="1">
      <c r="A268" s="776"/>
      <c r="B268" s="776"/>
      <c r="C268" s="776"/>
      <c r="D268" s="776"/>
      <c r="E268" s="777"/>
      <c r="F268" s="776"/>
      <c r="G268" s="777"/>
      <c r="H268" s="776"/>
      <c r="I268" s="777"/>
      <c r="J268" s="777"/>
      <c r="K268" s="786"/>
      <c r="L268" s="777"/>
      <c r="M268" s="785"/>
      <c r="N268" s="785"/>
      <c r="O268" s="785"/>
      <c r="P268" s="785"/>
      <c r="Q268" s="785"/>
      <c r="R268" s="785"/>
      <c r="S268" s="776"/>
      <c r="T268" s="776"/>
      <c r="U268" s="776"/>
      <c r="V268" s="776"/>
      <c r="W268" s="776"/>
      <c r="X268" s="776"/>
      <c r="Y268" s="785"/>
      <c r="Z268" s="776"/>
      <c r="AA268" s="776"/>
      <c r="AB268" s="776"/>
    </row>
    <row r="269" spans="1:28" ht="15.75" customHeight="1">
      <c r="A269" s="776"/>
      <c r="B269" s="776"/>
      <c r="C269" s="776"/>
      <c r="D269" s="776"/>
      <c r="E269" s="777"/>
      <c r="F269" s="776"/>
      <c r="G269" s="777"/>
      <c r="H269" s="776"/>
      <c r="I269" s="777"/>
      <c r="J269" s="777"/>
      <c r="K269" s="786"/>
      <c r="L269" s="777"/>
      <c r="M269" s="785"/>
      <c r="N269" s="785"/>
      <c r="O269" s="785"/>
      <c r="P269" s="785"/>
      <c r="Q269" s="785"/>
      <c r="R269" s="785"/>
      <c r="S269" s="776"/>
      <c r="T269" s="776"/>
      <c r="U269" s="776"/>
      <c r="V269" s="776"/>
      <c r="W269" s="776"/>
      <c r="X269" s="776"/>
      <c r="Y269" s="785"/>
      <c r="Z269" s="776"/>
      <c r="AA269" s="776"/>
      <c r="AB269" s="776"/>
    </row>
    <row r="270" spans="1:28" ht="15.75" customHeight="1">
      <c r="A270" s="776"/>
      <c r="B270" s="776"/>
      <c r="C270" s="776"/>
      <c r="D270" s="776"/>
      <c r="E270" s="777"/>
      <c r="F270" s="776"/>
      <c r="G270" s="777"/>
      <c r="H270" s="776"/>
      <c r="I270" s="777"/>
      <c r="J270" s="777"/>
      <c r="K270" s="786"/>
      <c r="L270" s="777"/>
      <c r="M270" s="785"/>
      <c r="N270" s="785"/>
      <c r="O270" s="785"/>
      <c r="P270" s="785"/>
      <c r="Q270" s="785"/>
      <c r="R270" s="785"/>
      <c r="S270" s="776"/>
      <c r="T270" s="776"/>
      <c r="U270" s="776"/>
      <c r="V270" s="776"/>
      <c r="W270" s="776"/>
      <c r="X270" s="776"/>
      <c r="Y270" s="785"/>
      <c r="Z270" s="776"/>
      <c r="AA270" s="776"/>
      <c r="AB270" s="776"/>
    </row>
    <row r="271" spans="1:28" ht="15.75" customHeight="1">
      <c r="A271" s="776"/>
      <c r="B271" s="776"/>
      <c r="C271" s="776"/>
      <c r="D271" s="776"/>
      <c r="E271" s="777"/>
      <c r="F271" s="776"/>
      <c r="G271" s="777"/>
      <c r="H271" s="776"/>
      <c r="I271" s="777"/>
      <c r="J271" s="777"/>
      <c r="K271" s="786"/>
      <c r="L271" s="777"/>
      <c r="M271" s="785"/>
      <c r="N271" s="785"/>
      <c r="O271" s="785"/>
      <c r="P271" s="785"/>
      <c r="Q271" s="785"/>
      <c r="R271" s="785"/>
      <c r="S271" s="776"/>
      <c r="T271" s="776"/>
      <c r="U271" s="776"/>
      <c r="V271" s="776"/>
      <c r="W271" s="776"/>
      <c r="X271" s="776"/>
      <c r="Y271" s="785"/>
      <c r="Z271" s="776"/>
      <c r="AA271" s="776"/>
      <c r="AB271" s="776"/>
    </row>
    <row r="272" spans="1:28" ht="15.75" customHeight="1">
      <c r="A272" s="776"/>
      <c r="B272" s="776"/>
      <c r="C272" s="776"/>
      <c r="D272" s="776"/>
      <c r="E272" s="777"/>
      <c r="F272" s="776"/>
      <c r="G272" s="777"/>
      <c r="H272" s="776"/>
      <c r="I272" s="777"/>
      <c r="J272" s="777"/>
      <c r="K272" s="786"/>
      <c r="L272" s="777"/>
      <c r="M272" s="785"/>
      <c r="N272" s="785"/>
      <c r="O272" s="785"/>
      <c r="P272" s="785"/>
      <c r="Q272" s="785"/>
      <c r="R272" s="785"/>
      <c r="S272" s="776"/>
      <c r="T272" s="776"/>
      <c r="U272" s="776"/>
      <c r="V272" s="776"/>
      <c r="W272" s="776"/>
      <c r="X272" s="776"/>
      <c r="Y272" s="785"/>
      <c r="Z272" s="776"/>
      <c r="AA272" s="776"/>
      <c r="AB272" s="776"/>
    </row>
    <row r="273" spans="1:28" ht="15.75" customHeight="1">
      <c r="A273" s="776"/>
      <c r="B273" s="776"/>
      <c r="C273" s="776"/>
      <c r="D273" s="776"/>
      <c r="E273" s="777"/>
      <c r="F273" s="776"/>
      <c r="G273" s="777"/>
      <c r="H273" s="776"/>
      <c r="I273" s="777"/>
      <c r="J273" s="777"/>
      <c r="K273" s="786"/>
      <c r="L273" s="777"/>
      <c r="M273" s="785"/>
      <c r="N273" s="785"/>
      <c r="O273" s="785"/>
      <c r="P273" s="785"/>
      <c r="Q273" s="785"/>
      <c r="R273" s="785"/>
      <c r="S273" s="776"/>
      <c r="T273" s="776"/>
      <c r="U273" s="776"/>
      <c r="V273" s="776"/>
      <c r="W273" s="776"/>
      <c r="X273" s="776"/>
      <c r="Y273" s="785"/>
      <c r="Z273" s="776"/>
      <c r="AA273" s="776"/>
      <c r="AB273" s="776"/>
    </row>
    <row r="274" spans="1:28" ht="15.75" customHeight="1">
      <c r="A274" s="776"/>
      <c r="B274" s="776"/>
      <c r="C274" s="776"/>
      <c r="D274" s="776"/>
      <c r="E274" s="777"/>
      <c r="F274" s="776"/>
      <c r="G274" s="777"/>
      <c r="H274" s="776"/>
      <c r="I274" s="777"/>
      <c r="J274" s="777"/>
      <c r="K274" s="786"/>
      <c r="L274" s="777"/>
      <c r="M274" s="785"/>
      <c r="N274" s="785"/>
      <c r="O274" s="785"/>
      <c r="P274" s="785"/>
      <c r="Q274" s="785"/>
      <c r="R274" s="785"/>
      <c r="S274" s="776"/>
      <c r="T274" s="776"/>
      <c r="U274" s="776"/>
      <c r="V274" s="776"/>
      <c r="W274" s="776"/>
      <c r="X274" s="776"/>
      <c r="Y274" s="785"/>
      <c r="Z274" s="776"/>
      <c r="AA274" s="776"/>
      <c r="AB274" s="776"/>
    </row>
    <row r="275" spans="1:28" ht="15.75" customHeight="1">
      <c r="A275" s="776"/>
      <c r="B275" s="776"/>
      <c r="C275" s="776"/>
      <c r="D275" s="776"/>
      <c r="E275" s="777"/>
      <c r="F275" s="776"/>
      <c r="G275" s="777"/>
      <c r="H275" s="776"/>
      <c r="I275" s="777"/>
      <c r="J275" s="777"/>
      <c r="K275" s="786"/>
      <c r="L275" s="777"/>
      <c r="M275" s="785"/>
      <c r="N275" s="785"/>
      <c r="O275" s="785"/>
      <c r="P275" s="785"/>
      <c r="Q275" s="785"/>
      <c r="R275" s="785"/>
      <c r="S275" s="776"/>
      <c r="T275" s="776"/>
      <c r="U275" s="776"/>
      <c r="V275" s="776"/>
      <c r="W275" s="776"/>
      <c r="X275" s="776"/>
      <c r="Y275" s="785"/>
      <c r="Z275" s="776"/>
      <c r="AA275" s="776"/>
      <c r="AB275" s="776"/>
    </row>
    <row r="276" spans="1:28" ht="15.75" customHeight="1">
      <c r="A276" s="776"/>
      <c r="B276" s="776"/>
      <c r="C276" s="776"/>
      <c r="D276" s="776"/>
      <c r="E276" s="777"/>
      <c r="F276" s="776"/>
      <c r="G276" s="777"/>
      <c r="H276" s="776"/>
      <c r="I276" s="777"/>
      <c r="J276" s="777"/>
      <c r="K276" s="786"/>
      <c r="L276" s="777"/>
      <c r="M276" s="785"/>
      <c r="N276" s="785"/>
      <c r="O276" s="785"/>
      <c r="P276" s="785"/>
      <c r="Q276" s="785"/>
      <c r="R276" s="785"/>
      <c r="S276" s="776"/>
      <c r="T276" s="776"/>
      <c r="U276" s="776"/>
      <c r="V276" s="776"/>
      <c r="W276" s="776"/>
      <c r="X276" s="776"/>
      <c r="Y276" s="785"/>
      <c r="Z276" s="776"/>
      <c r="AA276" s="776"/>
      <c r="AB276" s="776"/>
    </row>
    <row r="277" spans="1:28" ht="15.75" customHeight="1">
      <c r="A277" s="776"/>
      <c r="B277" s="776"/>
      <c r="C277" s="776"/>
      <c r="D277" s="776"/>
      <c r="E277" s="777"/>
      <c r="F277" s="776"/>
      <c r="G277" s="777"/>
      <c r="H277" s="776"/>
      <c r="I277" s="777"/>
      <c r="J277" s="777"/>
      <c r="K277" s="786"/>
      <c r="L277" s="777"/>
      <c r="M277" s="785"/>
      <c r="N277" s="785"/>
      <c r="O277" s="785"/>
      <c r="P277" s="785"/>
      <c r="Q277" s="785"/>
      <c r="R277" s="785"/>
      <c r="S277" s="776"/>
      <c r="T277" s="776"/>
      <c r="U277" s="776"/>
      <c r="V277" s="776"/>
      <c r="W277" s="776"/>
      <c r="X277" s="776"/>
      <c r="Y277" s="785"/>
      <c r="Z277" s="776"/>
      <c r="AA277" s="776"/>
      <c r="AB277" s="776"/>
    </row>
    <row r="278" spans="1:28" ht="15.75" customHeight="1">
      <c r="A278" s="776"/>
      <c r="B278" s="776"/>
      <c r="C278" s="776"/>
      <c r="D278" s="776"/>
      <c r="E278" s="777"/>
      <c r="F278" s="776"/>
      <c r="G278" s="777"/>
      <c r="H278" s="776"/>
      <c r="I278" s="777"/>
      <c r="J278" s="777"/>
      <c r="K278" s="786"/>
      <c r="L278" s="777"/>
      <c r="M278" s="785"/>
      <c r="N278" s="785"/>
      <c r="O278" s="785"/>
      <c r="P278" s="785"/>
      <c r="Q278" s="785"/>
      <c r="R278" s="785"/>
      <c r="S278" s="776"/>
      <c r="T278" s="776"/>
      <c r="U278" s="776"/>
      <c r="V278" s="776"/>
      <c r="W278" s="776"/>
      <c r="X278" s="776"/>
      <c r="Y278" s="785"/>
      <c r="Z278" s="776"/>
      <c r="AA278" s="776"/>
      <c r="AB278" s="776"/>
    </row>
    <row r="279" spans="1:28" ht="15.75" customHeight="1">
      <c r="A279" s="776"/>
      <c r="B279" s="776"/>
      <c r="C279" s="776"/>
      <c r="D279" s="776"/>
      <c r="E279" s="777"/>
      <c r="F279" s="776"/>
      <c r="G279" s="777"/>
      <c r="H279" s="776"/>
      <c r="I279" s="777"/>
      <c r="J279" s="777"/>
      <c r="K279" s="786"/>
      <c r="L279" s="777"/>
      <c r="M279" s="785"/>
      <c r="N279" s="785"/>
      <c r="O279" s="785"/>
      <c r="P279" s="785"/>
      <c r="Q279" s="785"/>
      <c r="R279" s="785"/>
      <c r="S279" s="776"/>
      <c r="T279" s="776"/>
      <c r="U279" s="776"/>
      <c r="V279" s="776"/>
      <c r="W279" s="776"/>
      <c r="X279" s="776"/>
      <c r="Y279" s="785"/>
      <c r="Z279" s="776"/>
      <c r="AA279" s="776"/>
      <c r="AB279" s="776"/>
    </row>
    <row r="280" spans="1:28" ht="15.75" customHeight="1">
      <c r="A280" s="776"/>
      <c r="B280" s="776"/>
      <c r="C280" s="776"/>
      <c r="D280" s="776"/>
      <c r="E280" s="777"/>
      <c r="F280" s="776"/>
      <c r="G280" s="777"/>
      <c r="H280" s="776"/>
      <c r="I280" s="777"/>
      <c r="J280" s="777"/>
      <c r="K280" s="786"/>
      <c r="L280" s="777"/>
      <c r="M280" s="785"/>
      <c r="N280" s="785"/>
      <c r="O280" s="785"/>
      <c r="P280" s="785"/>
      <c r="Q280" s="785"/>
      <c r="R280" s="785"/>
      <c r="S280" s="776"/>
      <c r="T280" s="776"/>
      <c r="U280" s="776"/>
      <c r="V280" s="776"/>
      <c r="W280" s="776"/>
      <c r="X280" s="776"/>
      <c r="Y280" s="785"/>
      <c r="Z280" s="776"/>
      <c r="AA280" s="776"/>
      <c r="AB280" s="776"/>
    </row>
    <row r="281" spans="1:28" ht="15.75" customHeight="1">
      <c r="A281" s="776"/>
      <c r="B281" s="776"/>
      <c r="C281" s="776"/>
      <c r="D281" s="776"/>
      <c r="E281" s="777"/>
      <c r="F281" s="776"/>
      <c r="G281" s="777"/>
      <c r="H281" s="776"/>
      <c r="I281" s="777"/>
      <c r="J281" s="777"/>
      <c r="K281" s="786"/>
      <c r="L281" s="777"/>
      <c r="M281" s="785"/>
      <c r="N281" s="785"/>
      <c r="O281" s="785"/>
      <c r="P281" s="785"/>
      <c r="Q281" s="785"/>
      <c r="R281" s="785"/>
      <c r="S281" s="776"/>
      <c r="T281" s="776"/>
      <c r="U281" s="776"/>
      <c r="V281" s="776"/>
      <c r="W281" s="776"/>
      <c r="X281" s="776"/>
      <c r="Y281" s="785"/>
      <c r="Z281" s="776"/>
      <c r="AA281" s="776"/>
      <c r="AB281" s="776"/>
    </row>
    <row r="282" spans="1:28" ht="15.75" customHeight="1">
      <c r="A282" s="776"/>
      <c r="B282" s="776"/>
      <c r="C282" s="776"/>
      <c r="D282" s="776"/>
      <c r="E282" s="777"/>
      <c r="F282" s="776"/>
      <c r="G282" s="777"/>
      <c r="H282" s="776"/>
      <c r="I282" s="777"/>
      <c r="J282" s="777"/>
      <c r="K282" s="786"/>
      <c r="L282" s="777"/>
      <c r="M282" s="785"/>
      <c r="N282" s="785"/>
      <c r="O282" s="785"/>
      <c r="P282" s="785"/>
      <c r="Q282" s="785"/>
      <c r="R282" s="785"/>
      <c r="S282" s="776"/>
      <c r="T282" s="776"/>
      <c r="U282" s="776"/>
      <c r="V282" s="776"/>
      <c r="W282" s="776"/>
      <c r="X282" s="776"/>
      <c r="Y282" s="785"/>
      <c r="Z282" s="776"/>
      <c r="AA282" s="776"/>
      <c r="AB282" s="776"/>
    </row>
    <row r="283" spans="1:28" ht="15.75" customHeight="1">
      <c r="A283" s="776"/>
      <c r="B283" s="776"/>
      <c r="C283" s="776"/>
      <c r="D283" s="776"/>
      <c r="E283" s="777"/>
      <c r="F283" s="776"/>
      <c r="G283" s="777"/>
      <c r="H283" s="776"/>
      <c r="I283" s="777"/>
      <c r="J283" s="777"/>
      <c r="K283" s="786"/>
      <c r="L283" s="777"/>
      <c r="M283" s="785"/>
      <c r="N283" s="785"/>
      <c r="O283" s="785"/>
      <c r="P283" s="785"/>
      <c r="Q283" s="785"/>
      <c r="R283" s="785"/>
      <c r="S283" s="776"/>
      <c r="T283" s="776"/>
      <c r="U283" s="776"/>
      <c r="V283" s="776"/>
      <c r="W283" s="776"/>
      <c r="X283" s="776"/>
      <c r="Y283" s="785"/>
      <c r="Z283" s="776"/>
      <c r="AA283" s="776"/>
      <c r="AB283" s="776"/>
    </row>
    <row r="284" spans="1:28" ht="15.75" customHeight="1">
      <c r="A284" s="776"/>
      <c r="B284" s="776"/>
      <c r="C284" s="776"/>
      <c r="D284" s="776"/>
      <c r="E284" s="777"/>
      <c r="F284" s="776"/>
      <c r="G284" s="777"/>
      <c r="H284" s="776"/>
      <c r="I284" s="777"/>
      <c r="J284" s="777"/>
      <c r="K284" s="786"/>
      <c r="L284" s="777"/>
      <c r="M284" s="785"/>
      <c r="N284" s="785"/>
      <c r="O284" s="785"/>
      <c r="P284" s="785"/>
      <c r="Q284" s="785"/>
      <c r="R284" s="785"/>
      <c r="S284" s="776"/>
      <c r="T284" s="776"/>
      <c r="U284" s="776"/>
      <c r="V284" s="776"/>
      <c r="W284" s="776"/>
      <c r="X284" s="776"/>
      <c r="Y284" s="785"/>
      <c r="Z284" s="776"/>
      <c r="AA284" s="776"/>
      <c r="AB284" s="776"/>
    </row>
    <row r="285" spans="1:28" ht="15.75" customHeight="1">
      <c r="A285" s="776"/>
      <c r="B285" s="776"/>
      <c r="C285" s="776"/>
      <c r="D285" s="776"/>
      <c r="E285" s="777"/>
      <c r="F285" s="776"/>
      <c r="G285" s="777"/>
      <c r="H285" s="776"/>
      <c r="I285" s="777"/>
      <c r="J285" s="777"/>
      <c r="K285" s="786"/>
      <c r="L285" s="777"/>
      <c r="M285" s="785"/>
      <c r="N285" s="785"/>
      <c r="O285" s="785"/>
      <c r="P285" s="785"/>
      <c r="Q285" s="785"/>
      <c r="R285" s="785"/>
      <c r="S285" s="776"/>
      <c r="T285" s="776"/>
      <c r="U285" s="776"/>
      <c r="V285" s="776"/>
      <c r="W285" s="776"/>
      <c r="X285" s="776"/>
      <c r="Y285" s="785"/>
      <c r="Z285" s="776"/>
      <c r="AA285" s="776"/>
      <c r="AB285" s="776"/>
    </row>
    <row r="286" spans="1:28" ht="15.75" customHeight="1">
      <c r="A286" s="776"/>
      <c r="B286" s="776"/>
      <c r="C286" s="776"/>
      <c r="D286" s="776"/>
      <c r="E286" s="777"/>
      <c r="F286" s="776"/>
      <c r="G286" s="777"/>
      <c r="H286" s="776"/>
      <c r="I286" s="777"/>
      <c r="J286" s="777"/>
      <c r="K286" s="786"/>
      <c r="L286" s="777"/>
      <c r="M286" s="785"/>
      <c r="N286" s="785"/>
      <c r="O286" s="785"/>
      <c r="P286" s="785"/>
      <c r="Q286" s="785"/>
      <c r="R286" s="785"/>
      <c r="S286" s="776"/>
      <c r="T286" s="776"/>
      <c r="U286" s="776"/>
      <c r="V286" s="776"/>
      <c r="W286" s="776"/>
      <c r="X286" s="776"/>
      <c r="Y286" s="785"/>
      <c r="Z286" s="776"/>
      <c r="AA286" s="776"/>
      <c r="AB286" s="776"/>
    </row>
    <row r="287" spans="1:28" ht="15.75" customHeight="1">
      <c r="A287" s="776"/>
      <c r="B287" s="776"/>
      <c r="C287" s="776"/>
      <c r="D287" s="776"/>
      <c r="E287" s="777"/>
      <c r="F287" s="776"/>
      <c r="G287" s="777"/>
      <c r="H287" s="776"/>
      <c r="I287" s="777"/>
      <c r="J287" s="777"/>
      <c r="K287" s="786"/>
      <c r="L287" s="777"/>
      <c r="M287" s="785"/>
      <c r="N287" s="785"/>
      <c r="O287" s="785"/>
      <c r="P287" s="785"/>
      <c r="Q287" s="785"/>
      <c r="R287" s="785"/>
      <c r="S287" s="776"/>
      <c r="T287" s="776"/>
      <c r="U287" s="776"/>
      <c r="V287" s="776"/>
      <c r="W287" s="776"/>
      <c r="X287" s="776"/>
      <c r="Y287" s="785"/>
      <c r="Z287" s="776"/>
      <c r="AA287" s="776"/>
      <c r="AB287" s="776"/>
    </row>
    <row r="288" spans="1:28" ht="15.75" customHeight="1">
      <c r="A288" s="776"/>
      <c r="B288" s="776"/>
      <c r="C288" s="776"/>
      <c r="D288" s="776"/>
      <c r="E288" s="777"/>
      <c r="F288" s="776"/>
      <c r="G288" s="777"/>
      <c r="H288" s="776"/>
      <c r="I288" s="777"/>
      <c r="J288" s="777"/>
      <c r="K288" s="786"/>
      <c r="L288" s="777"/>
      <c r="M288" s="785"/>
      <c r="N288" s="785"/>
      <c r="O288" s="785"/>
      <c r="P288" s="785"/>
      <c r="Q288" s="785"/>
      <c r="R288" s="785"/>
      <c r="S288" s="776"/>
      <c r="T288" s="776"/>
      <c r="U288" s="776"/>
      <c r="V288" s="776"/>
      <c r="W288" s="776"/>
      <c r="X288" s="776"/>
      <c r="Y288" s="785"/>
      <c r="Z288" s="776"/>
      <c r="AA288" s="776"/>
      <c r="AB288" s="776"/>
    </row>
    <row r="289" spans="1:28" ht="15.75" customHeight="1">
      <c r="A289" s="776"/>
      <c r="B289" s="776"/>
      <c r="C289" s="776"/>
      <c r="D289" s="776"/>
      <c r="E289" s="777"/>
      <c r="F289" s="776"/>
      <c r="G289" s="777"/>
      <c r="H289" s="776"/>
      <c r="I289" s="777"/>
      <c r="J289" s="777"/>
      <c r="K289" s="786"/>
      <c r="L289" s="777"/>
      <c r="M289" s="785"/>
      <c r="N289" s="785"/>
      <c r="O289" s="785"/>
      <c r="P289" s="785"/>
      <c r="Q289" s="785"/>
      <c r="R289" s="785"/>
      <c r="S289" s="776"/>
      <c r="T289" s="776"/>
      <c r="U289" s="776"/>
      <c r="V289" s="776"/>
      <c r="W289" s="776"/>
      <c r="X289" s="776"/>
      <c r="Y289" s="785"/>
      <c r="Z289" s="776"/>
      <c r="AA289" s="776"/>
      <c r="AB289" s="776"/>
    </row>
    <row r="290" spans="1:28" ht="15.75" customHeight="1">
      <c r="A290" s="776"/>
      <c r="B290" s="776"/>
      <c r="C290" s="776"/>
      <c r="D290" s="776"/>
      <c r="E290" s="777"/>
      <c r="F290" s="776"/>
      <c r="G290" s="777"/>
      <c r="H290" s="776"/>
      <c r="I290" s="777"/>
      <c r="J290" s="777"/>
      <c r="K290" s="786"/>
      <c r="L290" s="777"/>
      <c r="M290" s="785"/>
      <c r="N290" s="785"/>
      <c r="O290" s="785"/>
      <c r="P290" s="785"/>
      <c r="Q290" s="785"/>
      <c r="R290" s="785"/>
      <c r="S290" s="776"/>
      <c r="T290" s="776"/>
      <c r="U290" s="776"/>
      <c r="V290" s="776"/>
      <c r="W290" s="776"/>
      <c r="X290" s="776"/>
      <c r="Y290" s="785"/>
      <c r="Z290" s="776"/>
      <c r="AA290" s="776"/>
      <c r="AB290" s="776"/>
    </row>
    <row r="291" spans="1:28" ht="15.75" customHeight="1">
      <c r="A291" s="776"/>
      <c r="B291" s="776"/>
      <c r="C291" s="776"/>
      <c r="D291" s="776"/>
      <c r="E291" s="777"/>
      <c r="F291" s="776"/>
      <c r="G291" s="777"/>
      <c r="H291" s="776"/>
      <c r="I291" s="777"/>
      <c r="J291" s="777"/>
      <c r="K291" s="786"/>
      <c r="L291" s="777"/>
      <c r="M291" s="785"/>
      <c r="N291" s="785"/>
      <c r="O291" s="785"/>
      <c r="P291" s="785"/>
      <c r="Q291" s="785"/>
      <c r="R291" s="785"/>
      <c r="S291" s="776"/>
      <c r="T291" s="776"/>
      <c r="U291" s="776"/>
      <c r="V291" s="776"/>
      <c r="W291" s="776"/>
      <c r="X291" s="776"/>
      <c r="Y291" s="785"/>
      <c r="Z291" s="776"/>
      <c r="AA291" s="776"/>
      <c r="AB291" s="776"/>
    </row>
    <row r="292" spans="1:28" ht="15.75" customHeight="1">
      <c r="A292" s="776"/>
      <c r="B292" s="776"/>
      <c r="C292" s="776"/>
      <c r="D292" s="776"/>
      <c r="E292" s="777"/>
      <c r="F292" s="776"/>
      <c r="G292" s="777"/>
      <c r="H292" s="776"/>
      <c r="I292" s="777"/>
      <c r="J292" s="777"/>
      <c r="K292" s="786"/>
      <c r="L292" s="777"/>
      <c r="M292" s="785"/>
      <c r="N292" s="785"/>
      <c r="O292" s="785"/>
      <c r="P292" s="785"/>
      <c r="Q292" s="785"/>
      <c r="R292" s="785"/>
      <c r="S292" s="776"/>
      <c r="T292" s="776"/>
      <c r="U292" s="776"/>
      <c r="V292" s="776"/>
      <c r="W292" s="776"/>
      <c r="X292" s="776"/>
      <c r="Y292" s="785"/>
      <c r="Z292" s="776"/>
      <c r="AA292" s="776"/>
      <c r="AB292" s="776"/>
    </row>
    <row r="293" spans="1:28" ht="15.75" customHeight="1">
      <c r="A293" s="776"/>
      <c r="B293" s="776"/>
      <c r="C293" s="776"/>
      <c r="D293" s="776"/>
      <c r="E293" s="777"/>
      <c r="F293" s="776"/>
      <c r="G293" s="777"/>
      <c r="H293" s="776"/>
      <c r="I293" s="777"/>
      <c r="J293" s="777"/>
      <c r="K293" s="786"/>
      <c r="L293" s="777"/>
      <c r="M293" s="785"/>
      <c r="N293" s="785"/>
      <c r="O293" s="785"/>
      <c r="P293" s="785"/>
      <c r="Q293" s="785"/>
      <c r="R293" s="785"/>
      <c r="S293" s="776"/>
      <c r="T293" s="776"/>
      <c r="U293" s="776"/>
      <c r="V293" s="776"/>
      <c r="W293" s="776"/>
      <c r="X293" s="776"/>
      <c r="Y293" s="785"/>
      <c r="Z293" s="776"/>
      <c r="AA293" s="776"/>
      <c r="AB293" s="776"/>
    </row>
    <row r="294" spans="1:28" ht="15.75" customHeight="1">
      <c r="A294" s="776"/>
      <c r="B294" s="776"/>
      <c r="C294" s="776"/>
      <c r="D294" s="776"/>
      <c r="E294" s="777"/>
      <c r="F294" s="776"/>
      <c r="G294" s="777"/>
      <c r="H294" s="776"/>
      <c r="I294" s="777"/>
      <c r="J294" s="777"/>
      <c r="K294" s="786"/>
      <c r="L294" s="777"/>
      <c r="M294" s="785"/>
      <c r="N294" s="785"/>
      <c r="O294" s="785"/>
      <c r="P294" s="785"/>
      <c r="Q294" s="785"/>
      <c r="R294" s="785"/>
      <c r="S294" s="776"/>
      <c r="T294" s="776"/>
      <c r="U294" s="776"/>
      <c r="V294" s="776"/>
      <c r="W294" s="776"/>
      <c r="X294" s="776"/>
      <c r="Y294" s="785"/>
      <c r="Z294" s="776"/>
      <c r="AA294" s="776"/>
      <c r="AB294" s="776"/>
    </row>
    <row r="295" spans="1:28" ht="15.75" customHeight="1">
      <c r="A295" s="776"/>
      <c r="B295" s="776"/>
      <c r="C295" s="776"/>
      <c r="D295" s="776"/>
      <c r="E295" s="777"/>
      <c r="F295" s="776"/>
      <c r="G295" s="777"/>
      <c r="H295" s="776"/>
      <c r="I295" s="777"/>
      <c r="J295" s="777"/>
      <c r="K295" s="786"/>
      <c r="L295" s="777"/>
      <c r="M295" s="785"/>
      <c r="N295" s="785"/>
      <c r="O295" s="785"/>
      <c r="P295" s="785"/>
      <c r="Q295" s="785"/>
      <c r="R295" s="785"/>
      <c r="S295" s="776"/>
      <c r="T295" s="776"/>
      <c r="U295" s="776"/>
      <c r="V295" s="776"/>
      <c r="W295" s="776"/>
      <c r="X295" s="776"/>
      <c r="Y295" s="785"/>
      <c r="Z295" s="776"/>
      <c r="AA295" s="776"/>
      <c r="AB295" s="776"/>
    </row>
    <row r="296" spans="1:28" ht="15.75" customHeight="1">
      <c r="A296" s="776"/>
      <c r="B296" s="776"/>
      <c r="C296" s="776"/>
      <c r="D296" s="776"/>
      <c r="E296" s="777"/>
      <c r="F296" s="776"/>
      <c r="G296" s="777"/>
      <c r="H296" s="776"/>
      <c r="I296" s="777"/>
      <c r="J296" s="777"/>
      <c r="K296" s="786"/>
      <c r="L296" s="777"/>
      <c r="M296" s="785"/>
      <c r="N296" s="785"/>
      <c r="O296" s="785"/>
      <c r="P296" s="785"/>
      <c r="Q296" s="785"/>
      <c r="R296" s="785"/>
      <c r="S296" s="776"/>
      <c r="T296" s="776"/>
      <c r="U296" s="776"/>
      <c r="V296" s="776"/>
      <c r="W296" s="776"/>
      <c r="X296" s="776"/>
      <c r="Y296" s="785"/>
      <c r="Z296" s="776"/>
      <c r="AA296" s="776"/>
      <c r="AB296" s="776"/>
    </row>
    <row r="297" spans="1:28" ht="15.75" customHeight="1">
      <c r="A297" s="776"/>
      <c r="B297" s="776"/>
      <c r="C297" s="776"/>
      <c r="D297" s="776"/>
      <c r="E297" s="777"/>
      <c r="F297" s="776"/>
      <c r="G297" s="777"/>
      <c r="H297" s="776"/>
      <c r="I297" s="777"/>
      <c r="J297" s="777"/>
      <c r="K297" s="786"/>
      <c r="L297" s="777"/>
      <c r="M297" s="785"/>
      <c r="N297" s="785"/>
      <c r="O297" s="785"/>
      <c r="P297" s="785"/>
      <c r="Q297" s="785"/>
      <c r="R297" s="785"/>
      <c r="S297" s="776"/>
      <c r="T297" s="776"/>
      <c r="U297" s="776"/>
      <c r="V297" s="776"/>
      <c r="W297" s="776"/>
      <c r="X297" s="776"/>
      <c r="Y297" s="785"/>
      <c r="Z297" s="776"/>
      <c r="AA297" s="776"/>
      <c r="AB297" s="776"/>
    </row>
    <row r="298" spans="1:28" ht="15.75" customHeight="1">
      <c r="A298" s="776"/>
      <c r="B298" s="776"/>
      <c r="C298" s="776"/>
      <c r="D298" s="776"/>
      <c r="E298" s="777"/>
      <c r="F298" s="776"/>
      <c r="G298" s="777"/>
      <c r="H298" s="776"/>
      <c r="I298" s="777"/>
      <c r="J298" s="777"/>
      <c r="K298" s="786"/>
      <c r="L298" s="777"/>
      <c r="M298" s="785"/>
      <c r="N298" s="785"/>
      <c r="O298" s="785"/>
      <c r="P298" s="785"/>
      <c r="Q298" s="785"/>
      <c r="R298" s="785"/>
      <c r="S298" s="776"/>
      <c r="T298" s="776"/>
      <c r="U298" s="776"/>
      <c r="V298" s="776"/>
      <c r="W298" s="776"/>
      <c r="X298" s="776"/>
      <c r="Y298" s="785"/>
      <c r="Z298" s="776"/>
      <c r="AA298" s="776"/>
      <c r="AB298" s="776"/>
    </row>
    <row r="299" spans="1:28" ht="15.75" customHeight="1">
      <c r="A299" s="776"/>
      <c r="B299" s="776"/>
      <c r="C299" s="776"/>
      <c r="D299" s="776"/>
      <c r="E299" s="777"/>
      <c r="F299" s="776"/>
      <c r="G299" s="777"/>
      <c r="H299" s="776"/>
      <c r="I299" s="777"/>
      <c r="J299" s="777"/>
      <c r="K299" s="786"/>
      <c r="L299" s="777"/>
      <c r="M299" s="785"/>
      <c r="N299" s="785"/>
      <c r="O299" s="785"/>
      <c r="P299" s="785"/>
      <c r="Q299" s="785"/>
      <c r="R299" s="785"/>
      <c r="S299" s="776"/>
      <c r="T299" s="776"/>
      <c r="U299" s="776"/>
      <c r="V299" s="776"/>
      <c r="W299" s="776"/>
      <c r="X299" s="776"/>
      <c r="Y299" s="785"/>
      <c r="Z299" s="776"/>
      <c r="AA299" s="776"/>
      <c r="AB299" s="776"/>
    </row>
    <row r="300" spans="1:28" ht="15.75" customHeight="1">
      <c r="A300" s="776"/>
      <c r="B300" s="776"/>
      <c r="C300" s="776"/>
      <c r="D300" s="776"/>
      <c r="E300" s="777"/>
      <c r="F300" s="776"/>
      <c r="G300" s="777"/>
      <c r="H300" s="776"/>
      <c r="I300" s="777"/>
      <c r="J300" s="777"/>
      <c r="K300" s="786"/>
      <c r="L300" s="777"/>
      <c r="M300" s="785"/>
      <c r="N300" s="785"/>
      <c r="O300" s="785"/>
      <c r="P300" s="785"/>
      <c r="Q300" s="785"/>
      <c r="R300" s="785"/>
      <c r="S300" s="776"/>
      <c r="T300" s="776"/>
      <c r="U300" s="776"/>
      <c r="V300" s="776"/>
      <c r="W300" s="776"/>
      <c r="X300" s="776"/>
      <c r="Y300" s="785"/>
      <c r="Z300" s="776"/>
      <c r="AA300" s="776"/>
      <c r="AB300" s="776"/>
    </row>
    <row r="301" spans="1:28" ht="15.75" customHeight="1">
      <c r="A301" s="776"/>
      <c r="B301" s="776"/>
      <c r="C301" s="776"/>
      <c r="D301" s="776"/>
      <c r="E301" s="777"/>
      <c r="F301" s="776"/>
      <c r="G301" s="777"/>
      <c r="H301" s="776"/>
      <c r="I301" s="777"/>
      <c r="J301" s="777"/>
      <c r="K301" s="786"/>
      <c r="L301" s="777"/>
      <c r="M301" s="785"/>
      <c r="N301" s="785"/>
      <c r="O301" s="785"/>
      <c r="P301" s="785"/>
      <c r="Q301" s="785"/>
      <c r="R301" s="785"/>
      <c r="S301" s="776"/>
      <c r="T301" s="776"/>
      <c r="U301" s="776"/>
      <c r="V301" s="776"/>
      <c r="W301" s="776"/>
      <c r="X301" s="776"/>
      <c r="Y301" s="785"/>
      <c r="Z301" s="776"/>
      <c r="AA301" s="776"/>
      <c r="AB301" s="776"/>
    </row>
    <row r="302" spans="1:28" ht="15.75" customHeight="1">
      <c r="A302" s="776"/>
      <c r="B302" s="776"/>
      <c r="C302" s="776"/>
      <c r="D302" s="776"/>
      <c r="E302" s="777"/>
      <c r="F302" s="776"/>
      <c r="G302" s="777"/>
      <c r="H302" s="776"/>
      <c r="I302" s="777"/>
      <c r="J302" s="777"/>
      <c r="K302" s="786"/>
      <c r="L302" s="777"/>
      <c r="M302" s="785"/>
      <c r="N302" s="785"/>
      <c r="O302" s="785"/>
      <c r="P302" s="785"/>
      <c r="Q302" s="785"/>
      <c r="R302" s="785"/>
      <c r="S302" s="776"/>
      <c r="T302" s="776"/>
      <c r="U302" s="776"/>
      <c r="V302" s="776"/>
      <c r="W302" s="776"/>
      <c r="X302" s="776"/>
      <c r="Y302" s="785"/>
      <c r="Z302" s="776"/>
      <c r="AA302" s="776"/>
      <c r="AB302" s="776"/>
    </row>
    <row r="303" spans="1:28" ht="15.75" customHeight="1">
      <c r="A303" s="776"/>
      <c r="B303" s="776"/>
      <c r="C303" s="776"/>
      <c r="D303" s="776"/>
      <c r="E303" s="777"/>
      <c r="F303" s="776"/>
      <c r="G303" s="777"/>
      <c r="H303" s="776"/>
      <c r="I303" s="777"/>
      <c r="J303" s="777"/>
      <c r="K303" s="786"/>
      <c r="L303" s="777"/>
      <c r="M303" s="785"/>
      <c r="N303" s="785"/>
      <c r="O303" s="785"/>
      <c r="P303" s="785"/>
      <c r="Q303" s="785"/>
      <c r="R303" s="785"/>
      <c r="S303" s="776"/>
      <c r="T303" s="776"/>
      <c r="U303" s="776"/>
      <c r="V303" s="776"/>
      <c r="W303" s="776"/>
      <c r="X303" s="776"/>
      <c r="Y303" s="785"/>
      <c r="Z303" s="776"/>
      <c r="AA303" s="776"/>
      <c r="AB303" s="776"/>
    </row>
    <row r="304" spans="1:28" ht="15.75" customHeight="1">
      <c r="A304" s="776"/>
      <c r="B304" s="776"/>
      <c r="C304" s="776"/>
      <c r="D304" s="776"/>
      <c r="E304" s="777"/>
      <c r="F304" s="776"/>
      <c r="G304" s="777"/>
      <c r="H304" s="776"/>
      <c r="I304" s="777"/>
      <c r="J304" s="777"/>
      <c r="K304" s="786"/>
      <c r="L304" s="777"/>
      <c r="M304" s="785"/>
      <c r="N304" s="785"/>
      <c r="O304" s="785"/>
      <c r="P304" s="785"/>
      <c r="Q304" s="785"/>
      <c r="R304" s="785"/>
      <c r="S304" s="776"/>
      <c r="T304" s="776"/>
      <c r="U304" s="776"/>
      <c r="V304" s="776"/>
      <c r="W304" s="776"/>
      <c r="X304" s="776"/>
      <c r="Y304" s="785"/>
      <c r="Z304" s="776"/>
      <c r="AA304" s="776"/>
      <c r="AB304" s="776"/>
    </row>
    <row r="305" spans="1:28" ht="15.75" customHeight="1">
      <c r="A305" s="776"/>
      <c r="B305" s="776"/>
      <c r="C305" s="776"/>
      <c r="D305" s="776"/>
      <c r="E305" s="777"/>
      <c r="F305" s="776"/>
      <c r="G305" s="777"/>
      <c r="H305" s="776"/>
      <c r="I305" s="777"/>
      <c r="J305" s="777"/>
      <c r="K305" s="786"/>
      <c r="L305" s="777"/>
      <c r="M305" s="785"/>
      <c r="N305" s="785"/>
      <c r="O305" s="785"/>
      <c r="P305" s="785"/>
      <c r="Q305" s="785"/>
      <c r="R305" s="785"/>
      <c r="S305" s="776"/>
      <c r="T305" s="776"/>
      <c r="U305" s="776"/>
      <c r="V305" s="776"/>
      <c r="W305" s="776"/>
      <c r="X305" s="776"/>
      <c r="Y305" s="785"/>
      <c r="Z305" s="776"/>
      <c r="AA305" s="776"/>
      <c r="AB305" s="776"/>
    </row>
    <row r="306" spans="1:28" ht="15.75" customHeight="1">
      <c r="A306" s="776"/>
      <c r="B306" s="776"/>
      <c r="C306" s="776"/>
      <c r="D306" s="776"/>
      <c r="E306" s="777"/>
      <c r="F306" s="776"/>
      <c r="G306" s="777"/>
      <c r="H306" s="776"/>
      <c r="I306" s="777"/>
      <c r="J306" s="777"/>
      <c r="K306" s="786"/>
      <c r="L306" s="777"/>
      <c r="M306" s="785"/>
      <c r="N306" s="785"/>
      <c r="O306" s="785"/>
      <c r="P306" s="785"/>
      <c r="Q306" s="785"/>
      <c r="R306" s="785"/>
      <c r="S306" s="776"/>
      <c r="T306" s="776"/>
      <c r="U306" s="776"/>
      <c r="V306" s="776"/>
      <c r="W306" s="776"/>
      <c r="X306" s="776"/>
      <c r="Y306" s="785"/>
      <c r="Z306" s="776"/>
      <c r="AA306" s="776"/>
      <c r="AB306" s="776"/>
    </row>
    <row r="307" spans="1:28" ht="15.75" customHeight="1">
      <c r="A307" s="776"/>
      <c r="B307" s="776"/>
      <c r="C307" s="776"/>
      <c r="D307" s="776"/>
      <c r="E307" s="777"/>
      <c r="F307" s="776"/>
      <c r="G307" s="777"/>
      <c r="H307" s="776"/>
      <c r="I307" s="777"/>
      <c r="J307" s="777"/>
      <c r="K307" s="786"/>
      <c r="L307" s="777"/>
      <c r="M307" s="785"/>
      <c r="N307" s="785"/>
      <c r="O307" s="785"/>
      <c r="P307" s="785"/>
      <c r="Q307" s="785"/>
      <c r="R307" s="785"/>
      <c r="S307" s="776"/>
      <c r="T307" s="776"/>
      <c r="U307" s="776"/>
      <c r="V307" s="776"/>
      <c r="W307" s="776"/>
      <c r="X307" s="776"/>
      <c r="Y307" s="785"/>
      <c r="Z307" s="776"/>
      <c r="AA307" s="776"/>
      <c r="AB307" s="776"/>
    </row>
    <row r="308" spans="1:28" ht="15.75" customHeight="1">
      <c r="A308" s="776"/>
      <c r="B308" s="776"/>
      <c r="C308" s="776"/>
      <c r="D308" s="776"/>
      <c r="E308" s="777"/>
      <c r="F308" s="776"/>
      <c r="G308" s="777"/>
      <c r="H308" s="776"/>
      <c r="I308" s="777"/>
      <c r="J308" s="777"/>
      <c r="K308" s="786"/>
      <c r="L308" s="777"/>
      <c r="M308" s="785"/>
      <c r="N308" s="785"/>
      <c r="O308" s="785"/>
      <c r="P308" s="785"/>
      <c r="Q308" s="785"/>
      <c r="R308" s="785"/>
      <c r="S308" s="776"/>
      <c r="T308" s="776"/>
      <c r="U308" s="776"/>
      <c r="V308" s="776"/>
      <c r="W308" s="776"/>
      <c r="X308" s="776"/>
      <c r="Y308" s="785"/>
      <c r="Z308" s="776"/>
      <c r="AA308" s="776"/>
      <c r="AB308" s="776"/>
    </row>
    <row r="309" spans="1:28" ht="15.75" customHeight="1">
      <c r="A309" s="776"/>
      <c r="B309" s="776"/>
      <c r="C309" s="776"/>
      <c r="D309" s="776"/>
      <c r="E309" s="777"/>
      <c r="F309" s="776"/>
      <c r="G309" s="777"/>
      <c r="H309" s="776"/>
      <c r="I309" s="777"/>
      <c r="J309" s="777"/>
      <c r="K309" s="786"/>
      <c r="L309" s="777"/>
      <c r="M309" s="785"/>
      <c r="N309" s="785"/>
      <c r="O309" s="785"/>
      <c r="P309" s="785"/>
      <c r="Q309" s="785"/>
      <c r="R309" s="785"/>
      <c r="S309" s="776"/>
      <c r="T309" s="776"/>
      <c r="U309" s="776"/>
      <c r="V309" s="776"/>
      <c r="W309" s="776"/>
      <c r="X309" s="776"/>
      <c r="Y309" s="785"/>
      <c r="Z309" s="776"/>
      <c r="AA309" s="776"/>
      <c r="AB309" s="776"/>
    </row>
    <row r="310" spans="1:28" ht="15.75" customHeight="1">
      <c r="A310" s="776"/>
      <c r="B310" s="776"/>
      <c r="C310" s="776"/>
      <c r="D310" s="776"/>
      <c r="E310" s="777"/>
      <c r="F310" s="776"/>
      <c r="G310" s="777"/>
      <c r="H310" s="776"/>
      <c r="I310" s="777"/>
      <c r="J310" s="777"/>
      <c r="K310" s="786"/>
      <c r="L310" s="777"/>
      <c r="M310" s="785"/>
      <c r="N310" s="785"/>
      <c r="O310" s="785"/>
      <c r="P310" s="785"/>
      <c r="Q310" s="785"/>
      <c r="R310" s="785"/>
      <c r="S310" s="776"/>
      <c r="T310" s="776"/>
      <c r="U310" s="776"/>
      <c r="V310" s="776"/>
      <c r="W310" s="776"/>
      <c r="X310" s="776"/>
      <c r="Y310" s="785"/>
      <c r="Z310" s="776"/>
      <c r="AA310" s="776"/>
      <c r="AB310" s="776"/>
    </row>
    <row r="311" spans="1:28" ht="15.75" customHeight="1">
      <c r="A311" s="776"/>
      <c r="B311" s="776"/>
      <c r="C311" s="776"/>
      <c r="D311" s="776"/>
      <c r="E311" s="777"/>
      <c r="F311" s="776"/>
      <c r="G311" s="777"/>
      <c r="H311" s="776"/>
      <c r="I311" s="777"/>
      <c r="J311" s="777"/>
      <c r="K311" s="786"/>
      <c r="L311" s="777"/>
      <c r="M311" s="785"/>
      <c r="N311" s="785"/>
      <c r="O311" s="785"/>
      <c r="P311" s="785"/>
      <c r="Q311" s="785"/>
      <c r="R311" s="785"/>
      <c r="S311" s="776"/>
      <c r="T311" s="776"/>
      <c r="U311" s="776"/>
      <c r="V311" s="776"/>
      <c r="W311" s="776"/>
      <c r="X311" s="776"/>
      <c r="Y311" s="785"/>
      <c r="Z311" s="776"/>
      <c r="AA311" s="776"/>
      <c r="AB311" s="776"/>
    </row>
    <row r="312" spans="1:28" ht="15.75" customHeight="1">
      <c r="A312" s="776"/>
      <c r="B312" s="776"/>
      <c r="C312" s="776"/>
      <c r="D312" s="776"/>
      <c r="E312" s="777"/>
      <c r="F312" s="776"/>
      <c r="G312" s="777"/>
      <c r="H312" s="776"/>
      <c r="I312" s="777"/>
      <c r="J312" s="777"/>
      <c r="K312" s="786"/>
      <c r="L312" s="777"/>
      <c r="M312" s="785"/>
      <c r="N312" s="785"/>
      <c r="O312" s="785"/>
      <c r="P312" s="785"/>
      <c r="Q312" s="785"/>
      <c r="R312" s="785"/>
      <c r="S312" s="776"/>
      <c r="T312" s="776"/>
      <c r="U312" s="776"/>
      <c r="V312" s="776"/>
      <c r="W312" s="776"/>
      <c r="X312" s="776"/>
      <c r="Y312" s="785"/>
      <c r="Z312" s="776"/>
      <c r="AA312" s="776"/>
      <c r="AB312" s="776"/>
    </row>
    <row r="313" spans="1:28" ht="15.75" customHeight="1">
      <c r="A313" s="776"/>
      <c r="B313" s="776"/>
      <c r="C313" s="776"/>
      <c r="D313" s="776"/>
      <c r="E313" s="777"/>
      <c r="F313" s="776"/>
      <c r="G313" s="777"/>
      <c r="H313" s="776"/>
      <c r="I313" s="777"/>
      <c r="J313" s="777"/>
      <c r="K313" s="786"/>
      <c r="L313" s="777"/>
      <c r="M313" s="785"/>
      <c r="N313" s="785"/>
      <c r="O313" s="785"/>
      <c r="P313" s="785"/>
      <c r="Q313" s="785"/>
      <c r="R313" s="785"/>
      <c r="S313" s="776"/>
      <c r="T313" s="776"/>
      <c r="U313" s="776"/>
      <c r="V313" s="776"/>
      <c r="W313" s="776"/>
      <c r="X313" s="776"/>
      <c r="Y313" s="785"/>
      <c r="Z313" s="776"/>
      <c r="AA313" s="776"/>
      <c r="AB313" s="776"/>
    </row>
    <row r="314" spans="1:28" ht="15.75" customHeight="1">
      <c r="A314" s="776"/>
      <c r="B314" s="776"/>
      <c r="C314" s="776"/>
      <c r="D314" s="776"/>
      <c r="E314" s="777"/>
      <c r="F314" s="776"/>
      <c r="G314" s="777"/>
      <c r="H314" s="776"/>
      <c r="I314" s="777"/>
      <c r="J314" s="777"/>
      <c r="K314" s="786"/>
      <c r="L314" s="777"/>
      <c r="M314" s="785"/>
      <c r="N314" s="785"/>
      <c r="O314" s="785"/>
      <c r="P314" s="785"/>
      <c r="Q314" s="785"/>
      <c r="R314" s="785"/>
      <c r="S314" s="776"/>
      <c r="T314" s="776"/>
      <c r="U314" s="776"/>
      <c r="V314" s="776"/>
      <c r="W314" s="776"/>
      <c r="X314" s="776"/>
      <c r="Y314" s="785"/>
      <c r="Z314" s="776"/>
      <c r="AA314" s="776"/>
      <c r="AB314" s="776"/>
    </row>
    <row r="315" spans="1:28" ht="15.75" customHeight="1">
      <c r="A315" s="776"/>
      <c r="B315" s="776"/>
      <c r="C315" s="776"/>
      <c r="D315" s="776"/>
      <c r="E315" s="777"/>
      <c r="F315" s="776"/>
      <c r="G315" s="777"/>
      <c r="H315" s="776"/>
      <c r="I315" s="777"/>
      <c r="J315" s="777"/>
      <c r="K315" s="786"/>
      <c r="L315" s="777"/>
      <c r="M315" s="785"/>
      <c r="N315" s="785"/>
      <c r="O315" s="785"/>
      <c r="P315" s="785"/>
      <c r="Q315" s="785"/>
      <c r="R315" s="785"/>
      <c r="S315" s="776"/>
      <c r="T315" s="776"/>
      <c r="U315" s="776"/>
      <c r="V315" s="776"/>
      <c r="W315" s="776"/>
      <c r="X315" s="776"/>
      <c r="Y315" s="785"/>
      <c r="Z315" s="776"/>
      <c r="AA315" s="776"/>
      <c r="AB315" s="776"/>
    </row>
    <row r="316" spans="1:28" ht="15.75" customHeight="1">
      <c r="A316" s="776"/>
      <c r="B316" s="776"/>
      <c r="C316" s="776"/>
      <c r="D316" s="776"/>
      <c r="E316" s="777"/>
      <c r="F316" s="776"/>
      <c r="G316" s="777"/>
      <c r="H316" s="776"/>
      <c r="I316" s="777"/>
      <c r="J316" s="777"/>
      <c r="K316" s="786"/>
      <c r="L316" s="777"/>
      <c r="M316" s="785"/>
      <c r="N316" s="785"/>
      <c r="O316" s="785"/>
      <c r="P316" s="785"/>
      <c r="Q316" s="785"/>
      <c r="R316" s="785"/>
      <c r="S316" s="776"/>
      <c r="T316" s="776"/>
      <c r="U316" s="776"/>
      <c r="V316" s="776"/>
      <c r="W316" s="776"/>
      <c r="X316" s="776"/>
      <c r="Y316" s="785"/>
      <c r="Z316" s="776"/>
      <c r="AA316" s="776"/>
      <c r="AB316" s="776"/>
    </row>
    <row r="317" spans="1:28" ht="15.75" customHeight="1">
      <c r="A317" s="776"/>
      <c r="B317" s="776"/>
      <c r="C317" s="776"/>
      <c r="D317" s="776"/>
      <c r="E317" s="777"/>
      <c r="F317" s="776"/>
      <c r="G317" s="777"/>
      <c r="H317" s="776"/>
      <c r="I317" s="777"/>
      <c r="J317" s="777"/>
      <c r="K317" s="786"/>
      <c r="L317" s="777"/>
      <c r="M317" s="785"/>
      <c r="N317" s="785"/>
      <c r="O317" s="785"/>
      <c r="P317" s="785"/>
      <c r="Q317" s="785"/>
      <c r="R317" s="785"/>
      <c r="S317" s="776"/>
      <c r="T317" s="776"/>
      <c r="U317" s="776"/>
      <c r="V317" s="776"/>
      <c r="W317" s="776"/>
      <c r="X317" s="776"/>
      <c r="Y317" s="785"/>
      <c r="Z317" s="776"/>
      <c r="AA317" s="776"/>
      <c r="AB317" s="776"/>
    </row>
    <row r="318" spans="1:28" ht="15.75" customHeight="1">
      <c r="A318" s="776"/>
      <c r="B318" s="776"/>
      <c r="C318" s="776"/>
      <c r="D318" s="776"/>
      <c r="E318" s="777"/>
      <c r="F318" s="776"/>
      <c r="G318" s="777"/>
      <c r="H318" s="776"/>
      <c r="I318" s="777"/>
      <c r="J318" s="777"/>
      <c r="K318" s="786"/>
      <c r="L318" s="777"/>
      <c r="M318" s="785"/>
      <c r="N318" s="785"/>
      <c r="O318" s="785"/>
      <c r="P318" s="785"/>
      <c r="Q318" s="785"/>
      <c r="R318" s="785"/>
      <c r="S318" s="776"/>
      <c r="T318" s="776"/>
      <c r="U318" s="776"/>
      <c r="V318" s="776"/>
      <c r="W318" s="776"/>
      <c r="X318" s="776"/>
      <c r="Y318" s="785"/>
      <c r="Z318" s="776"/>
      <c r="AA318" s="776"/>
      <c r="AB318" s="776"/>
    </row>
    <row r="319" spans="1:28" ht="15.75" customHeight="1">
      <c r="A319" s="776"/>
      <c r="B319" s="776"/>
      <c r="C319" s="776"/>
      <c r="D319" s="776"/>
      <c r="E319" s="777"/>
      <c r="F319" s="776"/>
      <c r="G319" s="777"/>
      <c r="H319" s="776"/>
      <c r="I319" s="777"/>
      <c r="J319" s="777"/>
      <c r="K319" s="786"/>
      <c r="L319" s="777"/>
      <c r="M319" s="785"/>
      <c r="N319" s="785"/>
      <c r="O319" s="785"/>
      <c r="P319" s="785"/>
      <c r="Q319" s="785"/>
      <c r="R319" s="785"/>
      <c r="S319" s="776"/>
      <c r="T319" s="776"/>
      <c r="U319" s="776"/>
      <c r="V319" s="776"/>
      <c r="W319" s="776"/>
      <c r="X319" s="776"/>
      <c r="Y319" s="785"/>
      <c r="Z319" s="776"/>
      <c r="AA319" s="776"/>
      <c r="AB319" s="776"/>
    </row>
    <row r="320" spans="1:28" ht="15.75" customHeight="1">
      <c r="A320" s="776"/>
      <c r="B320" s="776"/>
      <c r="C320" s="776"/>
      <c r="D320" s="776"/>
      <c r="E320" s="777"/>
      <c r="F320" s="776"/>
      <c r="G320" s="777"/>
      <c r="H320" s="776"/>
      <c r="I320" s="777"/>
      <c r="J320" s="777"/>
      <c r="K320" s="786"/>
      <c r="L320" s="777"/>
      <c r="M320" s="785"/>
      <c r="N320" s="785"/>
      <c r="O320" s="785"/>
      <c r="P320" s="785"/>
      <c r="Q320" s="785"/>
      <c r="R320" s="785"/>
      <c r="S320" s="776"/>
      <c r="T320" s="776"/>
      <c r="U320" s="776"/>
      <c r="V320" s="776"/>
      <c r="W320" s="776"/>
      <c r="X320" s="776"/>
      <c r="Y320" s="785"/>
      <c r="Z320" s="776"/>
      <c r="AA320" s="776"/>
      <c r="AB320" s="776"/>
    </row>
    <row r="321" spans="1:28" ht="15.75" customHeight="1">
      <c r="A321" s="776"/>
      <c r="B321" s="776"/>
      <c r="C321" s="776"/>
      <c r="D321" s="776"/>
      <c r="E321" s="777"/>
      <c r="F321" s="776"/>
      <c r="G321" s="777"/>
      <c r="H321" s="776"/>
      <c r="I321" s="777"/>
      <c r="J321" s="777"/>
      <c r="K321" s="786"/>
      <c r="L321" s="777"/>
      <c r="M321" s="785"/>
      <c r="N321" s="785"/>
      <c r="O321" s="785"/>
      <c r="P321" s="785"/>
      <c r="Q321" s="785"/>
      <c r="R321" s="785"/>
      <c r="S321" s="776"/>
      <c r="T321" s="776"/>
      <c r="U321" s="776"/>
      <c r="V321" s="776"/>
      <c r="W321" s="776"/>
      <c r="X321" s="776"/>
      <c r="Y321" s="785"/>
      <c r="Z321" s="776"/>
      <c r="AA321" s="776"/>
      <c r="AB321" s="776"/>
    </row>
    <row r="322" spans="1:28" ht="15.75" customHeight="1">
      <c r="A322" s="776"/>
      <c r="B322" s="776"/>
      <c r="C322" s="776"/>
      <c r="D322" s="776"/>
      <c r="E322" s="777"/>
      <c r="F322" s="776"/>
      <c r="G322" s="777"/>
      <c r="H322" s="776"/>
      <c r="I322" s="777"/>
      <c r="J322" s="777"/>
      <c r="K322" s="786"/>
      <c r="L322" s="777"/>
      <c r="M322" s="785"/>
      <c r="N322" s="785"/>
      <c r="O322" s="785"/>
      <c r="P322" s="785"/>
      <c r="Q322" s="785"/>
      <c r="R322" s="785"/>
      <c r="S322" s="776"/>
      <c r="T322" s="776"/>
      <c r="U322" s="776"/>
      <c r="V322" s="776"/>
      <c r="W322" s="776"/>
      <c r="X322" s="776"/>
      <c r="Y322" s="785"/>
      <c r="Z322" s="776"/>
      <c r="AA322" s="776"/>
      <c r="AB322" s="776"/>
    </row>
    <row r="323" spans="1:28" ht="15.75" customHeight="1">
      <c r="A323" s="776"/>
      <c r="B323" s="776"/>
      <c r="C323" s="776"/>
      <c r="D323" s="776"/>
      <c r="E323" s="777"/>
      <c r="F323" s="776"/>
      <c r="G323" s="777"/>
      <c r="H323" s="776"/>
      <c r="I323" s="777"/>
      <c r="J323" s="777"/>
      <c r="K323" s="786"/>
      <c r="L323" s="777"/>
      <c r="M323" s="785"/>
      <c r="N323" s="785"/>
      <c r="O323" s="785"/>
      <c r="P323" s="785"/>
      <c r="Q323" s="785"/>
      <c r="R323" s="785"/>
      <c r="S323" s="776"/>
      <c r="T323" s="776"/>
      <c r="U323" s="776"/>
      <c r="V323" s="776"/>
      <c r="W323" s="776"/>
      <c r="X323" s="776"/>
      <c r="Y323" s="785"/>
      <c r="Z323" s="776"/>
      <c r="AA323" s="776"/>
      <c r="AB323" s="776"/>
    </row>
    <row r="324" spans="1:28" ht="15.75" customHeight="1">
      <c r="A324" s="776"/>
      <c r="B324" s="776"/>
      <c r="C324" s="776"/>
      <c r="D324" s="776"/>
      <c r="E324" s="777"/>
      <c r="F324" s="776"/>
      <c r="G324" s="777"/>
      <c r="H324" s="776"/>
      <c r="I324" s="777"/>
      <c r="J324" s="777"/>
      <c r="K324" s="786"/>
      <c r="L324" s="777"/>
      <c r="M324" s="785"/>
      <c r="N324" s="785"/>
      <c r="O324" s="785"/>
      <c r="P324" s="785"/>
      <c r="Q324" s="785"/>
      <c r="R324" s="785"/>
      <c r="S324" s="776"/>
      <c r="T324" s="776"/>
      <c r="U324" s="776"/>
      <c r="V324" s="776"/>
      <c r="W324" s="776"/>
      <c r="X324" s="776"/>
      <c r="Y324" s="785"/>
      <c r="Z324" s="776"/>
      <c r="AA324" s="776"/>
      <c r="AB324" s="776"/>
    </row>
    <row r="325" spans="1:28" ht="15.75" customHeight="1">
      <c r="A325" s="776"/>
      <c r="B325" s="776"/>
      <c r="C325" s="776"/>
      <c r="D325" s="776"/>
      <c r="E325" s="777"/>
      <c r="F325" s="776"/>
      <c r="G325" s="777"/>
      <c r="H325" s="776"/>
      <c r="I325" s="777"/>
      <c r="J325" s="777"/>
      <c r="K325" s="786"/>
      <c r="L325" s="777"/>
      <c r="M325" s="785"/>
      <c r="N325" s="785"/>
      <c r="O325" s="785"/>
      <c r="P325" s="785"/>
      <c r="Q325" s="785"/>
      <c r="R325" s="785"/>
      <c r="S325" s="776"/>
      <c r="T325" s="776"/>
      <c r="U325" s="776"/>
      <c r="V325" s="776"/>
      <c r="W325" s="776"/>
      <c r="X325" s="776"/>
      <c r="Y325" s="785"/>
      <c r="Z325" s="776"/>
      <c r="AA325" s="776"/>
      <c r="AB325" s="776"/>
    </row>
    <row r="326" spans="1:28" ht="15.75" customHeight="1">
      <c r="A326" s="776"/>
      <c r="B326" s="776"/>
      <c r="C326" s="776"/>
      <c r="D326" s="776"/>
      <c r="E326" s="777"/>
      <c r="F326" s="776"/>
      <c r="G326" s="777"/>
      <c r="H326" s="776"/>
      <c r="I326" s="777"/>
      <c r="J326" s="777"/>
      <c r="K326" s="786"/>
      <c r="L326" s="777"/>
      <c r="M326" s="785"/>
      <c r="N326" s="785"/>
      <c r="O326" s="785"/>
      <c r="P326" s="785"/>
      <c r="Q326" s="785"/>
      <c r="R326" s="785"/>
      <c r="S326" s="776"/>
      <c r="T326" s="776"/>
      <c r="U326" s="776"/>
      <c r="V326" s="776"/>
      <c r="W326" s="776"/>
      <c r="X326" s="776"/>
      <c r="Y326" s="785"/>
      <c r="Z326" s="776"/>
      <c r="AA326" s="776"/>
      <c r="AB326" s="776"/>
    </row>
    <row r="327" spans="1:28" ht="15.75" customHeight="1">
      <c r="A327" s="776"/>
      <c r="B327" s="776"/>
      <c r="C327" s="776"/>
      <c r="D327" s="776"/>
      <c r="E327" s="777"/>
      <c r="F327" s="776"/>
      <c r="G327" s="777"/>
      <c r="H327" s="776"/>
      <c r="I327" s="777"/>
      <c r="J327" s="777"/>
      <c r="K327" s="786"/>
      <c r="L327" s="777"/>
      <c r="M327" s="785"/>
      <c r="N327" s="785"/>
      <c r="O327" s="785"/>
      <c r="P327" s="785"/>
      <c r="Q327" s="785"/>
      <c r="R327" s="785"/>
      <c r="S327" s="776"/>
      <c r="T327" s="776"/>
      <c r="U327" s="776"/>
      <c r="V327" s="776"/>
      <c r="W327" s="776"/>
      <c r="X327" s="776"/>
      <c r="Y327" s="785"/>
      <c r="Z327" s="776"/>
      <c r="AA327" s="776"/>
      <c r="AB327" s="776"/>
    </row>
    <row r="328" spans="1:28" ht="15.75" customHeight="1">
      <c r="A328" s="776"/>
      <c r="B328" s="776"/>
      <c r="C328" s="776"/>
      <c r="D328" s="776"/>
      <c r="E328" s="777"/>
      <c r="F328" s="776"/>
      <c r="G328" s="777"/>
      <c r="H328" s="776"/>
      <c r="I328" s="777"/>
      <c r="J328" s="777"/>
      <c r="K328" s="786"/>
      <c r="L328" s="777"/>
      <c r="M328" s="785"/>
      <c r="N328" s="785"/>
      <c r="O328" s="785"/>
      <c r="P328" s="785"/>
      <c r="Q328" s="785"/>
      <c r="R328" s="785"/>
      <c r="S328" s="776"/>
      <c r="T328" s="776"/>
      <c r="U328" s="776"/>
      <c r="V328" s="776"/>
      <c r="W328" s="776"/>
      <c r="X328" s="776"/>
      <c r="Y328" s="785"/>
      <c r="Z328" s="776"/>
      <c r="AA328" s="776"/>
      <c r="AB328" s="776"/>
    </row>
    <row r="329" spans="1:28" ht="15.75" customHeight="1">
      <c r="A329" s="776"/>
      <c r="B329" s="776"/>
      <c r="C329" s="776"/>
      <c r="D329" s="776"/>
      <c r="E329" s="777"/>
      <c r="F329" s="776"/>
      <c r="G329" s="777"/>
      <c r="H329" s="776"/>
      <c r="I329" s="777"/>
      <c r="J329" s="777"/>
      <c r="K329" s="786"/>
      <c r="L329" s="777"/>
      <c r="M329" s="785"/>
      <c r="N329" s="785"/>
      <c r="O329" s="785"/>
      <c r="P329" s="785"/>
      <c r="Q329" s="785"/>
      <c r="R329" s="785"/>
      <c r="S329" s="776"/>
      <c r="T329" s="776"/>
      <c r="U329" s="776"/>
      <c r="V329" s="776"/>
      <c r="W329" s="776"/>
      <c r="X329" s="776"/>
      <c r="Y329" s="785"/>
      <c r="Z329" s="776"/>
      <c r="AA329" s="776"/>
      <c r="AB329" s="776"/>
    </row>
    <row r="330" spans="1:28" ht="15.75" customHeight="1">
      <c r="A330" s="776"/>
      <c r="B330" s="776"/>
      <c r="C330" s="776"/>
      <c r="D330" s="776"/>
      <c r="E330" s="777"/>
      <c r="F330" s="776"/>
      <c r="G330" s="777"/>
      <c r="H330" s="776"/>
      <c r="I330" s="777"/>
      <c r="J330" s="777"/>
      <c r="K330" s="786"/>
      <c r="L330" s="777"/>
      <c r="M330" s="785"/>
      <c r="N330" s="785"/>
      <c r="O330" s="785"/>
      <c r="P330" s="785"/>
      <c r="Q330" s="785"/>
      <c r="R330" s="785"/>
      <c r="S330" s="776"/>
      <c r="T330" s="776"/>
      <c r="U330" s="776"/>
      <c r="V330" s="776"/>
      <c r="W330" s="776"/>
      <c r="X330" s="776"/>
      <c r="Y330" s="785"/>
      <c r="Z330" s="776"/>
      <c r="AA330" s="776"/>
      <c r="AB330" s="776"/>
    </row>
    <row r="331" spans="1:28" ht="15.75" customHeight="1">
      <c r="A331" s="776"/>
      <c r="B331" s="776"/>
      <c r="C331" s="776"/>
      <c r="D331" s="776"/>
      <c r="E331" s="777"/>
      <c r="F331" s="776"/>
      <c r="G331" s="777"/>
      <c r="H331" s="776"/>
      <c r="I331" s="777"/>
      <c r="J331" s="777"/>
      <c r="K331" s="786"/>
      <c r="L331" s="777"/>
      <c r="M331" s="785"/>
      <c r="N331" s="785"/>
      <c r="O331" s="785"/>
      <c r="P331" s="785"/>
      <c r="Q331" s="785"/>
      <c r="R331" s="785"/>
      <c r="S331" s="776"/>
      <c r="T331" s="776"/>
      <c r="U331" s="776"/>
      <c r="V331" s="776"/>
      <c r="W331" s="776"/>
      <c r="X331" s="776"/>
      <c r="Y331" s="785"/>
      <c r="Z331" s="776"/>
      <c r="AA331" s="776"/>
      <c r="AB331" s="776"/>
    </row>
    <row r="332" spans="1:28" ht="15.75" customHeight="1">
      <c r="A332" s="776"/>
      <c r="B332" s="776"/>
      <c r="C332" s="776"/>
      <c r="D332" s="776"/>
      <c r="E332" s="777"/>
      <c r="F332" s="776"/>
      <c r="G332" s="777"/>
      <c r="H332" s="776"/>
      <c r="I332" s="777"/>
      <c r="J332" s="777"/>
      <c r="K332" s="786"/>
      <c r="L332" s="777"/>
      <c r="M332" s="785"/>
      <c r="N332" s="785"/>
      <c r="O332" s="785"/>
      <c r="P332" s="785"/>
      <c r="Q332" s="785"/>
      <c r="R332" s="785"/>
      <c r="S332" s="776"/>
      <c r="T332" s="776"/>
      <c r="U332" s="776"/>
      <c r="V332" s="776"/>
      <c r="W332" s="776"/>
      <c r="X332" s="776"/>
      <c r="Y332" s="785"/>
      <c r="Z332" s="776"/>
      <c r="AA332" s="776"/>
      <c r="AB332" s="776"/>
    </row>
    <row r="333" spans="1:28" ht="15.75" customHeight="1">
      <c r="A333" s="776"/>
      <c r="B333" s="776"/>
      <c r="C333" s="776"/>
      <c r="D333" s="776"/>
      <c r="E333" s="777"/>
      <c r="F333" s="776"/>
      <c r="G333" s="777"/>
      <c r="H333" s="776"/>
      <c r="I333" s="777"/>
      <c r="J333" s="777"/>
      <c r="K333" s="786"/>
      <c r="L333" s="777"/>
      <c r="M333" s="785"/>
      <c r="N333" s="785"/>
      <c r="O333" s="785"/>
      <c r="P333" s="785"/>
      <c r="Q333" s="785"/>
      <c r="R333" s="785"/>
      <c r="S333" s="776"/>
      <c r="T333" s="776"/>
      <c r="U333" s="776"/>
      <c r="V333" s="776"/>
      <c r="W333" s="776"/>
      <c r="X333" s="776"/>
      <c r="Y333" s="785"/>
      <c r="Z333" s="776"/>
      <c r="AA333" s="776"/>
      <c r="AB333" s="776"/>
    </row>
    <row r="334" spans="1:28" ht="15.75" customHeight="1">
      <c r="A334" s="776"/>
      <c r="B334" s="776"/>
      <c r="C334" s="776"/>
      <c r="D334" s="776"/>
      <c r="E334" s="777"/>
      <c r="F334" s="776"/>
      <c r="G334" s="777"/>
      <c r="H334" s="776"/>
      <c r="I334" s="777"/>
      <c r="J334" s="777"/>
      <c r="K334" s="786"/>
      <c r="L334" s="777"/>
      <c r="M334" s="785"/>
      <c r="N334" s="785"/>
      <c r="O334" s="785"/>
      <c r="P334" s="785"/>
      <c r="Q334" s="785"/>
      <c r="R334" s="785"/>
      <c r="S334" s="776"/>
      <c r="T334" s="776"/>
      <c r="U334" s="776"/>
      <c r="V334" s="776"/>
      <c r="W334" s="776"/>
      <c r="X334" s="776"/>
      <c r="Y334" s="785"/>
      <c r="Z334" s="776"/>
      <c r="AA334" s="776"/>
      <c r="AB334" s="776"/>
    </row>
    <row r="335" spans="1:28" ht="15.75" customHeight="1">
      <c r="A335" s="776"/>
      <c r="B335" s="776"/>
      <c r="C335" s="776"/>
      <c r="D335" s="776"/>
      <c r="E335" s="777"/>
      <c r="F335" s="776"/>
      <c r="G335" s="777"/>
      <c r="H335" s="776"/>
      <c r="I335" s="777"/>
      <c r="J335" s="777"/>
      <c r="K335" s="786"/>
      <c r="L335" s="777"/>
      <c r="M335" s="785"/>
      <c r="N335" s="785"/>
      <c r="O335" s="785"/>
      <c r="P335" s="785"/>
      <c r="Q335" s="785"/>
      <c r="R335" s="785"/>
      <c r="S335" s="776"/>
      <c r="T335" s="776"/>
      <c r="U335" s="776"/>
      <c r="V335" s="776"/>
      <c r="W335" s="776"/>
      <c r="X335" s="776"/>
      <c r="Y335" s="785"/>
      <c r="Z335" s="776"/>
      <c r="AA335" s="776"/>
      <c r="AB335" s="776"/>
    </row>
    <row r="336" spans="1:28" ht="15.75" customHeight="1">
      <c r="A336" s="776"/>
      <c r="B336" s="776"/>
      <c r="C336" s="776"/>
      <c r="D336" s="776"/>
      <c r="E336" s="777"/>
      <c r="F336" s="776"/>
      <c r="G336" s="777"/>
      <c r="H336" s="776"/>
      <c r="I336" s="777"/>
      <c r="J336" s="777"/>
      <c r="K336" s="786"/>
      <c r="L336" s="777"/>
      <c r="M336" s="785"/>
      <c r="N336" s="785"/>
      <c r="O336" s="785"/>
      <c r="P336" s="785"/>
      <c r="Q336" s="785"/>
      <c r="R336" s="785"/>
      <c r="S336" s="776"/>
      <c r="T336" s="776"/>
      <c r="U336" s="776"/>
      <c r="V336" s="776"/>
      <c r="W336" s="776"/>
      <c r="X336" s="776"/>
      <c r="Y336" s="785"/>
      <c r="Z336" s="776"/>
      <c r="AA336" s="776"/>
      <c r="AB336" s="776"/>
    </row>
    <row r="337" spans="1:28" ht="15.75" customHeight="1">
      <c r="A337" s="776"/>
      <c r="B337" s="776"/>
      <c r="C337" s="776"/>
      <c r="D337" s="776"/>
      <c r="E337" s="777"/>
      <c r="F337" s="776"/>
      <c r="G337" s="777"/>
      <c r="H337" s="776"/>
      <c r="I337" s="777"/>
      <c r="J337" s="777"/>
      <c r="K337" s="786"/>
      <c r="L337" s="777"/>
      <c r="M337" s="785"/>
      <c r="N337" s="785"/>
      <c r="O337" s="785"/>
      <c r="P337" s="785"/>
      <c r="Q337" s="785"/>
      <c r="R337" s="785"/>
      <c r="S337" s="776"/>
      <c r="T337" s="776"/>
      <c r="U337" s="776"/>
      <c r="V337" s="776"/>
      <c r="W337" s="776"/>
      <c r="X337" s="776"/>
      <c r="Y337" s="785"/>
      <c r="Z337" s="776"/>
      <c r="AA337" s="776"/>
      <c r="AB337" s="776"/>
    </row>
    <row r="338" spans="1:28" ht="15.75" customHeight="1">
      <c r="A338" s="776"/>
      <c r="B338" s="776"/>
      <c r="C338" s="776"/>
      <c r="D338" s="776"/>
      <c r="E338" s="777"/>
      <c r="F338" s="776"/>
      <c r="G338" s="777"/>
      <c r="H338" s="776"/>
      <c r="I338" s="777"/>
      <c r="J338" s="777"/>
      <c r="K338" s="786"/>
      <c r="L338" s="777"/>
      <c r="M338" s="785"/>
      <c r="N338" s="785"/>
      <c r="O338" s="785"/>
      <c r="P338" s="785"/>
      <c r="Q338" s="785"/>
      <c r="R338" s="785"/>
      <c r="S338" s="776"/>
      <c r="T338" s="776"/>
      <c r="U338" s="776"/>
      <c r="V338" s="776"/>
      <c r="W338" s="776"/>
      <c r="X338" s="776"/>
      <c r="Y338" s="785"/>
      <c r="Z338" s="776"/>
      <c r="AA338" s="776"/>
      <c r="AB338" s="776"/>
    </row>
    <row r="339" spans="1:28" ht="15.75" customHeight="1">
      <c r="A339" s="776"/>
      <c r="B339" s="776"/>
      <c r="C339" s="776"/>
      <c r="D339" s="776"/>
      <c r="E339" s="777"/>
      <c r="F339" s="776"/>
      <c r="G339" s="777"/>
      <c r="H339" s="776"/>
      <c r="I339" s="777"/>
      <c r="J339" s="777"/>
      <c r="K339" s="786"/>
      <c r="L339" s="777"/>
      <c r="M339" s="785"/>
      <c r="N339" s="785"/>
      <c r="O339" s="785"/>
      <c r="P339" s="785"/>
      <c r="Q339" s="785"/>
      <c r="R339" s="785"/>
      <c r="S339" s="776"/>
      <c r="T339" s="776"/>
      <c r="U339" s="776"/>
      <c r="V339" s="776"/>
      <c r="W339" s="776"/>
      <c r="X339" s="776"/>
      <c r="Y339" s="785"/>
      <c r="Z339" s="776"/>
      <c r="AA339" s="776"/>
      <c r="AB339" s="776"/>
    </row>
    <row r="340" spans="1:28" ht="15.75" customHeight="1">
      <c r="A340" s="776"/>
      <c r="B340" s="776"/>
      <c r="C340" s="776"/>
      <c r="D340" s="776"/>
      <c r="E340" s="777"/>
      <c r="F340" s="776"/>
      <c r="G340" s="777"/>
      <c r="H340" s="776"/>
      <c r="I340" s="777"/>
      <c r="J340" s="777"/>
      <c r="K340" s="786"/>
      <c r="L340" s="777"/>
      <c r="M340" s="785"/>
      <c r="N340" s="785"/>
      <c r="O340" s="785"/>
      <c r="P340" s="785"/>
      <c r="Q340" s="785"/>
      <c r="R340" s="785"/>
      <c r="S340" s="776"/>
      <c r="T340" s="776"/>
      <c r="U340" s="776"/>
      <c r="V340" s="776"/>
      <c r="W340" s="776"/>
      <c r="X340" s="776"/>
      <c r="Y340" s="785"/>
      <c r="Z340" s="776"/>
      <c r="AA340" s="776"/>
      <c r="AB340" s="776"/>
    </row>
    <row r="341" spans="1:28" ht="15.75" customHeight="1">
      <c r="A341" s="776"/>
      <c r="B341" s="776"/>
      <c r="C341" s="776"/>
      <c r="D341" s="776"/>
      <c r="E341" s="777"/>
      <c r="F341" s="776"/>
      <c r="G341" s="777"/>
      <c r="H341" s="776"/>
      <c r="I341" s="777"/>
      <c r="J341" s="777"/>
      <c r="K341" s="786"/>
      <c r="L341" s="777"/>
      <c r="M341" s="785"/>
      <c r="N341" s="785"/>
      <c r="O341" s="785"/>
      <c r="P341" s="785"/>
      <c r="Q341" s="785"/>
      <c r="R341" s="785"/>
      <c r="S341" s="776"/>
      <c r="T341" s="776"/>
      <c r="U341" s="776"/>
      <c r="V341" s="776"/>
      <c r="W341" s="776"/>
      <c r="X341" s="776"/>
      <c r="Y341" s="785"/>
      <c r="Z341" s="776"/>
      <c r="AA341" s="776"/>
      <c r="AB341" s="776"/>
    </row>
    <row r="342" spans="1:28" ht="15.75" customHeight="1">
      <c r="A342" s="776"/>
      <c r="B342" s="776"/>
      <c r="C342" s="776"/>
      <c r="D342" s="776"/>
      <c r="E342" s="777"/>
      <c r="F342" s="776"/>
      <c r="G342" s="777"/>
      <c r="H342" s="776"/>
      <c r="I342" s="777"/>
      <c r="J342" s="777"/>
      <c r="K342" s="786"/>
      <c r="L342" s="777"/>
      <c r="M342" s="785"/>
      <c r="N342" s="785"/>
      <c r="O342" s="785"/>
      <c r="P342" s="785"/>
      <c r="Q342" s="785"/>
      <c r="R342" s="785"/>
      <c r="S342" s="776"/>
      <c r="T342" s="776"/>
      <c r="U342" s="776"/>
      <c r="V342" s="776"/>
      <c r="W342" s="776"/>
      <c r="X342" s="776"/>
      <c r="Y342" s="785"/>
      <c r="Z342" s="776"/>
      <c r="AA342" s="776"/>
      <c r="AB342" s="776"/>
    </row>
    <row r="343" spans="1:28" ht="15.75" customHeight="1">
      <c r="A343" s="776"/>
      <c r="B343" s="776"/>
      <c r="C343" s="776"/>
      <c r="D343" s="776"/>
      <c r="E343" s="777"/>
      <c r="F343" s="776"/>
      <c r="G343" s="777"/>
      <c r="H343" s="776"/>
      <c r="I343" s="777"/>
      <c r="J343" s="777"/>
      <c r="K343" s="786"/>
      <c r="L343" s="777"/>
      <c r="M343" s="785"/>
      <c r="N343" s="785"/>
      <c r="O343" s="785"/>
      <c r="P343" s="785"/>
      <c r="Q343" s="785"/>
      <c r="R343" s="785"/>
      <c r="S343" s="776"/>
      <c r="T343" s="776"/>
      <c r="U343" s="776"/>
      <c r="V343" s="776"/>
      <c r="W343" s="776"/>
      <c r="X343" s="776"/>
      <c r="Y343" s="785"/>
      <c r="Z343" s="776"/>
      <c r="AA343" s="776"/>
      <c r="AB343" s="776"/>
    </row>
    <row r="344" spans="1:28" ht="15.75" customHeight="1">
      <c r="A344" s="776"/>
      <c r="B344" s="776"/>
      <c r="C344" s="776"/>
      <c r="D344" s="776"/>
      <c r="E344" s="777"/>
      <c r="F344" s="776"/>
      <c r="G344" s="777"/>
      <c r="H344" s="776"/>
      <c r="I344" s="777"/>
      <c r="J344" s="777"/>
      <c r="K344" s="786"/>
      <c r="L344" s="777"/>
      <c r="M344" s="785"/>
      <c r="N344" s="785"/>
      <c r="O344" s="785"/>
      <c r="P344" s="785"/>
      <c r="Q344" s="785"/>
      <c r="R344" s="785"/>
      <c r="S344" s="776"/>
      <c r="T344" s="776"/>
      <c r="U344" s="776"/>
      <c r="V344" s="776"/>
      <c r="W344" s="776"/>
      <c r="X344" s="776"/>
      <c r="Y344" s="785"/>
      <c r="Z344" s="776"/>
      <c r="AA344" s="776"/>
      <c r="AB344" s="776"/>
    </row>
    <row r="345" spans="1:28" ht="15.75" customHeight="1">
      <c r="A345" s="776"/>
      <c r="B345" s="776"/>
      <c r="C345" s="776"/>
      <c r="D345" s="776"/>
      <c r="E345" s="777"/>
      <c r="F345" s="776"/>
      <c r="G345" s="777"/>
      <c r="H345" s="776"/>
      <c r="I345" s="777"/>
      <c r="J345" s="777"/>
      <c r="K345" s="786"/>
      <c r="L345" s="777"/>
      <c r="M345" s="785"/>
      <c r="N345" s="785"/>
      <c r="O345" s="785"/>
      <c r="P345" s="785"/>
      <c r="Q345" s="785"/>
      <c r="R345" s="785"/>
      <c r="S345" s="776"/>
      <c r="T345" s="776"/>
      <c r="U345" s="776"/>
      <c r="V345" s="776"/>
      <c r="W345" s="776"/>
      <c r="X345" s="776"/>
      <c r="Y345" s="785"/>
      <c r="Z345" s="776"/>
      <c r="AA345" s="776"/>
      <c r="AB345" s="776"/>
    </row>
    <row r="346" spans="1:28" ht="15.75" customHeight="1">
      <c r="A346" s="776"/>
      <c r="B346" s="776"/>
      <c r="C346" s="776"/>
      <c r="D346" s="776"/>
      <c r="E346" s="777"/>
      <c r="F346" s="776"/>
      <c r="G346" s="777"/>
      <c r="H346" s="776"/>
      <c r="I346" s="777"/>
      <c r="J346" s="777"/>
      <c r="K346" s="786"/>
      <c r="L346" s="777"/>
      <c r="M346" s="785"/>
      <c r="N346" s="785"/>
      <c r="O346" s="785"/>
      <c r="P346" s="785"/>
      <c r="Q346" s="785"/>
      <c r="R346" s="785"/>
      <c r="S346" s="776"/>
      <c r="T346" s="776"/>
      <c r="U346" s="776"/>
      <c r="V346" s="776"/>
      <c r="W346" s="776"/>
      <c r="X346" s="776"/>
      <c r="Y346" s="785"/>
      <c r="Z346" s="776"/>
      <c r="AA346" s="776"/>
      <c r="AB346" s="776"/>
    </row>
    <row r="347" spans="1:28" ht="15.75" customHeight="1">
      <c r="A347" s="776"/>
      <c r="B347" s="776"/>
      <c r="C347" s="776"/>
      <c r="D347" s="776"/>
      <c r="E347" s="777"/>
      <c r="F347" s="776"/>
      <c r="G347" s="777"/>
      <c r="H347" s="776"/>
      <c r="I347" s="777"/>
      <c r="J347" s="777"/>
      <c r="K347" s="786"/>
      <c r="L347" s="777"/>
      <c r="M347" s="785"/>
      <c r="N347" s="785"/>
      <c r="O347" s="785"/>
      <c r="P347" s="785"/>
      <c r="Q347" s="785"/>
      <c r="R347" s="785"/>
      <c r="S347" s="776"/>
      <c r="T347" s="776"/>
      <c r="U347" s="776"/>
      <c r="V347" s="776"/>
      <c r="W347" s="776"/>
      <c r="X347" s="776"/>
      <c r="Y347" s="785"/>
      <c r="Z347" s="776"/>
      <c r="AA347" s="776"/>
      <c r="AB347" s="776"/>
    </row>
    <row r="348" spans="1:28" ht="15.75" customHeight="1">
      <c r="A348" s="776"/>
      <c r="B348" s="776"/>
      <c r="C348" s="776"/>
      <c r="D348" s="776"/>
      <c r="E348" s="777"/>
      <c r="F348" s="776"/>
      <c r="G348" s="777"/>
      <c r="H348" s="776"/>
      <c r="I348" s="777"/>
      <c r="J348" s="777"/>
      <c r="K348" s="786"/>
      <c r="L348" s="777"/>
      <c r="M348" s="785"/>
      <c r="N348" s="785"/>
      <c r="O348" s="785"/>
      <c r="P348" s="785"/>
      <c r="Q348" s="785"/>
      <c r="R348" s="785"/>
      <c r="S348" s="776"/>
      <c r="T348" s="776"/>
      <c r="U348" s="776"/>
      <c r="V348" s="776"/>
      <c r="W348" s="776"/>
      <c r="X348" s="776"/>
      <c r="Y348" s="785"/>
      <c r="Z348" s="776"/>
      <c r="AA348" s="776"/>
      <c r="AB348" s="776"/>
    </row>
    <row r="349" spans="1:28" ht="15.75" customHeight="1">
      <c r="A349" s="776"/>
      <c r="B349" s="776"/>
      <c r="C349" s="776"/>
      <c r="D349" s="776"/>
      <c r="E349" s="777"/>
      <c r="F349" s="776"/>
      <c r="G349" s="777"/>
      <c r="H349" s="776"/>
      <c r="I349" s="777"/>
      <c r="J349" s="777"/>
      <c r="K349" s="786"/>
      <c r="L349" s="777"/>
      <c r="M349" s="785"/>
      <c r="N349" s="785"/>
      <c r="O349" s="785"/>
      <c r="P349" s="785"/>
      <c r="Q349" s="785"/>
      <c r="R349" s="785"/>
      <c r="S349" s="776"/>
      <c r="T349" s="776"/>
      <c r="U349" s="776"/>
      <c r="V349" s="776"/>
      <c r="W349" s="776"/>
      <c r="X349" s="776"/>
      <c r="Y349" s="785"/>
      <c r="Z349" s="776"/>
      <c r="AA349" s="776"/>
      <c r="AB349" s="776"/>
    </row>
    <row r="350" spans="1:28" ht="15.75" customHeight="1">
      <c r="A350" s="776"/>
      <c r="B350" s="776"/>
      <c r="C350" s="776"/>
      <c r="D350" s="776"/>
      <c r="E350" s="777"/>
      <c r="F350" s="776"/>
      <c r="G350" s="777"/>
      <c r="H350" s="776"/>
      <c r="I350" s="777"/>
      <c r="J350" s="777"/>
      <c r="K350" s="786"/>
      <c r="L350" s="777"/>
      <c r="M350" s="785"/>
      <c r="N350" s="785"/>
      <c r="O350" s="785"/>
      <c r="P350" s="785"/>
      <c r="Q350" s="785"/>
      <c r="R350" s="785"/>
      <c r="S350" s="776"/>
      <c r="T350" s="776"/>
      <c r="U350" s="776"/>
      <c r="V350" s="776"/>
      <c r="W350" s="776"/>
      <c r="X350" s="776"/>
      <c r="Y350" s="785"/>
      <c r="Z350" s="776"/>
      <c r="AA350" s="776"/>
      <c r="AB350" s="776"/>
    </row>
    <row r="351" spans="1:28" ht="15.75" customHeight="1">
      <c r="A351" s="776"/>
      <c r="B351" s="776"/>
      <c r="C351" s="776"/>
      <c r="D351" s="776"/>
      <c r="E351" s="777"/>
      <c r="F351" s="776"/>
      <c r="G351" s="777"/>
      <c r="H351" s="776"/>
      <c r="I351" s="777"/>
      <c r="J351" s="777"/>
      <c r="K351" s="786"/>
      <c r="L351" s="777"/>
      <c r="M351" s="785"/>
      <c r="N351" s="785"/>
      <c r="O351" s="785"/>
      <c r="P351" s="785"/>
      <c r="Q351" s="785"/>
      <c r="R351" s="785"/>
      <c r="S351" s="776"/>
      <c r="T351" s="776"/>
      <c r="U351" s="776"/>
      <c r="V351" s="776"/>
      <c r="W351" s="776"/>
      <c r="X351" s="776"/>
      <c r="Y351" s="785"/>
      <c r="Z351" s="776"/>
      <c r="AA351" s="776"/>
      <c r="AB351" s="776"/>
    </row>
    <row r="352" spans="1:28" ht="15.75" customHeight="1">
      <c r="A352" s="776"/>
      <c r="B352" s="776"/>
      <c r="C352" s="776"/>
      <c r="D352" s="776"/>
      <c r="E352" s="777"/>
      <c r="F352" s="776"/>
      <c r="G352" s="777"/>
      <c r="H352" s="776"/>
      <c r="I352" s="777"/>
      <c r="J352" s="777"/>
      <c r="K352" s="786"/>
      <c r="L352" s="777"/>
      <c r="M352" s="785"/>
      <c r="N352" s="785"/>
      <c r="O352" s="785"/>
      <c r="P352" s="785"/>
      <c r="Q352" s="785"/>
      <c r="R352" s="785"/>
      <c r="S352" s="776"/>
      <c r="T352" s="776"/>
      <c r="U352" s="776"/>
      <c r="V352" s="776"/>
      <c r="W352" s="776"/>
      <c r="X352" s="776"/>
      <c r="Y352" s="785"/>
      <c r="Z352" s="776"/>
      <c r="AA352" s="776"/>
      <c r="AB352" s="776"/>
    </row>
    <row r="353" spans="1:28" ht="15.75" customHeight="1">
      <c r="A353" s="776"/>
      <c r="B353" s="776"/>
      <c r="C353" s="776"/>
      <c r="D353" s="776"/>
      <c r="E353" s="777"/>
      <c r="F353" s="776"/>
      <c r="G353" s="777"/>
      <c r="H353" s="776"/>
      <c r="I353" s="777"/>
      <c r="J353" s="777"/>
      <c r="K353" s="786"/>
      <c r="L353" s="777"/>
      <c r="M353" s="785"/>
      <c r="N353" s="785"/>
      <c r="O353" s="785"/>
      <c r="P353" s="785"/>
      <c r="Q353" s="785"/>
      <c r="R353" s="785"/>
      <c r="S353" s="776"/>
      <c r="T353" s="776"/>
      <c r="U353" s="776"/>
      <c r="V353" s="776"/>
      <c r="W353" s="776"/>
      <c r="X353" s="776"/>
      <c r="Y353" s="785"/>
      <c r="Z353" s="776"/>
      <c r="AA353" s="776"/>
      <c r="AB353" s="776"/>
    </row>
    <row r="354" spans="1:28" ht="15.75" customHeight="1">
      <c r="A354" s="776"/>
      <c r="B354" s="776"/>
      <c r="C354" s="776"/>
      <c r="D354" s="776"/>
      <c r="E354" s="777"/>
      <c r="F354" s="776"/>
      <c r="G354" s="777"/>
      <c r="H354" s="776"/>
      <c r="I354" s="777"/>
      <c r="J354" s="777"/>
      <c r="K354" s="786"/>
      <c r="L354" s="777"/>
      <c r="M354" s="785"/>
      <c r="N354" s="785"/>
      <c r="O354" s="785"/>
      <c r="P354" s="785"/>
      <c r="Q354" s="785"/>
      <c r="R354" s="785"/>
      <c r="S354" s="776"/>
      <c r="T354" s="776"/>
      <c r="U354" s="776"/>
      <c r="V354" s="776"/>
      <c r="W354" s="776"/>
      <c r="X354" s="776"/>
      <c r="Y354" s="785"/>
      <c r="Z354" s="776"/>
      <c r="AA354" s="776"/>
      <c r="AB354" s="776"/>
    </row>
    <row r="355" spans="1:28" ht="15.75" customHeight="1">
      <c r="A355" s="776"/>
      <c r="B355" s="776"/>
      <c r="C355" s="776"/>
      <c r="D355" s="776"/>
      <c r="E355" s="777"/>
      <c r="F355" s="776"/>
      <c r="G355" s="777"/>
      <c r="H355" s="776"/>
      <c r="I355" s="777"/>
      <c r="J355" s="777"/>
      <c r="K355" s="786"/>
      <c r="L355" s="777"/>
      <c r="M355" s="785"/>
      <c r="N355" s="785"/>
      <c r="O355" s="785"/>
      <c r="P355" s="785"/>
      <c r="Q355" s="785"/>
      <c r="R355" s="785"/>
      <c r="S355" s="776"/>
      <c r="T355" s="776"/>
      <c r="U355" s="776"/>
      <c r="V355" s="776"/>
      <c r="W355" s="776"/>
      <c r="X355" s="776"/>
      <c r="Y355" s="785"/>
      <c r="Z355" s="776"/>
      <c r="AA355" s="776"/>
      <c r="AB355" s="776"/>
    </row>
    <row r="356" spans="1:28" ht="15.75" customHeight="1">
      <c r="A356" s="776"/>
      <c r="B356" s="776"/>
      <c r="C356" s="776"/>
      <c r="D356" s="776"/>
      <c r="E356" s="777"/>
      <c r="F356" s="776"/>
      <c r="G356" s="777"/>
      <c r="H356" s="776"/>
      <c r="I356" s="777"/>
      <c r="J356" s="777"/>
      <c r="K356" s="786"/>
      <c r="L356" s="777"/>
      <c r="M356" s="785"/>
      <c r="N356" s="785"/>
      <c r="O356" s="785"/>
      <c r="P356" s="785"/>
      <c r="Q356" s="785"/>
      <c r="R356" s="785"/>
      <c r="S356" s="776"/>
      <c r="T356" s="776"/>
      <c r="U356" s="776"/>
      <c r="V356" s="776"/>
      <c r="W356" s="776"/>
      <c r="X356" s="776"/>
      <c r="Y356" s="785"/>
      <c r="Z356" s="776"/>
      <c r="AA356" s="776"/>
      <c r="AB356" s="776"/>
    </row>
    <row r="357" spans="1:28" ht="15.75" customHeight="1">
      <c r="A357" s="776"/>
      <c r="B357" s="776"/>
      <c r="C357" s="776"/>
      <c r="D357" s="776"/>
      <c r="E357" s="777"/>
      <c r="F357" s="776"/>
      <c r="G357" s="777"/>
      <c r="H357" s="776"/>
      <c r="I357" s="777"/>
      <c r="J357" s="777"/>
      <c r="K357" s="786"/>
      <c r="L357" s="777"/>
      <c r="M357" s="785"/>
      <c r="N357" s="785"/>
      <c r="O357" s="785"/>
      <c r="P357" s="785"/>
      <c r="Q357" s="785"/>
      <c r="R357" s="785"/>
      <c r="S357" s="776"/>
      <c r="T357" s="776"/>
      <c r="U357" s="776"/>
      <c r="V357" s="776"/>
      <c r="W357" s="776"/>
      <c r="X357" s="776"/>
      <c r="Y357" s="785"/>
      <c r="Z357" s="776"/>
      <c r="AA357" s="776"/>
      <c r="AB357" s="776"/>
    </row>
    <row r="358" spans="1:28" ht="15.75" customHeight="1">
      <c r="A358" s="776"/>
      <c r="B358" s="776"/>
      <c r="C358" s="776"/>
      <c r="D358" s="776"/>
      <c r="E358" s="777"/>
      <c r="F358" s="776"/>
      <c r="G358" s="777"/>
      <c r="H358" s="776"/>
      <c r="I358" s="777"/>
      <c r="J358" s="777"/>
      <c r="K358" s="786"/>
      <c r="L358" s="777"/>
      <c r="M358" s="785"/>
      <c r="N358" s="785"/>
      <c r="O358" s="785"/>
      <c r="P358" s="785"/>
      <c r="Q358" s="785"/>
      <c r="R358" s="785"/>
      <c r="S358" s="776"/>
      <c r="T358" s="776"/>
      <c r="U358" s="776"/>
      <c r="V358" s="776"/>
      <c r="W358" s="776"/>
      <c r="X358" s="776"/>
      <c r="Y358" s="785"/>
      <c r="Z358" s="776"/>
      <c r="AA358" s="776"/>
      <c r="AB358" s="776"/>
    </row>
    <row r="359" spans="1:28" ht="15.75" customHeight="1">
      <c r="A359" s="776"/>
      <c r="B359" s="776"/>
      <c r="C359" s="776"/>
      <c r="D359" s="776"/>
      <c r="E359" s="777"/>
      <c r="F359" s="776"/>
      <c r="G359" s="777"/>
      <c r="H359" s="776"/>
      <c r="I359" s="777"/>
      <c r="J359" s="777"/>
      <c r="K359" s="786"/>
      <c r="L359" s="777"/>
      <c r="M359" s="785"/>
      <c r="N359" s="785"/>
      <c r="O359" s="785"/>
      <c r="P359" s="785"/>
      <c r="Q359" s="785"/>
      <c r="R359" s="785"/>
      <c r="S359" s="776"/>
      <c r="T359" s="776"/>
      <c r="U359" s="776"/>
      <c r="V359" s="776"/>
      <c r="W359" s="776"/>
      <c r="X359" s="776"/>
      <c r="Y359" s="785"/>
      <c r="Z359" s="776"/>
      <c r="AA359" s="776"/>
      <c r="AB359" s="776"/>
    </row>
    <row r="360" spans="1:28" ht="15.75" customHeight="1">
      <c r="A360" s="776"/>
      <c r="B360" s="776"/>
      <c r="C360" s="776"/>
      <c r="D360" s="776"/>
      <c r="E360" s="777"/>
      <c r="F360" s="776"/>
      <c r="G360" s="777"/>
      <c r="H360" s="776"/>
      <c r="I360" s="777"/>
      <c r="J360" s="777"/>
      <c r="K360" s="786"/>
      <c r="L360" s="777"/>
      <c r="M360" s="785"/>
      <c r="N360" s="785"/>
      <c r="O360" s="785"/>
      <c r="P360" s="785"/>
      <c r="Q360" s="785"/>
      <c r="R360" s="785"/>
      <c r="S360" s="776"/>
      <c r="T360" s="776"/>
      <c r="U360" s="776"/>
      <c r="V360" s="776"/>
      <c r="W360" s="776"/>
      <c r="X360" s="776"/>
      <c r="Y360" s="785"/>
      <c r="Z360" s="776"/>
      <c r="AA360" s="776"/>
      <c r="AB360" s="776"/>
    </row>
    <row r="361" spans="1:28" ht="15.75" customHeight="1">
      <c r="A361" s="776"/>
      <c r="B361" s="776"/>
      <c r="C361" s="776"/>
      <c r="D361" s="776"/>
      <c r="E361" s="777"/>
      <c r="F361" s="776"/>
      <c r="G361" s="777"/>
      <c r="H361" s="776"/>
      <c r="I361" s="777"/>
      <c r="J361" s="777"/>
      <c r="K361" s="786"/>
      <c r="L361" s="777"/>
      <c r="M361" s="785"/>
      <c r="N361" s="785"/>
      <c r="O361" s="785"/>
      <c r="P361" s="785"/>
      <c r="Q361" s="785"/>
      <c r="R361" s="785"/>
      <c r="S361" s="776"/>
      <c r="T361" s="776"/>
      <c r="U361" s="776"/>
      <c r="V361" s="776"/>
      <c r="W361" s="776"/>
      <c r="X361" s="776"/>
      <c r="Y361" s="785"/>
      <c r="Z361" s="776"/>
      <c r="AA361" s="776"/>
      <c r="AB361" s="776"/>
    </row>
    <row r="362" spans="1:28" ht="15.75" customHeight="1">
      <c r="A362" s="776"/>
      <c r="B362" s="776"/>
      <c r="C362" s="776"/>
      <c r="D362" s="776"/>
      <c r="E362" s="777"/>
      <c r="F362" s="776"/>
      <c r="G362" s="777"/>
      <c r="H362" s="776"/>
      <c r="I362" s="777"/>
      <c r="J362" s="777"/>
      <c r="K362" s="786"/>
      <c r="L362" s="777"/>
      <c r="M362" s="785"/>
      <c r="N362" s="785"/>
      <c r="O362" s="785"/>
      <c r="P362" s="785"/>
      <c r="Q362" s="785"/>
      <c r="R362" s="785"/>
      <c r="S362" s="776"/>
      <c r="T362" s="776"/>
      <c r="U362" s="776"/>
      <c r="V362" s="776"/>
      <c r="W362" s="776"/>
      <c r="X362" s="776"/>
      <c r="Y362" s="785"/>
      <c r="Z362" s="776"/>
      <c r="AA362" s="776"/>
      <c r="AB362" s="776"/>
    </row>
    <row r="363" spans="1:28" ht="15.75" customHeight="1">
      <c r="A363" s="776"/>
      <c r="B363" s="776"/>
      <c r="C363" s="776"/>
      <c r="D363" s="776"/>
      <c r="E363" s="777"/>
      <c r="F363" s="776"/>
      <c r="G363" s="777"/>
      <c r="H363" s="776"/>
      <c r="I363" s="777"/>
      <c r="J363" s="777"/>
      <c r="K363" s="786"/>
      <c r="L363" s="777"/>
      <c r="M363" s="785"/>
      <c r="N363" s="785"/>
      <c r="O363" s="785"/>
      <c r="P363" s="785"/>
      <c r="Q363" s="785"/>
      <c r="R363" s="785"/>
      <c r="S363" s="776"/>
      <c r="T363" s="776"/>
      <c r="U363" s="776"/>
      <c r="V363" s="776"/>
      <c r="W363" s="776"/>
      <c r="X363" s="776"/>
      <c r="Y363" s="785"/>
      <c r="Z363" s="776"/>
      <c r="AA363" s="776"/>
      <c r="AB363" s="776"/>
    </row>
    <row r="364" spans="1:28" ht="15.75" customHeight="1">
      <c r="A364" s="776"/>
      <c r="B364" s="776"/>
      <c r="C364" s="776"/>
      <c r="D364" s="776"/>
      <c r="E364" s="777"/>
      <c r="F364" s="776"/>
      <c r="G364" s="777"/>
      <c r="H364" s="776"/>
      <c r="I364" s="777"/>
      <c r="J364" s="777"/>
      <c r="K364" s="786"/>
      <c r="L364" s="777"/>
      <c r="M364" s="785"/>
      <c r="N364" s="785"/>
      <c r="O364" s="785"/>
      <c r="P364" s="785"/>
      <c r="Q364" s="785"/>
      <c r="R364" s="785"/>
      <c r="S364" s="776"/>
      <c r="T364" s="776"/>
      <c r="U364" s="776"/>
      <c r="V364" s="776"/>
      <c r="W364" s="776"/>
      <c r="X364" s="776"/>
      <c r="Y364" s="785"/>
      <c r="Z364" s="776"/>
      <c r="AA364" s="776"/>
      <c r="AB364" s="776"/>
    </row>
    <row r="365" spans="1:28" ht="15.75" customHeight="1">
      <c r="A365" s="776"/>
      <c r="B365" s="776"/>
      <c r="C365" s="776"/>
      <c r="D365" s="776"/>
      <c r="E365" s="777"/>
      <c r="F365" s="776"/>
      <c r="G365" s="777"/>
      <c r="H365" s="776"/>
      <c r="I365" s="777"/>
      <c r="J365" s="777"/>
      <c r="K365" s="786"/>
      <c r="L365" s="777"/>
      <c r="M365" s="785"/>
      <c r="N365" s="785"/>
      <c r="O365" s="785"/>
      <c r="P365" s="785"/>
      <c r="Q365" s="785"/>
      <c r="R365" s="785"/>
      <c r="S365" s="776"/>
      <c r="T365" s="776"/>
      <c r="U365" s="776"/>
      <c r="V365" s="776"/>
      <c r="W365" s="776"/>
      <c r="X365" s="776"/>
      <c r="Y365" s="785"/>
      <c r="Z365" s="776"/>
      <c r="AA365" s="776"/>
      <c r="AB365" s="776"/>
    </row>
    <row r="366" spans="1:28" ht="15.75" customHeight="1">
      <c r="A366" s="776"/>
      <c r="B366" s="776"/>
      <c r="C366" s="776"/>
      <c r="D366" s="776"/>
      <c r="E366" s="777"/>
      <c r="F366" s="776"/>
      <c r="G366" s="777"/>
      <c r="H366" s="776"/>
      <c r="I366" s="777"/>
      <c r="J366" s="777"/>
      <c r="K366" s="786"/>
      <c r="L366" s="777"/>
      <c r="M366" s="785"/>
      <c r="N366" s="785"/>
      <c r="O366" s="785"/>
      <c r="P366" s="785"/>
      <c r="Q366" s="785"/>
      <c r="R366" s="785"/>
      <c r="S366" s="776"/>
      <c r="T366" s="776"/>
      <c r="U366" s="776"/>
      <c r="V366" s="776"/>
      <c r="W366" s="776"/>
      <c r="X366" s="776"/>
      <c r="Y366" s="785"/>
      <c r="Z366" s="776"/>
      <c r="AA366" s="776"/>
      <c r="AB366" s="776"/>
    </row>
    <row r="367" spans="1:28" ht="15.75" customHeight="1">
      <c r="A367" s="776"/>
      <c r="B367" s="776"/>
      <c r="C367" s="776"/>
      <c r="D367" s="776"/>
      <c r="E367" s="777"/>
      <c r="F367" s="776"/>
      <c r="G367" s="777"/>
      <c r="H367" s="776"/>
      <c r="I367" s="777"/>
      <c r="J367" s="777"/>
      <c r="K367" s="786"/>
      <c r="L367" s="777"/>
      <c r="M367" s="785"/>
      <c r="N367" s="785"/>
      <c r="O367" s="785"/>
      <c r="P367" s="785"/>
      <c r="Q367" s="785"/>
      <c r="R367" s="785"/>
      <c r="S367" s="776"/>
      <c r="T367" s="776"/>
      <c r="U367" s="776"/>
      <c r="V367" s="776"/>
      <c r="W367" s="776"/>
      <c r="X367" s="776"/>
      <c r="Y367" s="785"/>
      <c r="Z367" s="776"/>
      <c r="AA367" s="776"/>
      <c r="AB367" s="776"/>
    </row>
    <row r="368" spans="1:28" ht="15.75" customHeight="1">
      <c r="A368" s="776"/>
      <c r="B368" s="776"/>
      <c r="C368" s="776"/>
      <c r="D368" s="776"/>
      <c r="E368" s="777"/>
      <c r="F368" s="776"/>
      <c r="G368" s="777"/>
      <c r="H368" s="776"/>
      <c r="I368" s="777"/>
      <c r="J368" s="777"/>
      <c r="K368" s="786"/>
      <c r="L368" s="777"/>
      <c r="M368" s="785"/>
      <c r="N368" s="785"/>
      <c r="O368" s="785"/>
      <c r="P368" s="785"/>
      <c r="Q368" s="785"/>
      <c r="R368" s="785"/>
      <c r="S368" s="776"/>
      <c r="T368" s="776"/>
      <c r="U368" s="776"/>
      <c r="V368" s="776"/>
      <c r="W368" s="776"/>
      <c r="X368" s="776"/>
      <c r="Y368" s="785"/>
      <c r="Z368" s="776"/>
      <c r="AA368" s="776"/>
      <c r="AB368" s="776"/>
    </row>
    <row r="369" spans="1:28" ht="15.75" customHeight="1">
      <c r="A369" s="776"/>
      <c r="B369" s="776"/>
      <c r="C369" s="776"/>
      <c r="D369" s="776"/>
      <c r="E369" s="777"/>
      <c r="F369" s="776"/>
      <c r="G369" s="777"/>
      <c r="H369" s="776"/>
      <c r="I369" s="777"/>
      <c r="J369" s="777"/>
      <c r="K369" s="786"/>
      <c r="L369" s="777"/>
      <c r="M369" s="785"/>
      <c r="N369" s="785"/>
      <c r="O369" s="785"/>
      <c r="P369" s="785"/>
      <c r="Q369" s="785"/>
      <c r="R369" s="785"/>
      <c r="S369" s="776"/>
      <c r="T369" s="776"/>
      <c r="U369" s="776"/>
      <c r="V369" s="776"/>
      <c r="W369" s="776"/>
      <c r="X369" s="776"/>
      <c r="Y369" s="785"/>
      <c r="Z369" s="776"/>
      <c r="AA369" s="776"/>
      <c r="AB369" s="776"/>
    </row>
    <row r="370" spans="1:28" ht="15.75" customHeight="1">
      <c r="A370" s="776"/>
      <c r="B370" s="776"/>
      <c r="C370" s="776"/>
      <c r="D370" s="776"/>
      <c r="E370" s="777"/>
      <c r="F370" s="776"/>
      <c r="G370" s="777"/>
      <c r="H370" s="776"/>
      <c r="I370" s="777"/>
      <c r="J370" s="777"/>
      <c r="K370" s="786"/>
      <c r="L370" s="777"/>
      <c r="M370" s="785"/>
      <c r="N370" s="785"/>
      <c r="O370" s="785"/>
      <c r="P370" s="785"/>
      <c r="Q370" s="785"/>
      <c r="R370" s="785"/>
      <c r="S370" s="776"/>
      <c r="T370" s="776"/>
      <c r="U370" s="776"/>
      <c r="V370" s="776"/>
      <c r="W370" s="776"/>
      <c r="X370" s="776"/>
      <c r="Y370" s="785"/>
      <c r="Z370" s="776"/>
      <c r="AA370" s="776"/>
      <c r="AB370" s="776"/>
    </row>
    <row r="371" spans="1:28" ht="15.75" customHeight="1">
      <c r="A371" s="776"/>
      <c r="B371" s="776"/>
      <c r="C371" s="776"/>
      <c r="D371" s="776"/>
      <c r="E371" s="777"/>
      <c r="F371" s="776"/>
      <c r="G371" s="777"/>
      <c r="H371" s="776"/>
      <c r="I371" s="777"/>
      <c r="J371" s="777"/>
      <c r="K371" s="786"/>
      <c r="L371" s="777"/>
      <c r="M371" s="785"/>
      <c r="N371" s="785"/>
      <c r="O371" s="785"/>
      <c r="P371" s="785"/>
      <c r="Q371" s="785"/>
      <c r="R371" s="785"/>
      <c r="S371" s="776"/>
      <c r="T371" s="776"/>
      <c r="U371" s="776"/>
      <c r="V371" s="776"/>
      <c r="W371" s="776"/>
      <c r="X371" s="776"/>
      <c r="Y371" s="785"/>
      <c r="Z371" s="776"/>
      <c r="AA371" s="776"/>
      <c r="AB371" s="776"/>
    </row>
    <row r="372" spans="1:28" ht="15.75" customHeight="1">
      <c r="A372" s="776"/>
      <c r="B372" s="776"/>
      <c r="C372" s="776"/>
      <c r="D372" s="776"/>
      <c r="E372" s="777"/>
      <c r="F372" s="776"/>
      <c r="G372" s="777"/>
      <c r="H372" s="776"/>
      <c r="I372" s="777"/>
      <c r="J372" s="777"/>
      <c r="K372" s="786"/>
      <c r="L372" s="777"/>
      <c r="M372" s="785"/>
      <c r="N372" s="785"/>
      <c r="O372" s="785"/>
      <c r="P372" s="785"/>
      <c r="Q372" s="785"/>
      <c r="R372" s="785"/>
      <c r="S372" s="776"/>
      <c r="T372" s="776"/>
      <c r="U372" s="776"/>
      <c r="V372" s="776"/>
      <c r="W372" s="776"/>
      <c r="X372" s="776"/>
      <c r="Y372" s="785"/>
      <c r="Z372" s="776"/>
      <c r="AA372" s="776"/>
      <c r="AB372" s="776"/>
    </row>
    <row r="373" spans="1:28" ht="15.75" customHeight="1">
      <c r="A373" s="776"/>
      <c r="B373" s="776"/>
      <c r="C373" s="776"/>
      <c r="D373" s="776"/>
      <c r="E373" s="777"/>
      <c r="F373" s="776"/>
      <c r="G373" s="777"/>
      <c r="H373" s="776"/>
      <c r="I373" s="777"/>
      <c r="J373" s="777"/>
      <c r="K373" s="786"/>
      <c r="L373" s="777"/>
      <c r="M373" s="785"/>
      <c r="N373" s="785"/>
      <c r="O373" s="785"/>
      <c r="P373" s="785"/>
      <c r="Q373" s="785"/>
      <c r="R373" s="785"/>
      <c r="S373" s="776"/>
      <c r="T373" s="776"/>
      <c r="U373" s="776"/>
      <c r="V373" s="776"/>
      <c r="W373" s="776"/>
      <c r="X373" s="776"/>
      <c r="Y373" s="785"/>
      <c r="Z373" s="776"/>
      <c r="AA373" s="776"/>
      <c r="AB373" s="776"/>
    </row>
    <row r="374" spans="1:28" ht="15.75" customHeight="1">
      <c r="A374" s="776"/>
      <c r="B374" s="776"/>
      <c r="C374" s="776"/>
      <c r="D374" s="776"/>
      <c r="E374" s="777"/>
      <c r="F374" s="776"/>
      <c r="G374" s="777"/>
      <c r="H374" s="776"/>
      <c r="I374" s="777"/>
      <c r="J374" s="777"/>
      <c r="K374" s="786"/>
      <c r="L374" s="777"/>
      <c r="M374" s="785"/>
      <c r="N374" s="785"/>
      <c r="O374" s="785"/>
      <c r="P374" s="785"/>
      <c r="Q374" s="785"/>
      <c r="R374" s="785"/>
      <c r="S374" s="776"/>
      <c r="T374" s="776"/>
      <c r="U374" s="776"/>
      <c r="V374" s="776"/>
      <c r="W374" s="776"/>
      <c r="X374" s="776"/>
      <c r="Y374" s="785"/>
      <c r="Z374" s="776"/>
      <c r="AA374" s="776"/>
      <c r="AB374" s="776"/>
    </row>
    <row r="375" spans="1:28" ht="15.75" customHeight="1">
      <c r="A375" s="776"/>
      <c r="B375" s="776"/>
      <c r="C375" s="776"/>
      <c r="D375" s="776"/>
      <c r="E375" s="777"/>
      <c r="F375" s="776"/>
      <c r="G375" s="777"/>
      <c r="H375" s="776"/>
      <c r="I375" s="777"/>
      <c r="J375" s="777"/>
      <c r="K375" s="786"/>
      <c r="L375" s="777"/>
      <c r="M375" s="785"/>
      <c r="N375" s="785"/>
      <c r="O375" s="785"/>
      <c r="P375" s="785"/>
      <c r="Q375" s="785"/>
      <c r="R375" s="785"/>
      <c r="S375" s="776"/>
      <c r="T375" s="776"/>
      <c r="U375" s="776"/>
      <c r="V375" s="776"/>
      <c r="W375" s="776"/>
      <c r="X375" s="776"/>
      <c r="Y375" s="785"/>
      <c r="Z375" s="776"/>
      <c r="AA375" s="776"/>
      <c r="AB375" s="776"/>
    </row>
    <row r="376" spans="1:28" ht="15.75" customHeight="1">
      <c r="A376" s="776"/>
      <c r="B376" s="776"/>
      <c r="C376" s="776"/>
      <c r="D376" s="776"/>
      <c r="E376" s="777"/>
      <c r="F376" s="776"/>
      <c r="G376" s="777"/>
      <c r="H376" s="776"/>
      <c r="I376" s="777"/>
      <c r="J376" s="777"/>
      <c r="K376" s="786"/>
      <c r="L376" s="777"/>
      <c r="M376" s="785"/>
      <c r="N376" s="785"/>
      <c r="O376" s="785"/>
      <c r="P376" s="785"/>
      <c r="Q376" s="785"/>
      <c r="R376" s="785"/>
      <c r="S376" s="776"/>
      <c r="T376" s="776"/>
      <c r="U376" s="776"/>
      <c r="V376" s="776"/>
      <c r="W376" s="776"/>
      <c r="X376" s="776"/>
      <c r="Y376" s="785"/>
      <c r="Z376" s="776"/>
      <c r="AA376" s="776"/>
      <c r="AB376" s="776"/>
    </row>
    <row r="377" spans="1:28" ht="15.75" customHeight="1">
      <c r="A377" s="776"/>
      <c r="B377" s="776"/>
      <c r="C377" s="776"/>
      <c r="D377" s="776"/>
      <c r="E377" s="777"/>
      <c r="F377" s="776"/>
      <c r="G377" s="777"/>
      <c r="H377" s="776"/>
      <c r="I377" s="777"/>
      <c r="J377" s="777"/>
      <c r="K377" s="786"/>
      <c r="L377" s="777"/>
      <c r="M377" s="785"/>
      <c r="N377" s="785"/>
      <c r="O377" s="785"/>
      <c r="P377" s="785"/>
      <c r="Q377" s="785"/>
      <c r="R377" s="785"/>
      <c r="S377" s="776"/>
      <c r="T377" s="776"/>
      <c r="U377" s="776"/>
      <c r="V377" s="776"/>
      <c r="W377" s="776"/>
      <c r="X377" s="776"/>
      <c r="Y377" s="785"/>
      <c r="Z377" s="776"/>
      <c r="AA377" s="776"/>
      <c r="AB377" s="776"/>
    </row>
    <row r="378" spans="1:28" ht="15.75" customHeight="1">
      <c r="A378" s="776"/>
      <c r="B378" s="776"/>
      <c r="C378" s="776"/>
      <c r="D378" s="776"/>
      <c r="E378" s="777"/>
      <c r="F378" s="776"/>
      <c r="G378" s="777"/>
      <c r="H378" s="776"/>
      <c r="I378" s="777"/>
      <c r="J378" s="777"/>
      <c r="K378" s="786"/>
      <c r="L378" s="777"/>
      <c r="M378" s="785"/>
      <c r="N378" s="785"/>
      <c r="O378" s="785"/>
      <c r="P378" s="785"/>
      <c r="Q378" s="785"/>
      <c r="R378" s="785"/>
      <c r="S378" s="776"/>
      <c r="T378" s="776"/>
      <c r="U378" s="776"/>
      <c r="V378" s="776"/>
      <c r="W378" s="776"/>
      <c r="X378" s="776"/>
      <c r="Y378" s="785"/>
      <c r="Z378" s="776"/>
      <c r="AA378" s="776"/>
      <c r="AB378" s="776"/>
    </row>
    <row r="379" spans="1:28" ht="15.75" customHeight="1">
      <c r="A379" s="776"/>
      <c r="B379" s="776"/>
      <c r="C379" s="776"/>
      <c r="D379" s="776"/>
      <c r="E379" s="777"/>
      <c r="F379" s="776"/>
      <c r="G379" s="777"/>
      <c r="H379" s="776"/>
      <c r="I379" s="777"/>
      <c r="J379" s="777"/>
      <c r="K379" s="786"/>
      <c r="L379" s="777"/>
      <c r="M379" s="785"/>
      <c r="N379" s="785"/>
      <c r="O379" s="785"/>
      <c r="P379" s="785"/>
      <c r="Q379" s="785"/>
      <c r="R379" s="785"/>
      <c r="S379" s="776"/>
      <c r="T379" s="776"/>
      <c r="U379" s="776"/>
      <c r="V379" s="776"/>
      <c r="W379" s="776"/>
      <c r="X379" s="776"/>
      <c r="Y379" s="785"/>
      <c r="Z379" s="776"/>
      <c r="AA379" s="776"/>
      <c r="AB379" s="776"/>
    </row>
    <row r="380" spans="1:28" ht="15.75" customHeight="1">
      <c r="A380" s="776"/>
      <c r="B380" s="776"/>
      <c r="C380" s="776"/>
      <c r="D380" s="776"/>
      <c r="E380" s="777"/>
      <c r="F380" s="776"/>
      <c r="G380" s="777"/>
      <c r="H380" s="776"/>
      <c r="I380" s="777"/>
      <c r="J380" s="777"/>
      <c r="K380" s="786"/>
      <c r="L380" s="777"/>
      <c r="M380" s="785"/>
      <c r="N380" s="785"/>
      <c r="O380" s="785"/>
      <c r="P380" s="785"/>
      <c r="Q380" s="785"/>
      <c r="R380" s="785"/>
      <c r="S380" s="776"/>
      <c r="T380" s="776"/>
      <c r="U380" s="776"/>
      <c r="V380" s="776"/>
      <c r="W380" s="776"/>
      <c r="X380" s="776"/>
      <c r="Y380" s="785"/>
      <c r="Z380" s="776"/>
      <c r="AA380" s="776"/>
      <c r="AB380" s="776"/>
    </row>
    <row r="381" spans="1:28" ht="15.75" customHeight="1">
      <c r="A381" s="776"/>
      <c r="B381" s="776"/>
      <c r="C381" s="776"/>
      <c r="D381" s="776"/>
      <c r="E381" s="777"/>
      <c r="F381" s="776"/>
      <c r="G381" s="777"/>
      <c r="H381" s="776"/>
      <c r="I381" s="777"/>
      <c r="J381" s="777"/>
      <c r="K381" s="786"/>
      <c r="L381" s="777"/>
      <c r="M381" s="785"/>
      <c r="N381" s="785"/>
      <c r="O381" s="785"/>
      <c r="P381" s="785"/>
      <c r="Q381" s="785"/>
      <c r="R381" s="785"/>
      <c r="S381" s="776"/>
      <c r="T381" s="776"/>
      <c r="U381" s="776"/>
      <c r="V381" s="776"/>
      <c r="W381" s="776"/>
      <c r="X381" s="776"/>
      <c r="Y381" s="785"/>
      <c r="Z381" s="776"/>
      <c r="AA381" s="776"/>
      <c r="AB381" s="776"/>
    </row>
    <row r="382" spans="1:28" ht="15.75" customHeight="1">
      <c r="A382" s="776"/>
      <c r="B382" s="776"/>
      <c r="C382" s="776"/>
      <c r="D382" s="776"/>
      <c r="E382" s="777"/>
      <c r="F382" s="776"/>
      <c r="G382" s="777"/>
      <c r="H382" s="776"/>
      <c r="I382" s="777"/>
      <c r="J382" s="777"/>
      <c r="K382" s="786"/>
      <c r="L382" s="777"/>
      <c r="M382" s="785"/>
      <c r="N382" s="785"/>
      <c r="O382" s="785"/>
      <c r="P382" s="785"/>
      <c r="Q382" s="785"/>
      <c r="R382" s="785"/>
      <c r="S382" s="776"/>
      <c r="T382" s="776"/>
      <c r="U382" s="776"/>
      <c r="V382" s="776"/>
      <c r="W382" s="776"/>
      <c r="X382" s="776"/>
      <c r="Y382" s="785"/>
      <c r="Z382" s="776"/>
      <c r="AA382" s="776"/>
      <c r="AB382" s="776"/>
    </row>
    <row r="383" spans="1:28" ht="15.75" customHeight="1">
      <c r="A383" s="776"/>
      <c r="B383" s="776"/>
      <c r="C383" s="776"/>
      <c r="D383" s="776"/>
      <c r="E383" s="777"/>
      <c r="F383" s="776"/>
      <c r="G383" s="777"/>
      <c r="H383" s="776"/>
      <c r="I383" s="777"/>
      <c r="J383" s="777"/>
      <c r="K383" s="786"/>
      <c r="L383" s="777"/>
      <c r="M383" s="785"/>
      <c r="N383" s="785"/>
      <c r="O383" s="785"/>
      <c r="P383" s="785"/>
      <c r="Q383" s="785"/>
      <c r="R383" s="785"/>
      <c r="S383" s="776"/>
      <c r="T383" s="776"/>
      <c r="U383" s="776"/>
      <c r="V383" s="776"/>
      <c r="W383" s="776"/>
      <c r="X383" s="776"/>
      <c r="Y383" s="785"/>
      <c r="Z383" s="776"/>
      <c r="AA383" s="776"/>
      <c r="AB383" s="776"/>
    </row>
    <row r="384" spans="1:28" ht="15.75" customHeight="1">
      <c r="A384" s="776"/>
      <c r="B384" s="776"/>
      <c r="C384" s="776"/>
      <c r="D384" s="776"/>
      <c r="E384" s="777"/>
      <c r="F384" s="776"/>
      <c r="G384" s="777"/>
      <c r="H384" s="776"/>
      <c r="I384" s="777"/>
      <c r="J384" s="777"/>
      <c r="K384" s="786"/>
      <c r="L384" s="777"/>
      <c r="M384" s="785"/>
      <c r="N384" s="785"/>
      <c r="O384" s="785"/>
      <c r="P384" s="785"/>
      <c r="Q384" s="785"/>
      <c r="R384" s="785"/>
      <c r="S384" s="776"/>
      <c r="T384" s="776"/>
      <c r="U384" s="776"/>
      <c r="V384" s="776"/>
      <c r="W384" s="776"/>
      <c r="X384" s="776"/>
      <c r="Y384" s="785"/>
      <c r="Z384" s="776"/>
      <c r="AA384" s="776"/>
      <c r="AB384" s="776"/>
    </row>
    <row r="385" spans="1:28" ht="15.75" customHeight="1">
      <c r="A385" s="776"/>
      <c r="B385" s="776"/>
      <c r="C385" s="776"/>
      <c r="D385" s="776"/>
      <c r="E385" s="777"/>
      <c r="F385" s="776"/>
      <c r="G385" s="777"/>
      <c r="H385" s="776"/>
      <c r="I385" s="777"/>
      <c r="J385" s="777"/>
      <c r="K385" s="786"/>
      <c r="L385" s="777"/>
      <c r="M385" s="785"/>
      <c r="N385" s="785"/>
      <c r="O385" s="785"/>
      <c r="P385" s="785"/>
      <c r="Q385" s="785"/>
      <c r="R385" s="785"/>
      <c r="S385" s="776"/>
      <c r="T385" s="776"/>
      <c r="U385" s="776"/>
      <c r="V385" s="776"/>
      <c r="W385" s="776"/>
      <c r="X385" s="776"/>
      <c r="Y385" s="785"/>
      <c r="Z385" s="776"/>
      <c r="AA385" s="776"/>
      <c r="AB385" s="776"/>
    </row>
    <row r="386" spans="1:28" ht="15.75" customHeight="1">
      <c r="A386" s="776"/>
      <c r="B386" s="776"/>
      <c r="C386" s="776"/>
      <c r="D386" s="776"/>
      <c r="E386" s="777"/>
      <c r="F386" s="776"/>
      <c r="G386" s="777"/>
      <c r="H386" s="776"/>
      <c r="I386" s="777"/>
      <c r="J386" s="777"/>
      <c r="K386" s="786"/>
      <c r="L386" s="777"/>
      <c r="M386" s="785"/>
      <c r="N386" s="785"/>
      <c r="O386" s="785"/>
      <c r="P386" s="785"/>
      <c r="Q386" s="785"/>
      <c r="R386" s="785"/>
      <c r="S386" s="776"/>
      <c r="T386" s="776"/>
      <c r="U386" s="776"/>
      <c r="V386" s="776"/>
      <c r="W386" s="776"/>
      <c r="X386" s="776"/>
      <c r="Y386" s="785"/>
      <c r="Z386" s="776"/>
      <c r="AA386" s="776"/>
      <c r="AB386" s="776"/>
    </row>
    <row r="387" spans="1:28" ht="15.75" customHeight="1">
      <c r="A387" s="776"/>
      <c r="B387" s="776"/>
      <c r="C387" s="776"/>
      <c r="D387" s="776"/>
      <c r="E387" s="777"/>
      <c r="F387" s="776"/>
      <c r="G387" s="777"/>
      <c r="H387" s="776"/>
      <c r="I387" s="777"/>
      <c r="J387" s="777"/>
      <c r="K387" s="786"/>
      <c r="L387" s="777"/>
      <c r="M387" s="785"/>
      <c r="N387" s="785"/>
      <c r="O387" s="785"/>
      <c r="P387" s="785"/>
      <c r="Q387" s="785"/>
      <c r="R387" s="785"/>
      <c r="S387" s="776"/>
      <c r="T387" s="776"/>
      <c r="U387" s="776"/>
      <c r="V387" s="776"/>
      <c r="W387" s="776"/>
      <c r="X387" s="776"/>
      <c r="Y387" s="785"/>
      <c r="Z387" s="776"/>
      <c r="AA387" s="776"/>
      <c r="AB387" s="776"/>
    </row>
    <row r="388" spans="1:28" ht="15.75" customHeight="1">
      <c r="A388" s="776"/>
      <c r="B388" s="776"/>
      <c r="C388" s="776"/>
      <c r="D388" s="776"/>
      <c r="E388" s="777"/>
      <c r="F388" s="776"/>
      <c r="G388" s="777"/>
      <c r="H388" s="776"/>
      <c r="I388" s="777"/>
      <c r="J388" s="777"/>
      <c r="K388" s="786"/>
      <c r="L388" s="777"/>
      <c r="M388" s="785"/>
      <c r="N388" s="785"/>
      <c r="O388" s="785"/>
      <c r="P388" s="785"/>
      <c r="Q388" s="785"/>
      <c r="R388" s="785"/>
      <c r="S388" s="776"/>
      <c r="T388" s="776"/>
      <c r="U388" s="776"/>
      <c r="V388" s="776"/>
      <c r="W388" s="776"/>
      <c r="X388" s="776"/>
      <c r="Y388" s="785"/>
      <c r="Z388" s="776"/>
      <c r="AA388" s="776"/>
      <c r="AB388" s="776"/>
    </row>
    <row r="389" spans="1:28" ht="15.75" customHeight="1">
      <c r="A389" s="776"/>
      <c r="B389" s="776"/>
      <c r="C389" s="776"/>
      <c r="D389" s="776"/>
      <c r="E389" s="777"/>
      <c r="F389" s="776"/>
      <c r="G389" s="777"/>
      <c r="H389" s="776"/>
      <c r="I389" s="777"/>
      <c r="J389" s="777"/>
      <c r="K389" s="786"/>
      <c r="L389" s="777"/>
      <c r="M389" s="785"/>
      <c r="N389" s="785"/>
      <c r="O389" s="785"/>
      <c r="P389" s="785"/>
      <c r="Q389" s="785"/>
      <c r="R389" s="785"/>
      <c r="S389" s="776"/>
      <c r="T389" s="776"/>
      <c r="U389" s="776"/>
      <c r="V389" s="776"/>
      <c r="W389" s="776"/>
      <c r="X389" s="776"/>
      <c r="Y389" s="785"/>
      <c r="Z389" s="776"/>
      <c r="AA389" s="776"/>
      <c r="AB389" s="776"/>
    </row>
    <row r="390" spans="1:28" ht="15.75" customHeight="1">
      <c r="A390" s="776"/>
      <c r="B390" s="776"/>
      <c r="C390" s="776"/>
      <c r="D390" s="776"/>
      <c r="E390" s="777"/>
      <c r="F390" s="776"/>
      <c r="G390" s="777"/>
      <c r="H390" s="776"/>
      <c r="I390" s="777"/>
      <c r="J390" s="777"/>
      <c r="K390" s="786"/>
      <c r="L390" s="777"/>
      <c r="M390" s="785"/>
      <c r="N390" s="785"/>
      <c r="O390" s="785"/>
      <c r="P390" s="785"/>
      <c r="Q390" s="785"/>
      <c r="R390" s="785"/>
      <c r="S390" s="776"/>
      <c r="T390" s="776"/>
      <c r="U390" s="776"/>
      <c r="V390" s="776"/>
      <c r="W390" s="776"/>
      <c r="X390" s="776"/>
      <c r="Y390" s="785"/>
      <c r="Z390" s="776"/>
      <c r="AA390" s="776"/>
      <c r="AB390" s="776"/>
    </row>
    <row r="391" spans="1:28" ht="15.75" customHeight="1">
      <c r="A391" s="776"/>
      <c r="B391" s="776"/>
      <c r="C391" s="776"/>
      <c r="D391" s="776"/>
      <c r="E391" s="777"/>
      <c r="F391" s="776"/>
      <c r="G391" s="777"/>
      <c r="H391" s="776"/>
      <c r="I391" s="777"/>
      <c r="J391" s="777"/>
      <c r="K391" s="786"/>
      <c r="L391" s="777"/>
      <c r="M391" s="785"/>
      <c r="N391" s="785"/>
      <c r="O391" s="785"/>
      <c r="P391" s="785"/>
      <c r="Q391" s="785"/>
      <c r="R391" s="785"/>
      <c r="S391" s="776"/>
      <c r="T391" s="776"/>
      <c r="U391" s="776"/>
      <c r="V391" s="776"/>
      <c r="W391" s="776"/>
      <c r="X391" s="776"/>
      <c r="Y391" s="785"/>
      <c r="Z391" s="776"/>
      <c r="AA391" s="776"/>
      <c r="AB391" s="776"/>
    </row>
    <row r="392" spans="1:28" ht="15.75" customHeight="1">
      <c r="A392" s="776"/>
      <c r="B392" s="776"/>
      <c r="C392" s="776"/>
      <c r="D392" s="776"/>
      <c r="E392" s="777"/>
      <c r="F392" s="776"/>
      <c r="G392" s="777"/>
      <c r="H392" s="776"/>
      <c r="I392" s="777"/>
      <c r="J392" s="777"/>
      <c r="K392" s="786"/>
      <c r="L392" s="777"/>
      <c r="M392" s="785"/>
      <c r="N392" s="785"/>
      <c r="O392" s="785"/>
      <c r="P392" s="785"/>
      <c r="Q392" s="785"/>
      <c r="R392" s="785"/>
      <c r="S392" s="776"/>
      <c r="T392" s="776"/>
      <c r="U392" s="776"/>
      <c r="V392" s="776"/>
      <c r="W392" s="776"/>
      <c r="X392" s="776"/>
      <c r="Y392" s="785"/>
      <c r="Z392" s="776"/>
      <c r="AA392" s="776"/>
      <c r="AB392" s="776"/>
    </row>
    <row r="393" spans="1:28" ht="15.75" customHeight="1">
      <c r="A393" s="776"/>
      <c r="B393" s="776"/>
      <c r="C393" s="776"/>
      <c r="D393" s="776"/>
      <c r="E393" s="777"/>
      <c r="F393" s="776"/>
      <c r="G393" s="777"/>
      <c r="H393" s="776"/>
      <c r="I393" s="777"/>
      <c r="J393" s="777"/>
      <c r="K393" s="786"/>
      <c r="L393" s="777"/>
      <c r="M393" s="785"/>
      <c r="N393" s="785"/>
      <c r="O393" s="785"/>
      <c r="P393" s="785"/>
      <c r="Q393" s="785"/>
      <c r="R393" s="785"/>
      <c r="S393" s="776"/>
      <c r="T393" s="776"/>
      <c r="U393" s="776"/>
      <c r="V393" s="776"/>
      <c r="W393" s="776"/>
      <c r="X393" s="776"/>
      <c r="Y393" s="785"/>
      <c r="Z393" s="776"/>
      <c r="AA393" s="776"/>
      <c r="AB393" s="776"/>
    </row>
    <row r="394" spans="1:28" ht="15.75" customHeight="1">
      <c r="A394" s="776"/>
      <c r="B394" s="776"/>
      <c r="C394" s="776"/>
      <c r="D394" s="776"/>
      <c r="E394" s="777"/>
      <c r="F394" s="776"/>
      <c r="G394" s="777"/>
      <c r="H394" s="776"/>
      <c r="I394" s="777"/>
      <c r="J394" s="777"/>
      <c r="K394" s="786"/>
      <c r="L394" s="777"/>
      <c r="M394" s="785"/>
      <c r="N394" s="785"/>
      <c r="O394" s="785"/>
      <c r="P394" s="785"/>
      <c r="Q394" s="785"/>
      <c r="R394" s="785"/>
      <c r="S394" s="776"/>
      <c r="T394" s="776"/>
      <c r="U394" s="776"/>
      <c r="V394" s="776"/>
      <c r="W394" s="776"/>
      <c r="X394" s="776"/>
      <c r="Y394" s="785"/>
      <c r="Z394" s="776"/>
      <c r="AA394" s="776"/>
      <c r="AB394" s="776"/>
    </row>
    <row r="395" spans="1:28" ht="15.75" customHeight="1">
      <c r="A395" s="776"/>
      <c r="B395" s="776"/>
      <c r="C395" s="776"/>
      <c r="D395" s="776"/>
      <c r="E395" s="777"/>
      <c r="F395" s="776"/>
      <c r="G395" s="777"/>
      <c r="H395" s="776"/>
      <c r="I395" s="777"/>
      <c r="J395" s="777"/>
      <c r="K395" s="786"/>
      <c r="L395" s="777"/>
      <c r="M395" s="785"/>
      <c r="N395" s="785"/>
      <c r="O395" s="785"/>
      <c r="P395" s="785"/>
      <c r="Q395" s="785"/>
      <c r="R395" s="785"/>
      <c r="S395" s="776"/>
      <c r="T395" s="776"/>
      <c r="U395" s="776"/>
      <c r="V395" s="776"/>
      <c r="W395" s="776"/>
      <c r="X395" s="776"/>
      <c r="Y395" s="785"/>
      <c r="Z395" s="776"/>
      <c r="AA395" s="776"/>
      <c r="AB395" s="776"/>
    </row>
    <row r="396" spans="1:28" ht="15.75" customHeight="1">
      <c r="A396" s="776"/>
      <c r="B396" s="776"/>
      <c r="C396" s="776"/>
      <c r="D396" s="776"/>
      <c r="E396" s="777"/>
      <c r="F396" s="776"/>
      <c r="G396" s="777"/>
      <c r="H396" s="776"/>
      <c r="I396" s="777"/>
      <c r="J396" s="777"/>
      <c r="K396" s="786"/>
      <c r="L396" s="777"/>
      <c r="M396" s="785"/>
      <c r="N396" s="785"/>
      <c r="O396" s="785"/>
      <c r="P396" s="785"/>
      <c r="Q396" s="785"/>
      <c r="R396" s="785"/>
      <c r="S396" s="776"/>
      <c r="T396" s="776"/>
      <c r="U396" s="776"/>
      <c r="V396" s="776"/>
      <c r="W396" s="776"/>
      <c r="X396" s="776"/>
      <c r="Y396" s="785"/>
      <c r="Z396" s="776"/>
      <c r="AA396" s="776"/>
      <c r="AB396" s="776"/>
    </row>
    <row r="397" spans="1:28" ht="15.75" customHeight="1">
      <c r="A397" s="776"/>
      <c r="B397" s="776"/>
      <c r="C397" s="776"/>
      <c r="D397" s="776"/>
      <c r="E397" s="777"/>
      <c r="F397" s="776"/>
      <c r="G397" s="777"/>
      <c r="H397" s="776"/>
      <c r="I397" s="777"/>
      <c r="J397" s="777"/>
      <c r="K397" s="786"/>
      <c r="L397" s="777"/>
      <c r="M397" s="785"/>
      <c r="N397" s="785"/>
      <c r="O397" s="785"/>
      <c r="P397" s="785"/>
      <c r="Q397" s="785"/>
      <c r="R397" s="785"/>
      <c r="S397" s="776"/>
      <c r="T397" s="776"/>
      <c r="U397" s="776"/>
      <c r="V397" s="776"/>
      <c r="W397" s="776"/>
      <c r="X397" s="776"/>
      <c r="Y397" s="785"/>
      <c r="Z397" s="776"/>
      <c r="AA397" s="776"/>
      <c r="AB397" s="776"/>
    </row>
    <row r="398" spans="1:28" ht="15.75" customHeight="1">
      <c r="A398" s="776"/>
      <c r="B398" s="776"/>
      <c r="C398" s="776"/>
      <c r="D398" s="776"/>
      <c r="E398" s="777"/>
      <c r="F398" s="776"/>
      <c r="G398" s="777"/>
      <c r="H398" s="776"/>
      <c r="I398" s="777"/>
      <c r="J398" s="777"/>
      <c r="K398" s="786"/>
      <c r="L398" s="777"/>
      <c r="M398" s="785"/>
      <c r="N398" s="785"/>
      <c r="O398" s="785"/>
      <c r="P398" s="785"/>
      <c r="Q398" s="785"/>
      <c r="R398" s="785"/>
      <c r="S398" s="776"/>
      <c r="T398" s="776"/>
      <c r="U398" s="776"/>
      <c r="V398" s="776"/>
      <c r="W398" s="776"/>
      <c r="X398" s="776"/>
      <c r="Y398" s="785"/>
      <c r="Z398" s="776"/>
      <c r="AA398" s="776"/>
      <c r="AB398" s="776"/>
    </row>
    <row r="399" spans="1:28" ht="15.75" customHeight="1">
      <c r="A399" s="776"/>
      <c r="B399" s="776"/>
      <c r="C399" s="776"/>
      <c r="D399" s="776"/>
      <c r="E399" s="777"/>
      <c r="F399" s="776"/>
      <c r="G399" s="777"/>
      <c r="H399" s="776"/>
      <c r="I399" s="777"/>
      <c r="J399" s="777"/>
      <c r="K399" s="786"/>
      <c r="L399" s="777"/>
      <c r="M399" s="785"/>
      <c r="N399" s="785"/>
      <c r="O399" s="785"/>
      <c r="P399" s="785"/>
      <c r="Q399" s="785"/>
      <c r="R399" s="785"/>
      <c r="S399" s="776"/>
      <c r="T399" s="776"/>
      <c r="U399" s="776"/>
      <c r="V399" s="776"/>
      <c r="W399" s="776"/>
      <c r="X399" s="776"/>
      <c r="Y399" s="785"/>
      <c r="Z399" s="776"/>
      <c r="AA399" s="776"/>
      <c r="AB399" s="776"/>
    </row>
    <row r="400" spans="1:28" ht="15.75" customHeight="1">
      <c r="A400" s="776"/>
      <c r="B400" s="776"/>
      <c r="C400" s="776"/>
      <c r="D400" s="776"/>
      <c r="E400" s="777"/>
      <c r="F400" s="776"/>
      <c r="G400" s="777"/>
      <c r="H400" s="776"/>
      <c r="I400" s="777"/>
      <c r="J400" s="777"/>
      <c r="K400" s="786"/>
      <c r="L400" s="777"/>
      <c r="M400" s="785"/>
      <c r="N400" s="785"/>
      <c r="O400" s="785"/>
      <c r="P400" s="785"/>
      <c r="Q400" s="785"/>
      <c r="R400" s="785"/>
      <c r="S400" s="776"/>
      <c r="T400" s="776"/>
      <c r="U400" s="776"/>
      <c r="V400" s="776"/>
      <c r="W400" s="776"/>
      <c r="X400" s="776"/>
      <c r="Y400" s="785"/>
      <c r="Z400" s="776"/>
      <c r="AA400" s="776"/>
      <c r="AB400" s="776"/>
    </row>
    <row r="401" spans="1:28" ht="15.75" customHeight="1">
      <c r="A401" s="776"/>
      <c r="B401" s="776"/>
      <c r="C401" s="776"/>
      <c r="D401" s="776"/>
      <c r="E401" s="777"/>
      <c r="F401" s="776"/>
      <c r="G401" s="777"/>
      <c r="H401" s="776"/>
      <c r="I401" s="777"/>
      <c r="J401" s="777"/>
      <c r="K401" s="786"/>
      <c r="L401" s="777"/>
      <c r="M401" s="785"/>
      <c r="N401" s="785"/>
      <c r="O401" s="785"/>
      <c r="P401" s="785"/>
      <c r="Q401" s="785"/>
      <c r="R401" s="785"/>
      <c r="S401" s="776"/>
      <c r="T401" s="776"/>
      <c r="U401" s="776"/>
      <c r="V401" s="776"/>
      <c r="W401" s="776"/>
      <c r="X401" s="776"/>
      <c r="Y401" s="785"/>
      <c r="Z401" s="776"/>
      <c r="AA401" s="776"/>
      <c r="AB401" s="776"/>
    </row>
    <row r="402" spans="1:28" ht="15.75" customHeight="1">
      <c r="A402" s="776"/>
      <c r="B402" s="776"/>
      <c r="C402" s="776"/>
      <c r="D402" s="776"/>
      <c r="E402" s="777"/>
      <c r="F402" s="776"/>
      <c r="G402" s="777"/>
      <c r="H402" s="776"/>
      <c r="I402" s="777"/>
      <c r="J402" s="777"/>
      <c r="K402" s="786"/>
      <c r="L402" s="777"/>
      <c r="M402" s="785"/>
      <c r="N402" s="785"/>
      <c r="O402" s="785"/>
      <c r="P402" s="785"/>
      <c r="Q402" s="785"/>
      <c r="R402" s="785"/>
      <c r="S402" s="776"/>
      <c r="T402" s="776"/>
      <c r="U402" s="776"/>
      <c r="V402" s="776"/>
      <c r="W402" s="776"/>
      <c r="X402" s="776"/>
      <c r="Y402" s="785"/>
      <c r="Z402" s="776"/>
      <c r="AA402" s="776"/>
      <c r="AB402" s="776"/>
    </row>
    <row r="403" spans="1:28" ht="15.75" customHeight="1">
      <c r="A403" s="776"/>
      <c r="B403" s="776"/>
      <c r="C403" s="776"/>
      <c r="D403" s="776"/>
      <c r="E403" s="777"/>
      <c r="F403" s="776"/>
      <c r="G403" s="777"/>
      <c r="H403" s="776"/>
      <c r="I403" s="777"/>
      <c r="J403" s="777"/>
      <c r="K403" s="786"/>
      <c r="L403" s="777"/>
      <c r="M403" s="785"/>
      <c r="N403" s="785"/>
      <c r="O403" s="785"/>
      <c r="P403" s="785"/>
      <c r="Q403" s="785"/>
      <c r="R403" s="785"/>
      <c r="S403" s="776"/>
      <c r="T403" s="776"/>
      <c r="U403" s="776"/>
      <c r="V403" s="776"/>
      <c r="W403" s="776"/>
      <c r="X403" s="776"/>
      <c r="Y403" s="785"/>
      <c r="Z403" s="776"/>
      <c r="AA403" s="776"/>
      <c r="AB403" s="776"/>
    </row>
    <row r="404" spans="1:28" ht="15.75" customHeight="1">
      <c r="A404" s="776"/>
      <c r="B404" s="776"/>
      <c r="C404" s="776"/>
      <c r="D404" s="776"/>
      <c r="E404" s="777"/>
      <c r="F404" s="776"/>
      <c r="G404" s="777"/>
      <c r="H404" s="776"/>
      <c r="I404" s="777"/>
      <c r="J404" s="777"/>
      <c r="K404" s="786"/>
      <c r="L404" s="777"/>
      <c r="M404" s="785"/>
      <c r="N404" s="785"/>
      <c r="O404" s="785"/>
      <c r="P404" s="785"/>
      <c r="Q404" s="785"/>
      <c r="R404" s="785"/>
      <c r="S404" s="776"/>
      <c r="T404" s="776"/>
      <c r="U404" s="776"/>
      <c r="V404" s="776"/>
      <c r="W404" s="776"/>
      <c r="X404" s="776"/>
      <c r="Y404" s="785"/>
      <c r="Z404" s="776"/>
      <c r="AA404" s="776"/>
      <c r="AB404" s="776"/>
    </row>
    <row r="405" spans="1:28" ht="15.75" customHeight="1">
      <c r="A405" s="776"/>
      <c r="B405" s="776"/>
      <c r="C405" s="776"/>
      <c r="D405" s="776"/>
      <c r="E405" s="777"/>
      <c r="F405" s="776"/>
      <c r="G405" s="777"/>
      <c r="H405" s="776"/>
      <c r="I405" s="777"/>
      <c r="J405" s="777"/>
      <c r="K405" s="786"/>
      <c r="L405" s="777"/>
      <c r="M405" s="785"/>
      <c r="N405" s="785"/>
      <c r="O405" s="785"/>
      <c r="P405" s="785"/>
      <c r="Q405" s="785"/>
      <c r="R405" s="785"/>
      <c r="S405" s="776"/>
      <c r="T405" s="776"/>
      <c r="U405" s="776"/>
      <c r="V405" s="776"/>
      <c r="W405" s="776"/>
      <c r="X405" s="776"/>
      <c r="Y405" s="785"/>
      <c r="Z405" s="776"/>
      <c r="AA405" s="776"/>
      <c r="AB405" s="776"/>
    </row>
    <row r="406" spans="1:28" ht="15.75" customHeight="1">
      <c r="A406" s="776"/>
      <c r="B406" s="776"/>
      <c r="C406" s="776"/>
      <c r="D406" s="776"/>
      <c r="E406" s="777"/>
      <c r="F406" s="776"/>
      <c r="G406" s="777"/>
      <c r="H406" s="776"/>
      <c r="I406" s="777"/>
      <c r="J406" s="777"/>
      <c r="K406" s="786"/>
      <c r="L406" s="777"/>
      <c r="M406" s="785"/>
      <c r="N406" s="785"/>
      <c r="O406" s="785"/>
      <c r="P406" s="785"/>
      <c r="Q406" s="785"/>
      <c r="R406" s="785"/>
      <c r="S406" s="776"/>
      <c r="T406" s="776"/>
      <c r="U406" s="776"/>
      <c r="V406" s="776"/>
      <c r="W406" s="776"/>
      <c r="X406" s="776"/>
      <c r="Y406" s="785"/>
      <c r="Z406" s="776"/>
      <c r="AA406" s="776"/>
      <c r="AB406" s="776"/>
    </row>
    <row r="407" spans="1:28" ht="15.75" customHeight="1">
      <c r="A407" s="776"/>
      <c r="B407" s="776"/>
      <c r="C407" s="776"/>
      <c r="D407" s="776"/>
      <c r="E407" s="777"/>
      <c r="F407" s="776"/>
      <c r="G407" s="777"/>
      <c r="H407" s="776"/>
      <c r="I407" s="777"/>
      <c r="J407" s="777"/>
      <c r="K407" s="786"/>
      <c r="L407" s="777"/>
      <c r="M407" s="785"/>
      <c r="N407" s="785"/>
      <c r="O407" s="785"/>
      <c r="P407" s="785"/>
      <c r="Q407" s="785"/>
      <c r="R407" s="785"/>
      <c r="S407" s="776"/>
      <c r="T407" s="776"/>
      <c r="U407" s="776"/>
      <c r="V407" s="776"/>
      <c r="W407" s="776"/>
      <c r="X407" s="776"/>
      <c r="Y407" s="785"/>
      <c r="Z407" s="776"/>
      <c r="AA407" s="776"/>
      <c r="AB407" s="776"/>
    </row>
    <row r="408" spans="1:28" ht="15.75" customHeight="1">
      <c r="A408" s="776"/>
      <c r="B408" s="776"/>
      <c r="C408" s="776"/>
      <c r="D408" s="776"/>
      <c r="E408" s="777"/>
      <c r="F408" s="776"/>
      <c r="G408" s="777"/>
      <c r="H408" s="776"/>
      <c r="I408" s="777"/>
      <c r="J408" s="777"/>
      <c r="K408" s="786"/>
      <c r="L408" s="777"/>
      <c r="M408" s="785"/>
      <c r="N408" s="785"/>
      <c r="O408" s="785"/>
      <c r="P408" s="785"/>
      <c r="Q408" s="785"/>
      <c r="R408" s="785"/>
      <c r="S408" s="776"/>
      <c r="T408" s="776"/>
      <c r="U408" s="776"/>
      <c r="V408" s="776"/>
      <c r="W408" s="776"/>
      <c r="X408" s="776"/>
      <c r="Y408" s="785"/>
      <c r="Z408" s="776"/>
      <c r="AA408" s="776"/>
      <c r="AB408" s="776"/>
    </row>
    <row r="409" spans="1:28" ht="15.75" customHeight="1">
      <c r="A409" s="776"/>
      <c r="B409" s="776"/>
      <c r="C409" s="776"/>
      <c r="D409" s="776"/>
      <c r="E409" s="777"/>
      <c r="F409" s="776"/>
      <c r="G409" s="777"/>
      <c r="H409" s="776"/>
      <c r="I409" s="777"/>
      <c r="J409" s="777"/>
      <c r="K409" s="786"/>
      <c r="L409" s="777"/>
      <c r="M409" s="785"/>
      <c r="N409" s="785"/>
      <c r="O409" s="785"/>
      <c r="P409" s="785"/>
      <c r="Q409" s="785"/>
      <c r="R409" s="785"/>
      <c r="S409" s="776"/>
      <c r="T409" s="776"/>
      <c r="U409" s="776"/>
      <c r="V409" s="776"/>
      <c r="W409" s="776"/>
      <c r="X409" s="776"/>
      <c r="Y409" s="785"/>
      <c r="Z409" s="776"/>
      <c r="AA409" s="776"/>
      <c r="AB409" s="776"/>
    </row>
    <row r="410" spans="1:28" ht="15.75" customHeight="1">
      <c r="A410" s="776"/>
      <c r="B410" s="776"/>
      <c r="C410" s="776"/>
      <c r="D410" s="776"/>
      <c r="E410" s="777"/>
      <c r="F410" s="776"/>
      <c r="G410" s="777"/>
      <c r="H410" s="776"/>
      <c r="I410" s="777"/>
      <c r="J410" s="777"/>
      <c r="K410" s="786"/>
      <c r="L410" s="777"/>
      <c r="M410" s="785"/>
      <c r="N410" s="785"/>
      <c r="O410" s="785"/>
      <c r="P410" s="785"/>
      <c r="Q410" s="785"/>
      <c r="R410" s="785"/>
      <c r="S410" s="776"/>
      <c r="T410" s="776"/>
      <c r="U410" s="776"/>
      <c r="V410" s="776"/>
      <c r="W410" s="776"/>
      <c r="X410" s="776"/>
      <c r="Y410" s="785"/>
      <c r="Z410" s="776"/>
      <c r="AA410" s="776"/>
      <c r="AB410" s="776"/>
    </row>
    <row r="411" spans="1:28" ht="15.75" customHeight="1">
      <c r="A411" s="776"/>
      <c r="B411" s="776"/>
      <c r="C411" s="776"/>
      <c r="D411" s="776"/>
      <c r="E411" s="777"/>
      <c r="F411" s="776"/>
      <c r="G411" s="777"/>
      <c r="H411" s="776"/>
      <c r="I411" s="777"/>
      <c r="J411" s="777"/>
      <c r="K411" s="786"/>
      <c r="L411" s="777"/>
      <c r="M411" s="785"/>
      <c r="N411" s="785"/>
      <c r="O411" s="785"/>
      <c r="P411" s="785"/>
      <c r="Q411" s="785"/>
      <c r="R411" s="785"/>
      <c r="S411" s="776"/>
      <c r="T411" s="776"/>
      <c r="U411" s="776"/>
      <c r="V411" s="776"/>
      <c r="W411" s="776"/>
      <c r="X411" s="776"/>
      <c r="Y411" s="785"/>
      <c r="Z411" s="776"/>
      <c r="AA411" s="776"/>
      <c r="AB411" s="776"/>
    </row>
    <row r="412" spans="1:28" ht="15.75" customHeight="1">
      <c r="A412" s="776"/>
      <c r="B412" s="776"/>
      <c r="C412" s="776"/>
      <c r="D412" s="776"/>
      <c r="E412" s="777"/>
      <c r="F412" s="776"/>
      <c r="G412" s="777"/>
      <c r="H412" s="776"/>
      <c r="I412" s="777"/>
      <c r="J412" s="777"/>
      <c r="K412" s="786"/>
      <c r="L412" s="777"/>
      <c r="M412" s="785"/>
      <c r="N412" s="785"/>
      <c r="O412" s="785"/>
      <c r="P412" s="785"/>
      <c r="Q412" s="785"/>
      <c r="R412" s="785"/>
      <c r="S412" s="776"/>
      <c r="T412" s="776"/>
      <c r="U412" s="776"/>
      <c r="V412" s="776"/>
      <c r="W412" s="776"/>
      <c r="X412" s="776"/>
      <c r="Y412" s="785"/>
      <c r="Z412" s="776"/>
      <c r="AA412" s="776"/>
      <c r="AB412" s="776"/>
    </row>
    <row r="413" spans="1:28" ht="15.75" customHeight="1">
      <c r="A413" s="776"/>
      <c r="B413" s="776"/>
      <c r="C413" s="776"/>
      <c r="D413" s="776"/>
      <c r="E413" s="777"/>
      <c r="F413" s="776"/>
      <c r="G413" s="777"/>
      <c r="H413" s="776"/>
      <c r="I413" s="777"/>
      <c r="J413" s="777"/>
      <c r="K413" s="786"/>
      <c r="L413" s="777"/>
      <c r="M413" s="785"/>
      <c r="N413" s="785"/>
      <c r="O413" s="785"/>
      <c r="P413" s="785"/>
      <c r="Q413" s="785"/>
      <c r="R413" s="785"/>
      <c r="S413" s="776"/>
      <c r="T413" s="776"/>
      <c r="U413" s="776"/>
      <c r="V413" s="776"/>
      <c r="W413" s="776"/>
      <c r="X413" s="776"/>
      <c r="Y413" s="785"/>
      <c r="Z413" s="776"/>
      <c r="AA413" s="776"/>
      <c r="AB413" s="776"/>
    </row>
    <row r="414" spans="1:28" ht="15.75" customHeight="1">
      <c r="A414" s="776"/>
      <c r="B414" s="776"/>
      <c r="C414" s="776"/>
      <c r="D414" s="776"/>
      <c r="E414" s="777"/>
      <c r="F414" s="776"/>
      <c r="G414" s="777"/>
      <c r="H414" s="776"/>
      <c r="I414" s="777"/>
      <c r="J414" s="777"/>
      <c r="K414" s="786"/>
      <c r="L414" s="777"/>
      <c r="M414" s="785"/>
      <c r="N414" s="785"/>
      <c r="O414" s="785"/>
      <c r="P414" s="785"/>
      <c r="Q414" s="785"/>
      <c r="R414" s="785"/>
      <c r="S414" s="776"/>
      <c r="T414" s="776"/>
      <c r="U414" s="776"/>
      <c r="V414" s="776"/>
      <c r="W414" s="776"/>
      <c r="X414" s="776"/>
      <c r="Y414" s="785"/>
      <c r="Z414" s="776"/>
      <c r="AA414" s="776"/>
      <c r="AB414" s="776"/>
    </row>
    <row r="415" spans="1:28" ht="15.75" customHeight="1">
      <c r="A415" s="776"/>
      <c r="B415" s="776"/>
      <c r="C415" s="776"/>
      <c r="D415" s="776"/>
      <c r="E415" s="777"/>
      <c r="F415" s="776"/>
      <c r="G415" s="777"/>
      <c r="H415" s="776"/>
      <c r="I415" s="777"/>
      <c r="J415" s="777"/>
      <c r="K415" s="786"/>
      <c r="L415" s="777"/>
      <c r="M415" s="785"/>
      <c r="N415" s="785"/>
      <c r="O415" s="785"/>
      <c r="P415" s="785"/>
      <c r="Q415" s="785"/>
      <c r="R415" s="785"/>
      <c r="S415" s="776"/>
      <c r="T415" s="776"/>
      <c r="U415" s="776"/>
      <c r="V415" s="776"/>
      <c r="W415" s="776"/>
      <c r="X415" s="776"/>
      <c r="Y415" s="785"/>
      <c r="Z415" s="776"/>
      <c r="AA415" s="776"/>
      <c r="AB415" s="776"/>
    </row>
    <row r="416" spans="1:28" ht="15.75" customHeight="1">
      <c r="A416" s="776"/>
      <c r="B416" s="776"/>
      <c r="C416" s="776"/>
      <c r="D416" s="776"/>
      <c r="E416" s="777"/>
      <c r="F416" s="776"/>
      <c r="G416" s="777"/>
      <c r="H416" s="776"/>
      <c r="I416" s="777"/>
      <c r="J416" s="777"/>
      <c r="K416" s="786"/>
      <c r="L416" s="777"/>
      <c r="M416" s="785"/>
      <c r="N416" s="785"/>
      <c r="O416" s="785"/>
      <c r="P416" s="785"/>
      <c r="Q416" s="785"/>
      <c r="R416" s="785"/>
      <c r="S416" s="776"/>
      <c r="T416" s="776"/>
      <c r="U416" s="776"/>
      <c r="V416" s="776"/>
      <c r="W416" s="776"/>
      <c r="X416" s="776"/>
      <c r="Y416" s="785"/>
      <c r="Z416" s="776"/>
      <c r="AA416" s="776"/>
      <c r="AB416" s="776"/>
    </row>
    <row r="417" spans="1:28" ht="15.75" customHeight="1">
      <c r="A417" s="776"/>
      <c r="B417" s="776"/>
      <c r="C417" s="776"/>
      <c r="D417" s="776"/>
      <c r="E417" s="777"/>
      <c r="F417" s="776"/>
      <c r="G417" s="777"/>
      <c r="H417" s="776"/>
      <c r="I417" s="777"/>
      <c r="J417" s="777"/>
      <c r="K417" s="786"/>
      <c r="L417" s="777"/>
      <c r="M417" s="785"/>
      <c r="N417" s="785"/>
      <c r="O417" s="785"/>
      <c r="P417" s="785"/>
      <c r="Q417" s="785"/>
      <c r="R417" s="785"/>
      <c r="S417" s="776"/>
      <c r="T417" s="776"/>
      <c r="U417" s="776"/>
      <c r="V417" s="776"/>
      <c r="W417" s="776"/>
      <c r="X417" s="776"/>
      <c r="Y417" s="785"/>
      <c r="Z417" s="776"/>
      <c r="AA417" s="776"/>
      <c r="AB417" s="776"/>
    </row>
    <row r="418" spans="1:28" ht="15.75" customHeight="1">
      <c r="A418" s="776"/>
      <c r="B418" s="776"/>
      <c r="C418" s="776"/>
      <c r="D418" s="776"/>
      <c r="E418" s="777"/>
      <c r="F418" s="776"/>
      <c r="G418" s="777"/>
      <c r="H418" s="776"/>
      <c r="I418" s="777"/>
      <c r="J418" s="777"/>
      <c r="K418" s="786"/>
      <c r="L418" s="777"/>
      <c r="M418" s="785"/>
      <c r="N418" s="785"/>
      <c r="O418" s="785"/>
      <c r="P418" s="785"/>
      <c r="Q418" s="785"/>
      <c r="R418" s="785"/>
      <c r="S418" s="776"/>
      <c r="T418" s="776"/>
      <c r="U418" s="776"/>
      <c r="V418" s="776"/>
      <c r="W418" s="776"/>
      <c r="X418" s="776"/>
      <c r="Y418" s="785"/>
      <c r="Z418" s="776"/>
      <c r="AA418" s="776"/>
      <c r="AB418" s="776"/>
    </row>
    <row r="419" spans="1:28" ht="15.75" customHeight="1">
      <c r="A419" s="776"/>
      <c r="B419" s="776"/>
      <c r="C419" s="776"/>
      <c r="D419" s="776"/>
      <c r="E419" s="777"/>
      <c r="F419" s="776"/>
      <c r="G419" s="777"/>
      <c r="H419" s="776"/>
      <c r="I419" s="777"/>
      <c r="J419" s="777"/>
      <c r="K419" s="786"/>
      <c r="L419" s="777"/>
      <c r="M419" s="785"/>
      <c r="N419" s="785"/>
      <c r="O419" s="785"/>
      <c r="P419" s="785"/>
      <c r="Q419" s="785"/>
      <c r="R419" s="785"/>
      <c r="S419" s="776"/>
      <c r="T419" s="776"/>
      <c r="U419" s="776"/>
      <c r="V419" s="776"/>
      <c r="W419" s="776"/>
      <c r="X419" s="776"/>
      <c r="Y419" s="785"/>
      <c r="Z419" s="776"/>
      <c r="AA419" s="776"/>
      <c r="AB419" s="776"/>
    </row>
    <row r="420" spans="1:28" ht="15.75" customHeight="1">
      <c r="A420" s="776"/>
      <c r="B420" s="776"/>
      <c r="C420" s="776"/>
      <c r="D420" s="776"/>
      <c r="E420" s="777"/>
      <c r="F420" s="776"/>
      <c r="G420" s="777"/>
      <c r="H420" s="776"/>
      <c r="I420" s="777"/>
      <c r="J420" s="777"/>
      <c r="K420" s="786"/>
      <c r="L420" s="777"/>
      <c r="M420" s="785"/>
      <c r="N420" s="785"/>
      <c r="O420" s="785"/>
      <c r="P420" s="785"/>
      <c r="Q420" s="785"/>
      <c r="R420" s="785"/>
      <c r="S420" s="776"/>
      <c r="T420" s="776"/>
      <c r="U420" s="776"/>
      <c r="V420" s="776"/>
      <c r="W420" s="776"/>
      <c r="X420" s="776"/>
      <c r="Y420" s="785"/>
      <c r="Z420" s="776"/>
      <c r="AA420" s="776"/>
      <c r="AB420" s="776"/>
    </row>
    <row r="421" spans="1:28" ht="15.75" customHeight="1">
      <c r="A421" s="776"/>
      <c r="B421" s="776"/>
      <c r="C421" s="776"/>
      <c r="D421" s="776"/>
      <c r="E421" s="777"/>
      <c r="F421" s="776"/>
      <c r="G421" s="777"/>
      <c r="H421" s="776"/>
      <c r="I421" s="777"/>
      <c r="J421" s="777"/>
      <c r="K421" s="786"/>
      <c r="L421" s="777"/>
      <c r="M421" s="785"/>
      <c r="N421" s="785"/>
      <c r="O421" s="785"/>
      <c r="P421" s="785"/>
      <c r="Q421" s="785"/>
      <c r="R421" s="785"/>
      <c r="S421" s="776"/>
      <c r="T421" s="776"/>
      <c r="U421" s="776"/>
      <c r="V421" s="776"/>
      <c r="W421" s="776"/>
      <c r="X421" s="776"/>
      <c r="Y421" s="785"/>
      <c r="Z421" s="776"/>
      <c r="AA421" s="776"/>
      <c r="AB421" s="776"/>
    </row>
    <row r="422" spans="1:28" ht="15.75" customHeight="1">
      <c r="A422" s="776"/>
      <c r="B422" s="776"/>
      <c r="C422" s="776"/>
      <c r="D422" s="776"/>
      <c r="E422" s="777"/>
      <c r="F422" s="776"/>
      <c r="G422" s="777"/>
      <c r="H422" s="776"/>
      <c r="I422" s="777"/>
      <c r="J422" s="777"/>
      <c r="K422" s="786"/>
      <c r="L422" s="777"/>
      <c r="M422" s="785"/>
      <c r="N422" s="785"/>
      <c r="O422" s="785"/>
      <c r="P422" s="785"/>
      <c r="Q422" s="785"/>
      <c r="R422" s="785"/>
      <c r="S422" s="776"/>
      <c r="T422" s="776"/>
      <c r="U422" s="776"/>
      <c r="V422" s="776"/>
      <c r="W422" s="776"/>
      <c r="X422" s="776"/>
      <c r="Y422" s="785"/>
      <c r="Z422" s="776"/>
      <c r="AA422" s="776"/>
      <c r="AB422" s="776"/>
    </row>
    <row r="423" spans="1:28" ht="15.75" customHeight="1">
      <c r="A423" s="776"/>
      <c r="B423" s="776"/>
      <c r="C423" s="776"/>
      <c r="D423" s="776"/>
      <c r="E423" s="777"/>
      <c r="F423" s="776"/>
      <c r="G423" s="777"/>
      <c r="H423" s="776"/>
      <c r="I423" s="777"/>
      <c r="J423" s="777"/>
      <c r="K423" s="786"/>
      <c r="L423" s="777"/>
      <c r="M423" s="785"/>
      <c r="N423" s="785"/>
      <c r="O423" s="785"/>
      <c r="P423" s="785"/>
      <c r="Q423" s="785"/>
      <c r="R423" s="785"/>
      <c r="S423" s="776"/>
      <c r="T423" s="776"/>
      <c r="U423" s="776"/>
      <c r="V423" s="776"/>
      <c r="W423" s="776"/>
      <c r="X423" s="776"/>
      <c r="Y423" s="785"/>
      <c r="Z423" s="776"/>
      <c r="AA423" s="776"/>
      <c r="AB423" s="776"/>
    </row>
    <row r="424" spans="1:28" ht="15.75" customHeight="1">
      <c r="A424" s="776"/>
      <c r="B424" s="776"/>
      <c r="C424" s="776"/>
      <c r="D424" s="776"/>
      <c r="E424" s="777"/>
      <c r="F424" s="776"/>
      <c r="G424" s="777"/>
      <c r="H424" s="776"/>
      <c r="I424" s="777"/>
      <c r="J424" s="777"/>
      <c r="K424" s="786"/>
      <c r="L424" s="777"/>
      <c r="M424" s="785"/>
      <c r="N424" s="785"/>
      <c r="O424" s="785"/>
      <c r="P424" s="785"/>
      <c r="Q424" s="785"/>
      <c r="R424" s="785"/>
      <c r="S424" s="776"/>
      <c r="T424" s="776"/>
      <c r="U424" s="776"/>
      <c r="V424" s="776"/>
      <c r="W424" s="776"/>
      <c r="X424" s="776"/>
      <c r="Y424" s="785"/>
      <c r="Z424" s="776"/>
      <c r="AA424" s="776"/>
      <c r="AB424" s="776"/>
    </row>
    <row r="425" spans="1:28" ht="15.75" customHeight="1">
      <c r="A425" s="776"/>
      <c r="B425" s="776"/>
      <c r="C425" s="776"/>
      <c r="D425" s="776"/>
      <c r="E425" s="777"/>
      <c r="F425" s="776"/>
      <c r="G425" s="777"/>
      <c r="H425" s="776"/>
      <c r="I425" s="777"/>
      <c r="J425" s="777"/>
      <c r="K425" s="786"/>
      <c r="L425" s="777"/>
      <c r="M425" s="785"/>
      <c r="N425" s="785"/>
      <c r="O425" s="785"/>
      <c r="P425" s="785"/>
      <c r="Q425" s="785"/>
      <c r="R425" s="785"/>
      <c r="S425" s="776"/>
      <c r="T425" s="776"/>
      <c r="U425" s="776"/>
      <c r="V425" s="776"/>
      <c r="W425" s="776"/>
      <c r="X425" s="776"/>
      <c r="Y425" s="785"/>
      <c r="Z425" s="776"/>
      <c r="AA425" s="776"/>
      <c r="AB425" s="776"/>
    </row>
    <row r="426" spans="1:28" ht="15.75" customHeight="1">
      <c r="A426" s="776"/>
      <c r="B426" s="776"/>
      <c r="C426" s="776"/>
      <c r="D426" s="776"/>
      <c r="E426" s="777"/>
      <c r="F426" s="776"/>
      <c r="G426" s="777"/>
      <c r="H426" s="776"/>
      <c r="I426" s="777"/>
      <c r="J426" s="777"/>
      <c r="K426" s="786"/>
      <c r="L426" s="777"/>
      <c r="M426" s="785"/>
      <c r="N426" s="785"/>
      <c r="O426" s="785"/>
      <c r="P426" s="785"/>
      <c r="Q426" s="785"/>
      <c r="R426" s="785"/>
      <c r="S426" s="776"/>
      <c r="T426" s="776"/>
      <c r="U426" s="776"/>
      <c r="V426" s="776"/>
      <c r="W426" s="776"/>
      <c r="X426" s="776"/>
      <c r="Y426" s="785"/>
      <c r="Z426" s="776"/>
      <c r="AA426" s="776"/>
      <c r="AB426" s="776"/>
    </row>
    <row r="427" spans="1:28" ht="15.75" customHeight="1">
      <c r="A427" s="776"/>
      <c r="B427" s="776"/>
      <c r="C427" s="776"/>
      <c r="D427" s="776"/>
      <c r="E427" s="777"/>
      <c r="F427" s="776"/>
      <c r="G427" s="777"/>
      <c r="H427" s="776"/>
      <c r="I427" s="777"/>
      <c r="J427" s="777"/>
      <c r="K427" s="786"/>
      <c r="L427" s="777"/>
      <c r="M427" s="785"/>
      <c r="N427" s="785"/>
      <c r="O427" s="785"/>
      <c r="P427" s="785"/>
      <c r="Q427" s="785"/>
      <c r="R427" s="785"/>
      <c r="S427" s="776"/>
      <c r="T427" s="776"/>
      <c r="U427" s="776"/>
      <c r="V427" s="776"/>
      <c r="W427" s="776"/>
      <c r="X427" s="776"/>
      <c r="Y427" s="785"/>
      <c r="Z427" s="776"/>
      <c r="AA427" s="776"/>
      <c r="AB427" s="776"/>
    </row>
    <row r="428" spans="1:28" ht="15.75" customHeight="1">
      <c r="A428" s="776"/>
      <c r="B428" s="776"/>
      <c r="C428" s="776"/>
      <c r="D428" s="776"/>
      <c r="E428" s="777"/>
      <c r="F428" s="776"/>
      <c r="G428" s="777"/>
      <c r="H428" s="776"/>
      <c r="I428" s="777"/>
      <c r="J428" s="777"/>
      <c r="K428" s="786"/>
      <c r="L428" s="777"/>
      <c r="M428" s="785"/>
      <c r="N428" s="785"/>
      <c r="O428" s="785"/>
      <c r="P428" s="785"/>
      <c r="Q428" s="785"/>
      <c r="R428" s="785"/>
      <c r="S428" s="776"/>
      <c r="T428" s="776"/>
      <c r="U428" s="776"/>
      <c r="V428" s="776"/>
      <c r="W428" s="776"/>
      <c r="X428" s="776"/>
      <c r="Y428" s="785"/>
      <c r="Z428" s="776"/>
      <c r="AA428" s="776"/>
      <c r="AB428" s="776"/>
    </row>
    <row r="429" spans="1:28" ht="15.75" customHeight="1">
      <c r="A429" s="776"/>
      <c r="B429" s="776"/>
      <c r="C429" s="776"/>
      <c r="D429" s="776"/>
      <c r="E429" s="777"/>
      <c r="F429" s="776"/>
      <c r="G429" s="777"/>
      <c r="H429" s="776"/>
      <c r="I429" s="777"/>
      <c r="J429" s="777"/>
      <c r="K429" s="786"/>
      <c r="L429" s="777"/>
      <c r="M429" s="785"/>
      <c r="N429" s="785"/>
      <c r="O429" s="785"/>
      <c r="P429" s="785"/>
      <c r="Q429" s="785"/>
      <c r="R429" s="785"/>
      <c r="S429" s="776"/>
      <c r="T429" s="776"/>
      <c r="U429" s="776"/>
      <c r="V429" s="776"/>
      <c r="W429" s="776"/>
      <c r="X429" s="776"/>
      <c r="Y429" s="785"/>
      <c r="Z429" s="776"/>
      <c r="AA429" s="776"/>
      <c r="AB429" s="776"/>
    </row>
    <row r="430" spans="1:28" ht="15.75" customHeight="1">
      <c r="A430" s="776"/>
      <c r="B430" s="776"/>
      <c r="C430" s="776"/>
      <c r="D430" s="776"/>
      <c r="E430" s="777"/>
      <c r="F430" s="776"/>
      <c r="G430" s="777"/>
      <c r="H430" s="776"/>
      <c r="I430" s="777"/>
      <c r="J430" s="777"/>
      <c r="K430" s="786"/>
      <c r="L430" s="777"/>
      <c r="M430" s="785"/>
      <c r="N430" s="785"/>
      <c r="O430" s="785"/>
      <c r="P430" s="785"/>
      <c r="Q430" s="785"/>
      <c r="R430" s="785"/>
      <c r="S430" s="776"/>
      <c r="T430" s="776"/>
      <c r="U430" s="776"/>
      <c r="V430" s="776"/>
      <c r="W430" s="776"/>
      <c r="X430" s="776"/>
      <c r="Y430" s="785"/>
      <c r="Z430" s="776"/>
      <c r="AA430" s="776"/>
      <c r="AB430" s="776"/>
    </row>
    <row r="431" spans="1:28" ht="15.75" customHeight="1">
      <c r="A431" s="776"/>
      <c r="B431" s="776"/>
      <c r="C431" s="776"/>
      <c r="D431" s="776"/>
      <c r="E431" s="777"/>
      <c r="F431" s="776"/>
      <c r="G431" s="777"/>
      <c r="H431" s="776"/>
      <c r="I431" s="777"/>
      <c r="J431" s="777"/>
      <c r="K431" s="786"/>
      <c r="L431" s="777"/>
      <c r="M431" s="785"/>
      <c r="N431" s="785"/>
      <c r="O431" s="785"/>
      <c r="P431" s="785"/>
      <c r="Q431" s="785"/>
      <c r="R431" s="785"/>
      <c r="S431" s="776"/>
      <c r="T431" s="776"/>
      <c r="U431" s="776"/>
      <c r="V431" s="776"/>
      <c r="W431" s="776"/>
      <c r="X431" s="776"/>
      <c r="Y431" s="785"/>
      <c r="Z431" s="776"/>
      <c r="AA431" s="776"/>
      <c r="AB431" s="776"/>
    </row>
    <row r="432" spans="1:28" ht="15.75" customHeight="1">
      <c r="A432" s="776"/>
      <c r="B432" s="776"/>
      <c r="C432" s="776"/>
      <c r="D432" s="776"/>
      <c r="E432" s="777"/>
      <c r="F432" s="776"/>
      <c r="G432" s="777"/>
      <c r="H432" s="776"/>
      <c r="I432" s="777"/>
      <c r="J432" s="777"/>
      <c r="K432" s="786"/>
      <c r="L432" s="777"/>
      <c r="M432" s="785"/>
      <c r="N432" s="785"/>
      <c r="O432" s="785"/>
      <c r="P432" s="785"/>
      <c r="Q432" s="785"/>
      <c r="R432" s="785"/>
      <c r="S432" s="776"/>
      <c r="T432" s="776"/>
      <c r="U432" s="776"/>
      <c r="V432" s="776"/>
      <c r="W432" s="776"/>
      <c r="X432" s="776"/>
      <c r="Y432" s="785"/>
      <c r="Z432" s="776"/>
      <c r="AA432" s="776"/>
      <c r="AB432" s="776"/>
    </row>
    <row r="433" spans="1:28" ht="15.75" customHeight="1">
      <c r="A433" s="776"/>
      <c r="B433" s="776"/>
      <c r="C433" s="776"/>
      <c r="D433" s="776"/>
      <c r="E433" s="777"/>
      <c r="F433" s="776"/>
      <c r="G433" s="777"/>
      <c r="H433" s="776"/>
      <c r="I433" s="777"/>
      <c r="J433" s="777"/>
      <c r="K433" s="786"/>
      <c r="L433" s="777"/>
      <c r="M433" s="785"/>
      <c r="N433" s="785"/>
      <c r="O433" s="785"/>
      <c r="P433" s="785"/>
      <c r="Q433" s="785"/>
      <c r="R433" s="785"/>
      <c r="S433" s="776"/>
      <c r="T433" s="776"/>
      <c r="U433" s="776"/>
      <c r="V433" s="776"/>
      <c r="W433" s="776"/>
      <c r="X433" s="776"/>
      <c r="Y433" s="785"/>
      <c r="Z433" s="776"/>
      <c r="AA433" s="776"/>
      <c r="AB433" s="776"/>
    </row>
    <row r="434" spans="1:28" ht="15.75" customHeight="1">
      <c r="A434" s="776"/>
      <c r="B434" s="776"/>
      <c r="C434" s="776"/>
      <c r="D434" s="776"/>
      <c r="E434" s="777"/>
      <c r="F434" s="776"/>
      <c r="G434" s="777"/>
      <c r="H434" s="776"/>
      <c r="I434" s="777"/>
      <c r="J434" s="777"/>
      <c r="K434" s="786"/>
      <c r="L434" s="777"/>
      <c r="M434" s="785"/>
      <c r="N434" s="785"/>
      <c r="O434" s="785"/>
      <c r="P434" s="785"/>
      <c r="Q434" s="785"/>
      <c r="R434" s="785"/>
      <c r="S434" s="776"/>
      <c r="T434" s="776"/>
      <c r="U434" s="776"/>
      <c r="V434" s="776"/>
      <c r="W434" s="776"/>
      <c r="X434" s="776"/>
      <c r="Y434" s="785"/>
      <c r="Z434" s="776"/>
      <c r="AA434" s="776"/>
      <c r="AB434" s="776"/>
    </row>
    <row r="435" spans="1:28" ht="15.75" customHeight="1">
      <c r="A435" s="776"/>
      <c r="B435" s="776"/>
      <c r="C435" s="776"/>
      <c r="D435" s="776"/>
      <c r="E435" s="777"/>
      <c r="F435" s="776"/>
      <c r="G435" s="777"/>
      <c r="H435" s="776"/>
      <c r="I435" s="777"/>
      <c r="J435" s="777"/>
      <c r="K435" s="786"/>
      <c r="L435" s="777"/>
      <c r="M435" s="785"/>
      <c r="N435" s="785"/>
      <c r="O435" s="785"/>
      <c r="P435" s="785"/>
      <c r="Q435" s="785"/>
      <c r="R435" s="785"/>
      <c r="S435" s="776"/>
      <c r="T435" s="776"/>
      <c r="U435" s="776"/>
      <c r="V435" s="776"/>
      <c r="W435" s="776"/>
      <c r="X435" s="776"/>
      <c r="Y435" s="785"/>
      <c r="Z435" s="776"/>
      <c r="AA435" s="776"/>
      <c r="AB435" s="776"/>
    </row>
    <row r="436" spans="1:28" ht="15.75" customHeight="1">
      <c r="A436" s="776"/>
      <c r="B436" s="776"/>
      <c r="C436" s="776"/>
      <c r="D436" s="776"/>
      <c r="E436" s="777"/>
      <c r="F436" s="776"/>
      <c r="G436" s="777"/>
      <c r="H436" s="776"/>
      <c r="I436" s="777"/>
      <c r="J436" s="777"/>
      <c r="K436" s="786"/>
      <c r="L436" s="777"/>
      <c r="M436" s="785"/>
      <c r="N436" s="785"/>
      <c r="O436" s="785"/>
      <c r="P436" s="785"/>
      <c r="Q436" s="785"/>
      <c r="R436" s="785"/>
      <c r="S436" s="776"/>
      <c r="T436" s="776"/>
      <c r="U436" s="776"/>
      <c r="V436" s="776"/>
      <c r="W436" s="776"/>
      <c r="X436" s="776"/>
      <c r="Y436" s="785"/>
      <c r="Z436" s="776"/>
      <c r="AA436" s="776"/>
      <c r="AB436" s="776"/>
    </row>
    <row r="437" spans="1:28" ht="15.75" customHeight="1">
      <c r="A437" s="776"/>
      <c r="B437" s="776"/>
      <c r="C437" s="776"/>
      <c r="D437" s="776"/>
      <c r="E437" s="777"/>
      <c r="F437" s="776"/>
      <c r="G437" s="777"/>
      <c r="H437" s="776"/>
      <c r="I437" s="777"/>
      <c r="J437" s="777"/>
      <c r="K437" s="786"/>
      <c r="L437" s="777"/>
      <c r="M437" s="785"/>
      <c r="N437" s="785"/>
      <c r="O437" s="785"/>
      <c r="P437" s="785"/>
      <c r="Q437" s="785"/>
      <c r="R437" s="785"/>
      <c r="S437" s="776"/>
      <c r="T437" s="776"/>
      <c r="U437" s="776"/>
      <c r="V437" s="776"/>
      <c r="W437" s="776"/>
      <c r="X437" s="776"/>
      <c r="Y437" s="785"/>
      <c r="Z437" s="776"/>
      <c r="AA437" s="776"/>
      <c r="AB437" s="776"/>
    </row>
    <row r="438" spans="1:28" ht="15.75" customHeight="1">
      <c r="A438" s="776"/>
      <c r="B438" s="776"/>
      <c r="C438" s="776"/>
      <c r="D438" s="776"/>
      <c r="E438" s="777"/>
      <c r="F438" s="776"/>
      <c r="G438" s="777"/>
      <c r="H438" s="776"/>
      <c r="I438" s="777"/>
      <c r="J438" s="777"/>
      <c r="K438" s="786"/>
      <c r="L438" s="777"/>
      <c r="M438" s="785"/>
      <c r="N438" s="785"/>
      <c r="O438" s="785"/>
      <c r="P438" s="785"/>
      <c r="Q438" s="785"/>
      <c r="R438" s="785"/>
      <c r="S438" s="776"/>
      <c r="T438" s="776"/>
      <c r="U438" s="776"/>
      <c r="V438" s="776"/>
      <c r="W438" s="776"/>
      <c r="X438" s="776"/>
      <c r="Y438" s="785"/>
      <c r="Z438" s="776"/>
      <c r="AA438" s="776"/>
      <c r="AB438" s="776"/>
    </row>
    <row r="439" spans="1:28" ht="15.75" customHeight="1">
      <c r="A439" s="776"/>
      <c r="B439" s="776"/>
      <c r="C439" s="776"/>
      <c r="D439" s="776"/>
      <c r="E439" s="777"/>
      <c r="F439" s="776"/>
      <c r="G439" s="777"/>
      <c r="H439" s="776"/>
      <c r="I439" s="777"/>
      <c r="J439" s="777"/>
      <c r="K439" s="786"/>
      <c r="L439" s="777"/>
      <c r="M439" s="785"/>
      <c r="N439" s="785"/>
      <c r="O439" s="785"/>
      <c r="P439" s="785"/>
      <c r="Q439" s="785"/>
      <c r="R439" s="785"/>
      <c r="S439" s="776"/>
      <c r="T439" s="776"/>
      <c r="U439" s="776"/>
      <c r="V439" s="776"/>
      <c r="W439" s="776"/>
      <c r="X439" s="776"/>
      <c r="Y439" s="785"/>
      <c r="Z439" s="776"/>
      <c r="AA439" s="776"/>
      <c r="AB439" s="776"/>
    </row>
    <row r="440" spans="1:28" ht="15.75" customHeight="1">
      <c r="A440" s="776"/>
      <c r="B440" s="776"/>
      <c r="C440" s="776"/>
      <c r="D440" s="776"/>
      <c r="E440" s="777"/>
      <c r="F440" s="776"/>
      <c r="G440" s="777"/>
      <c r="H440" s="776"/>
      <c r="I440" s="777"/>
      <c r="J440" s="777"/>
      <c r="K440" s="786"/>
      <c r="L440" s="777"/>
      <c r="M440" s="785"/>
      <c r="N440" s="785"/>
      <c r="O440" s="785"/>
      <c r="P440" s="785"/>
      <c r="Q440" s="785"/>
      <c r="R440" s="785"/>
      <c r="S440" s="776"/>
      <c r="T440" s="776"/>
      <c r="U440" s="776"/>
      <c r="V440" s="776"/>
      <c r="W440" s="776"/>
      <c r="X440" s="776"/>
      <c r="Y440" s="785"/>
      <c r="Z440" s="776"/>
      <c r="AA440" s="776"/>
      <c r="AB440" s="776"/>
    </row>
    <row r="441" spans="1:28" ht="15.75" customHeight="1">
      <c r="A441" s="776"/>
      <c r="B441" s="776"/>
      <c r="C441" s="776"/>
      <c r="D441" s="776"/>
      <c r="E441" s="777"/>
      <c r="F441" s="776"/>
      <c r="G441" s="777"/>
      <c r="H441" s="776"/>
      <c r="I441" s="777"/>
      <c r="J441" s="777"/>
      <c r="K441" s="786"/>
      <c r="L441" s="777"/>
      <c r="M441" s="785"/>
      <c r="N441" s="785"/>
      <c r="O441" s="785"/>
      <c r="P441" s="785"/>
      <c r="Q441" s="785"/>
      <c r="R441" s="785"/>
      <c r="S441" s="776"/>
      <c r="T441" s="776"/>
      <c r="U441" s="776"/>
      <c r="V441" s="776"/>
      <c r="W441" s="776"/>
      <c r="X441" s="776"/>
      <c r="Y441" s="785"/>
      <c r="Z441" s="776"/>
      <c r="AA441" s="776"/>
      <c r="AB441" s="776"/>
    </row>
    <row r="442" spans="1:28" ht="15.75" customHeight="1">
      <c r="A442" s="776"/>
      <c r="B442" s="776"/>
      <c r="C442" s="776"/>
      <c r="D442" s="776"/>
      <c r="E442" s="777"/>
      <c r="F442" s="776"/>
      <c r="G442" s="777"/>
      <c r="H442" s="776"/>
      <c r="I442" s="777"/>
      <c r="J442" s="777"/>
      <c r="K442" s="786"/>
      <c r="L442" s="777"/>
      <c r="M442" s="785"/>
      <c r="N442" s="785"/>
      <c r="O442" s="785"/>
      <c r="P442" s="785"/>
      <c r="Q442" s="785"/>
      <c r="R442" s="785"/>
      <c r="S442" s="776"/>
      <c r="T442" s="776"/>
      <c r="U442" s="776"/>
      <c r="V442" s="776"/>
      <c r="W442" s="776"/>
      <c r="X442" s="776"/>
      <c r="Y442" s="785"/>
      <c r="Z442" s="776"/>
      <c r="AA442" s="776"/>
      <c r="AB442" s="776"/>
    </row>
    <row r="443" spans="1:28" ht="15.75" customHeight="1">
      <c r="A443" s="776"/>
      <c r="B443" s="776"/>
      <c r="C443" s="776"/>
      <c r="D443" s="776"/>
      <c r="E443" s="777"/>
      <c r="F443" s="776"/>
      <c r="G443" s="777"/>
      <c r="H443" s="776"/>
      <c r="I443" s="777"/>
      <c r="J443" s="777"/>
      <c r="K443" s="786"/>
      <c r="L443" s="777"/>
      <c r="M443" s="785"/>
      <c r="N443" s="785"/>
      <c r="O443" s="785"/>
      <c r="P443" s="785"/>
      <c r="Q443" s="785"/>
      <c r="R443" s="785"/>
      <c r="S443" s="776"/>
      <c r="T443" s="776"/>
      <c r="U443" s="776"/>
      <c r="V443" s="776"/>
      <c r="W443" s="776"/>
      <c r="X443" s="776"/>
      <c r="Y443" s="785"/>
      <c r="Z443" s="776"/>
      <c r="AA443" s="776"/>
      <c r="AB443" s="776"/>
    </row>
    <row r="444" spans="1:28" ht="15.75" customHeight="1">
      <c r="A444" s="776"/>
      <c r="B444" s="776"/>
      <c r="C444" s="776"/>
      <c r="D444" s="776"/>
      <c r="E444" s="777"/>
      <c r="F444" s="776"/>
      <c r="G444" s="777"/>
      <c r="H444" s="776"/>
      <c r="I444" s="777"/>
      <c r="J444" s="777"/>
      <c r="K444" s="786"/>
      <c r="L444" s="777"/>
      <c r="M444" s="785"/>
      <c r="N444" s="785"/>
      <c r="O444" s="785"/>
      <c r="P444" s="785"/>
      <c r="Q444" s="785"/>
      <c r="R444" s="785"/>
      <c r="S444" s="776"/>
      <c r="T444" s="776"/>
      <c r="U444" s="776"/>
      <c r="V444" s="776"/>
      <c r="W444" s="776"/>
      <c r="X444" s="776"/>
      <c r="Y444" s="785"/>
      <c r="Z444" s="776"/>
      <c r="AA444" s="776"/>
      <c r="AB444" s="776"/>
    </row>
    <row r="445" spans="1:28" ht="15.75" customHeight="1">
      <c r="A445" s="776"/>
      <c r="B445" s="776"/>
      <c r="C445" s="776"/>
      <c r="D445" s="776"/>
      <c r="E445" s="777"/>
      <c r="F445" s="776"/>
      <c r="G445" s="777"/>
      <c r="H445" s="776"/>
      <c r="I445" s="777"/>
      <c r="J445" s="777"/>
      <c r="K445" s="786"/>
      <c r="L445" s="777"/>
      <c r="M445" s="785"/>
      <c r="N445" s="785"/>
      <c r="O445" s="785"/>
      <c r="P445" s="785"/>
      <c r="Q445" s="785"/>
      <c r="R445" s="785"/>
      <c r="S445" s="776"/>
      <c r="T445" s="776"/>
      <c r="U445" s="776"/>
      <c r="V445" s="776"/>
      <c r="W445" s="776"/>
      <c r="X445" s="776"/>
      <c r="Y445" s="785"/>
      <c r="Z445" s="776"/>
      <c r="AA445" s="776"/>
      <c r="AB445" s="776"/>
    </row>
    <row r="446" spans="1:28" ht="15.75" customHeight="1">
      <c r="A446" s="776"/>
      <c r="B446" s="776"/>
      <c r="C446" s="776"/>
      <c r="D446" s="776"/>
      <c r="E446" s="777"/>
      <c r="F446" s="776"/>
      <c r="G446" s="777"/>
      <c r="H446" s="776"/>
      <c r="I446" s="777"/>
      <c r="J446" s="777"/>
      <c r="K446" s="786"/>
      <c r="L446" s="777"/>
      <c r="M446" s="785"/>
      <c r="N446" s="785"/>
      <c r="O446" s="785"/>
      <c r="P446" s="785"/>
      <c r="Q446" s="785"/>
      <c r="R446" s="785"/>
      <c r="S446" s="776"/>
      <c r="T446" s="776"/>
      <c r="U446" s="776"/>
      <c r="V446" s="776"/>
      <c r="W446" s="776"/>
      <c r="X446" s="776"/>
      <c r="Y446" s="785"/>
      <c r="Z446" s="776"/>
      <c r="AA446" s="776"/>
      <c r="AB446" s="776"/>
    </row>
    <row r="447" spans="1:28" ht="15.75" customHeight="1">
      <c r="A447" s="776"/>
      <c r="B447" s="776"/>
      <c r="C447" s="776"/>
      <c r="D447" s="776"/>
      <c r="E447" s="777"/>
      <c r="F447" s="776"/>
      <c r="G447" s="777"/>
      <c r="H447" s="776"/>
      <c r="I447" s="777"/>
      <c r="J447" s="777"/>
      <c r="K447" s="786"/>
      <c r="L447" s="777"/>
      <c r="M447" s="785"/>
      <c r="N447" s="785"/>
      <c r="O447" s="785"/>
      <c r="P447" s="785"/>
      <c r="Q447" s="785"/>
      <c r="R447" s="785"/>
      <c r="S447" s="776"/>
      <c r="T447" s="776"/>
      <c r="U447" s="776"/>
      <c r="V447" s="776"/>
      <c r="W447" s="776"/>
      <c r="X447" s="776"/>
      <c r="Y447" s="785"/>
      <c r="Z447" s="776"/>
      <c r="AA447" s="776"/>
      <c r="AB447" s="776"/>
    </row>
    <row r="448" spans="1:28" ht="15.75" customHeight="1">
      <c r="A448" s="776"/>
      <c r="B448" s="776"/>
      <c r="C448" s="776"/>
      <c r="D448" s="776"/>
      <c r="E448" s="777"/>
      <c r="F448" s="776"/>
      <c r="G448" s="777"/>
      <c r="H448" s="776"/>
      <c r="I448" s="777"/>
      <c r="J448" s="777"/>
      <c r="K448" s="786"/>
      <c r="L448" s="777"/>
      <c r="M448" s="785"/>
      <c r="N448" s="785"/>
      <c r="O448" s="785"/>
      <c r="P448" s="785"/>
      <c r="Q448" s="785"/>
      <c r="R448" s="785"/>
      <c r="S448" s="776"/>
      <c r="T448" s="776"/>
      <c r="U448" s="776"/>
      <c r="V448" s="776"/>
      <c r="W448" s="776"/>
      <c r="X448" s="776"/>
      <c r="Y448" s="785"/>
      <c r="Z448" s="776"/>
      <c r="AA448" s="776"/>
      <c r="AB448" s="776"/>
    </row>
    <row r="449" spans="1:28" ht="15.75" customHeight="1">
      <c r="A449" s="776"/>
      <c r="B449" s="776"/>
      <c r="C449" s="776"/>
      <c r="D449" s="776"/>
      <c r="E449" s="777"/>
      <c r="F449" s="776"/>
      <c r="G449" s="777"/>
      <c r="H449" s="776"/>
      <c r="I449" s="777"/>
      <c r="J449" s="777"/>
      <c r="K449" s="786"/>
      <c r="L449" s="777"/>
      <c r="M449" s="785"/>
      <c r="N449" s="785"/>
      <c r="O449" s="785"/>
      <c r="P449" s="785"/>
      <c r="Q449" s="785"/>
      <c r="R449" s="785"/>
      <c r="S449" s="776"/>
      <c r="T449" s="776"/>
      <c r="U449" s="776"/>
      <c r="V449" s="776"/>
      <c r="W449" s="776"/>
      <c r="X449" s="776"/>
      <c r="Y449" s="785"/>
      <c r="Z449" s="776"/>
      <c r="AA449" s="776"/>
      <c r="AB449" s="776"/>
    </row>
    <row r="450" spans="1:28" ht="15.75" customHeight="1">
      <c r="A450" s="776"/>
      <c r="B450" s="776"/>
      <c r="C450" s="776"/>
      <c r="D450" s="776"/>
      <c r="E450" s="777"/>
      <c r="F450" s="776"/>
      <c r="G450" s="777"/>
      <c r="H450" s="776"/>
      <c r="I450" s="777"/>
      <c r="J450" s="777"/>
      <c r="K450" s="786"/>
      <c r="L450" s="777"/>
      <c r="M450" s="785"/>
      <c r="N450" s="785"/>
      <c r="O450" s="785"/>
      <c r="P450" s="785"/>
      <c r="Q450" s="785"/>
      <c r="R450" s="785"/>
      <c r="S450" s="776"/>
      <c r="T450" s="776"/>
      <c r="U450" s="776"/>
      <c r="V450" s="776"/>
      <c r="W450" s="776"/>
      <c r="X450" s="776"/>
      <c r="Y450" s="785"/>
      <c r="Z450" s="776"/>
      <c r="AA450" s="776"/>
      <c r="AB450" s="776"/>
    </row>
    <row r="451" spans="1:28" ht="15.75" customHeight="1">
      <c r="A451" s="776"/>
      <c r="B451" s="776"/>
      <c r="C451" s="776"/>
      <c r="D451" s="776"/>
      <c r="E451" s="777"/>
      <c r="F451" s="776"/>
      <c r="G451" s="777"/>
      <c r="H451" s="776"/>
      <c r="I451" s="777"/>
      <c r="J451" s="777"/>
      <c r="K451" s="786"/>
      <c r="L451" s="777"/>
      <c r="M451" s="785"/>
      <c r="N451" s="785"/>
      <c r="O451" s="785"/>
      <c r="P451" s="785"/>
      <c r="Q451" s="785"/>
      <c r="R451" s="785"/>
      <c r="S451" s="776"/>
      <c r="T451" s="776"/>
      <c r="U451" s="776"/>
      <c r="V451" s="776"/>
      <c r="W451" s="776"/>
      <c r="X451" s="776"/>
      <c r="Y451" s="785"/>
      <c r="Z451" s="776"/>
      <c r="AA451" s="776"/>
      <c r="AB451" s="776"/>
    </row>
    <row r="452" spans="1:28" ht="15.75" customHeight="1">
      <c r="A452" s="776"/>
      <c r="B452" s="776"/>
      <c r="C452" s="776"/>
      <c r="D452" s="776"/>
      <c r="E452" s="777"/>
      <c r="F452" s="776"/>
      <c r="G452" s="777"/>
      <c r="H452" s="776"/>
      <c r="I452" s="777"/>
      <c r="J452" s="777"/>
      <c r="K452" s="786"/>
      <c r="L452" s="777"/>
      <c r="M452" s="785"/>
      <c r="N452" s="785"/>
      <c r="O452" s="785"/>
      <c r="P452" s="785"/>
      <c r="Q452" s="785"/>
      <c r="R452" s="785"/>
      <c r="S452" s="776"/>
      <c r="T452" s="776"/>
      <c r="U452" s="776"/>
      <c r="V452" s="776"/>
      <c r="W452" s="776"/>
      <c r="X452" s="776"/>
      <c r="Y452" s="785"/>
      <c r="Z452" s="776"/>
      <c r="AA452" s="776"/>
      <c r="AB452" s="776"/>
    </row>
    <row r="453" spans="1:28" ht="15.75" customHeight="1">
      <c r="A453" s="776"/>
      <c r="B453" s="776"/>
      <c r="C453" s="776"/>
      <c r="D453" s="776"/>
      <c r="E453" s="777"/>
      <c r="F453" s="776"/>
      <c r="G453" s="777"/>
      <c r="H453" s="776"/>
      <c r="I453" s="777"/>
      <c r="J453" s="777"/>
      <c r="K453" s="786"/>
      <c r="L453" s="777"/>
      <c r="M453" s="785"/>
      <c r="N453" s="785"/>
      <c r="O453" s="785"/>
      <c r="P453" s="785"/>
      <c r="Q453" s="785"/>
      <c r="R453" s="785"/>
      <c r="S453" s="776"/>
      <c r="T453" s="776"/>
      <c r="U453" s="776"/>
      <c r="V453" s="776"/>
      <c r="W453" s="776"/>
      <c r="X453" s="776"/>
      <c r="Y453" s="785"/>
      <c r="Z453" s="776"/>
      <c r="AA453" s="776"/>
      <c r="AB453" s="776"/>
    </row>
    <row r="454" spans="1:28" ht="15.75" customHeight="1">
      <c r="A454" s="776"/>
      <c r="B454" s="776"/>
      <c r="C454" s="776"/>
      <c r="D454" s="776"/>
      <c r="E454" s="777"/>
      <c r="F454" s="776"/>
      <c r="G454" s="777"/>
      <c r="H454" s="776"/>
      <c r="I454" s="777"/>
      <c r="J454" s="777"/>
      <c r="K454" s="786"/>
      <c r="L454" s="777"/>
      <c r="M454" s="785"/>
      <c r="N454" s="785"/>
      <c r="O454" s="785"/>
      <c r="P454" s="785"/>
      <c r="Q454" s="785"/>
      <c r="R454" s="785"/>
      <c r="S454" s="776"/>
      <c r="T454" s="776"/>
      <c r="U454" s="776"/>
      <c r="V454" s="776"/>
      <c r="W454" s="776"/>
      <c r="X454" s="776"/>
      <c r="Y454" s="785"/>
      <c r="Z454" s="776"/>
      <c r="AA454" s="776"/>
      <c r="AB454" s="776"/>
    </row>
    <row r="455" spans="1:28" ht="15.75" customHeight="1">
      <c r="A455" s="776"/>
      <c r="B455" s="776"/>
      <c r="C455" s="776"/>
      <c r="D455" s="776"/>
      <c r="E455" s="777"/>
      <c r="F455" s="776"/>
      <c r="G455" s="777"/>
      <c r="H455" s="776"/>
      <c r="I455" s="777"/>
      <c r="J455" s="777"/>
      <c r="K455" s="786"/>
      <c r="L455" s="777"/>
      <c r="M455" s="785"/>
      <c r="N455" s="785"/>
      <c r="O455" s="785"/>
      <c r="P455" s="785"/>
      <c r="Q455" s="785"/>
      <c r="R455" s="785"/>
      <c r="S455" s="776"/>
      <c r="T455" s="776"/>
      <c r="U455" s="776"/>
      <c r="V455" s="776"/>
      <c r="W455" s="776"/>
      <c r="X455" s="776"/>
      <c r="Y455" s="785"/>
      <c r="Z455" s="776"/>
      <c r="AA455" s="776"/>
      <c r="AB455" s="776"/>
    </row>
    <row r="456" spans="1:28" ht="15.75" customHeight="1">
      <c r="A456" s="776"/>
      <c r="B456" s="776"/>
      <c r="C456" s="776"/>
      <c r="D456" s="776"/>
      <c r="E456" s="777"/>
      <c r="F456" s="776"/>
      <c r="G456" s="777"/>
      <c r="H456" s="776"/>
      <c r="I456" s="777"/>
      <c r="J456" s="777"/>
      <c r="K456" s="786"/>
      <c r="L456" s="777"/>
      <c r="M456" s="785"/>
      <c r="N456" s="785"/>
      <c r="O456" s="785"/>
      <c r="P456" s="785"/>
      <c r="Q456" s="785"/>
      <c r="R456" s="785"/>
      <c r="S456" s="776"/>
      <c r="T456" s="776"/>
      <c r="U456" s="776"/>
      <c r="V456" s="776"/>
      <c r="W456" s="776"/>
      <c r="X456" s="776"/>
      <c r="Y456" s="785"/>
      <c r="Z456" s="776"/>
      <c r="AA456" s="776"/>
      <c r="AB456" s="776"/>
    </row>
    <row r="457" spans="1:28" ht="15.75" customHeight="1">
      <c r="A457" s="776"/>
      <c r="B457" s="776"/>
      <c r="C457" s="776"/>
      <c r="D457" s="776"/>
      <c r="E457" s="777"/>
      <c r="F457" s="776"/>
      <c r="G457" s="777"/>
      <c r="H457" s="776"/>
      <c r="I457" s="777"/>
      <c r="J457" s="777"/>
      <c r="K457" s="786"/>
      <c r="L457" s="777"/>
      <c r="M457" s="785"/>
      <c r="N457" s="785"/>
      <c r="O457" s="785"/>
      <c r="P457" s="785"/>
      <c r="Q457" s="785"/>
      <c r="R457" s="785"/>
      <c r="S457" s="776"/>
      <c r="T457" s="776"/>
      <c r="U457" s="776"/>
      <c r="V457" s="776"/>
      <c r="W457" s="776"/>
      <c r="X457" s="776"/>
      <c r="Y457" s="785"/>
      <c r="Z457" s="776"/>
      <c r="AA457" s="776"/>
      <c r="AB457" s="776"/>
    </row>
    <row r="458" spans="1:28" ht="15.75" customHeight="1">
      <c r="A458" s="776"/>
      <c r="B458" s="776"/>
      <c r="C458" s="776"/>
      <c r="D458" s="776"/>
      <c r="E458" s="777"/>
      <c r="F458" s="776"/>
      <c r="G458" s="777"/>
      <c r="H458" s="776"/>
      <c r="I458" s="777"/>
      <c r="J458" s="777"/>
      <c r="K458" s="786"/>
      <c r="L458" s="777"/>
      <c r="M458" s="785"/>
      <c r="N458" s="785"/>
      <c r="O458" s="785"/>
      <c r="P458" s="785"/>
      <c r="Q458" s="785"/>
      <c r="R458" s="785"/>
      <c r="S458" s="776"/>
      <c r="T458" s="776"/>
      <c r="U458" s="776"/>
      <c r="V458" s="776"/>
      <c r="W458" s="776"/>
      <c r="X458" s="776"/>
      <c r="Y458" s="785"/>
      <c r="Z458" s="776"/>
      <c r="AA458" s="776"/>
      <c r="AB458" s="776"/>
    </row>
    <row r="459" spans="1:28" ht="15.75" customHeight="1">
      <c r="A459" s="776"/>
      <c r="B459" s="776"/>
      <c r="C459" s="776"/>
      <c r="D459" s="776"/>
      <c r="E459" s="777"/>
      <c r="F459" s="776"/>
      <c r="G459" s="777"/>
      <c r="H459" s="776"/>
      <c r="I459" s="777"/>
      <c r="J459" s="777"/>
      <c r="K459" s="786"/>
      <c r="L459" s="777"/>
      <c r="M459" s="785"/>
      <c r="N459" s="785"/>
      <c r="O459" s="785"/>
      <c r="P459" s="785"/>
      <c r="Q459" s="785"/>
      <c r="R459" s="785"/>
      <c r="S459" s="776"/>
      <c r="T459" s="776"/>
      <c r="U459" s="776"/>
      <c r="V459" s="776"/>
      <c r="W459" s="776"/>
      <c r="X459" s="776"/>
      <c r="Y459" s="785"/>
      <c r="Z459" s="776"/>
      <c r="AA459" s="776"/>
      <c r="AB459" s="776"/>
    </row>
    <row r="460" spans="1:28" ht="15.75" customHeight="1">
      <c r="A460" s="776"/>
      <c r="B460" s="776"/>
      <c r="C460" s="776"/>
      <c r="D460" s="776"/>
      <c r="E460" s="777"/>
      <c r="F460" s="776"/>
      <c r="G460" s="777"/>
      <c r="H460" s="776"/>
      <c r="I460" s="777"/>
      <c r="J460" s="777"/>
      <c r="K460" s="786"/>
      <c r="L460" s="777"/>
      <c r="M460" s="785"/>
      <c r="N460" s="785"/>
      <c r="O460" s="785"/>
      <c r="P460" s="785"/>
      <c r="Q460" s="785"/>
      <c r="R460" s="785"/>
      <c r="S460" s="776"/>
      <c r="T460" s="776"/>
      <c r="U460" s="776"/>
      <c r="V460" s="776"/>
      <c r="W460" s="776"/>
      <c r="X460" s="776"/>
      <c r="Y460" s="785"/>
      <c r="Z460" s="776"/>
      <c r="AA460" s="776"/>
      <c r="AB460" s="776"/>
    </row>
    <row r="461" spans="1:28" ht="15.75" customHeight="1">
      <c r="A461" s="776"/>
      <c r="B461" s="776"/>
      <c r="C461" s="776"/>
      <c r="D461" s="776"/>
      <c r="E461" s="777"/>
      <c r="F461" s="776"/>
      <c r="G461" s="777"/>
      <c r="H461" s="776"/>
      <c r="I461" s="777"/>
      <c r="J461" s="777"/>
      <c r="K461" s="786"/>
      <c r="L461" s="777"/>
      <c r="M461" s="785"/>
      <c r="N461" s="785"/>
      <c r="O461" s="785"/>
      <c r="P461" s="785"/>
      <c r="Q461" s="785"/>
      <c r="R461" s="785"/>
      <c r="S461" s="776"/>
      <c r="T461" s="776"/>
      <c r="U461" s="776"/>
      <c r="V461" s="776"/>
      <c r="W461" s="776"/>
      <c r="X461" s="776"/>
      <c r="Y461" s="785"/>
      <c r="Z461" s="776"/>
      <c r="AA461" s="776"/>
      <c r="AB461" s="776"/>
    </row>
    <row r="462" spans="1:28" ht="15.75" customHeight="1">
      <c r="A462" s="776"/>
      <c r="B462" s="776"/>
      <c r="C462" s="776"/>
      <c r="D462" s="776"/>
      <c r="E462" s="777"/>
      <c r="F462" s="776"/>
      <c r="G462" s="777"/>
      <c r="H462" s="776"/>
      <c r="I462" s="777"/>
      <c r="J462" s="777"/>
      <c r="K462" s="786"/>
      <c r="L462" s="777"/>
      <c r="M462" s="785"/>
      <c r="N462" s="785"/>
      <c r="O462" s="785"/>
      <c r="P462" s="785"/>
      <c r="Q462" s="785"/>
      <c r="R462" s="785"/>
      <c r="S462" s="776"/>
      <c r="T462" s="776"/>
      <c r="U462" s="776"/>
      <c r="V462" s="776"/>
      <c r="W462" s="776"/>
      <c r="X462" s="776"/>
      <c r="Y462" s="785"/>
      <c r="Z462" s="776"/>
      <c r="AA462" s="776"/>
      <c r="AB462" s="776"/>
    </row>
    <row r="463" spans="1:28" ht="15.75" customHeight="1">
      <c r="A463" s="776"/>
      <c r="B463" s="776"/>
      <c r="C463" s="776"/>
      <c r="D463" s="776"/>
      <c r="E463" s="777"/>
      <c r="F463" s="776"/>
      <c r="G463" s="777"/>
      <c r="H463" s="776"/>
      <c r="I463" s="777"/>
      <c r="J463" s="777"/>
      <c r="K463" s="786"/>
      <c r="L463" s="777"/>
      <c r="M463" s="785"/>
      <c r="N463" s="785"/>
      <c r="O463" s="785"/>
      <c r="P463" s="785"/>
      <c r="Q463" s="785"/>
      <c r="R463" s="785"/>
      <c r="S463" s="776"/>
      <c r="T463" s="776"/>
      <c r="U463" s="776"/>
      <c r="V463" s="776"/>
      <c r="W463" s="776"/>
      <c r="X463" s="776"/>
      <c r="Y463" s="785"/>
      <c r="Z463" s="776"/>
      <c r="AA463" s="776"/>
      <c r="AB463" s="776"/>
    </row>
    <row r="464" spans="1:28" ht="15.75" customHeight="1">
      <c r="A464" s="776"/>
      <c r="B464" s="776"/>
      <c r="C464" s="776"/>
      <c r="D464" s="776"/>
      <c r="E464" s="777"/>
      <c r="F464" s="776"/>
      <c r="G464" s="777"/>
      <c r="H464" s="776"/>
      <c r="I464" s="777"/>
      <c r="J464" s="777"/>
      <c r="K464" s="786"/>
      <c r="L464" s="777"/>
      <c r="M464" s="785"/>
      <c r="N464" s="785"/>
      <c r="O464" s="785"/>
      <c r="P464" s="785"/>
      <c r="Q464" s="785"/>
      <c r="R464" s="785"/>
      <c r="S464" s="776"/>
      <c r="T464" s="776"/>
      <c r="U464" s="776"/>
      <c r="V464" s="776"/>
      <c r="W464" s="776"/>
      <c r="X464" s="776"/>
      <c r="Y464" s="785"/>
      <c r="Z464" s="776"/>
      <c r="AA464" s="776"/>
      <c r="AB464" s="776"/>
    </row>
    <row r="465" spans="1:28" ht="15.75" customHeight="1">
      <c r="A465" s="776"/>
      <c r="B465" s="776"/>
      <c r="C465" s="776"/>
      <c r="D465" s="776"/>
      <c r="E465" s="777"/>
      <c r="F465" s="776"/>
      <c r="G465" s="777"/>
      <c r="H465" s="776"/>
      <c r="I465" s="777"/>
      <c r="J465" s="777"/>
      <c r="K465" s="786"/>
      <c r="L465" s="777"/>
      <c r="M465" s="785"/>
      <c r="N465" s="785"/>
      <c r="O465" s="785"/>
      <c r="P465" s="785"/>
      <c r="Q465" s="785"/>
      <c r="R465" s="785"/>
      <c r="S465" s="776"/>
      <c r="T465" s="776"/>
      <c r="U465" s="776"/>
      <c r="V465" s="776"/>
      <c r="W465" s="776"/>
      <c r="X465" s="776"/>
      <c r="Y465" s="785"/>
      <c r="Z465" s="776"/>
      <c r="AA465" s="776"/>
      <c r="AB465" s="776"/>
    </row>
    <row r="466" spans="1:28" ht="15.75" customHeight="1">
      <c r="A466" s="776"/>
      <c r="B466" s="776"/>
      <c r="C466" s="776"/>
      <c r="D466" s="776"/>
      <c r="E466" s="777"/>
      <c r="F466" s="776"/>
      <c r="G466" s="777"/>
      <c r="H466" s="776"/>
      <c r="I466" s="777"/>
      <c r="J466" s="777"/>
      <c r="K466" s="786"/>
      <c r="L466" s="777"/>
      <c r="M466" s="785"/>
      <c r="N466" s="785"/>
      <c r="O466" s="785"/>
      <c r="P466" s="785"/>
      <c r="Q466" s="785"/>
      <c r="R466" s="785"/>
      <c r="S466" s="776"/>
      <c r="T466" s="776"/>
      <c r="U466" s="776"/>
      <c r="V466" s="776"/>
      <c r="W466" s="776"/>
      <c r="X466" s="776"/>
      <c r="Y466" s="785"/>
      <c r="Z466" s="776"/>
      <c r="AA466" s="776"/>
      <c r="AB466" s="776"/>
    </row>
    <row r="467" spans="1:28" ht="15.75" customHeight="1">
      <c r="A467" s="776"/>
      <c r="B467" s="776"/>
      <c r="C467" s="776"/>
      <c r="D467" s="776"/>
      <c r="E467" s="777"/>
      <c r="F467" s="776"/>
      <c r="G467" s="777"/>
      <c r="H467" s="776"/>
      <c r="I467" s="777"/>
      <c r="J467" s="777"/>
      <c r="K467" s="786"/>
      <c r="L467" s="777"/>
      <c r="M467" s="785"/>
      <c r="N467" s="785"/>
      <c r="O467" s="785"/>
      <c r="P467" s="785"/>
      <c r="Q467" s="785"/>
      <c r="R467" s="785"/>
      <c r="S467" s="776"/>
      <c r="T467" s="776"/>
      <c r="U467" s="776"/>
      <c r="V467" s="776"/>
      <c r="W467" s="776"/>
      <c r="X467" s="776"/>
      <c r="Y467" s="785"/>
      <c r="Z467" s="776"/>
      <c r="AA467" s="776"/>
      <c r="AB467" s="776"/>
    </row>
    <row r="468" spans="1:28" ht="15.75" customHeight="1">
      <c r="A468" s="776"/>
      <c r="B468" s="776"/>
      <c r="C468" s="776"/>
      <c r="D468" s="776"/>
      <c r="E468" s="777"/>
      <c r="F468" s="776"/>
      <c r="G468" s="777"/>
      <c r="H468" s="776"/>
      <c r="I468" s="777"/>
      <c r="J468" s="777"/>
      <c r="K468" s="786"/>
      <c r="L468" s="777"/>
      <c r="M468" s="785"/>
      <c r="N468" s="785"/>
      <c r="O468" s="785"/>
      <c r="P468" s="785"/>
      <c r="Q468" s="785"/>
      <c r="R468" s="785"/>
      <c r="S468" s="776"/>
      <c r="T468" s="776"/>
      <c r="U468" s="776"/>
      <c r="V468" s="776"/>
      <c r="W468" s="776"/>
      <c r="X468" s="776"/>
      <c r="Y468" s="785"/>
      <c r="Z468" s="776"/>
      <c r="AA468" s="776"/>
      <c r="AB468" s="776"/>
    </row>
    <row r="469" spans="1:28" ht="15.75" customHeight="1">
      <c r="A469" s="776"/>
      <c r="B469" s="776"/>
      <c r="C469" s="776"/>
      <c r="D469" s="776"/>
      <c r="E469" s="777"/>
      <c r="F469" s="776"/>
      <c r="G469" s="777"/>
      <c r="H469" s="776"/>
      <c r="I469" s="777"/>
      <c r="J469" s="777"/>
      <c r="K469" s="786"/>
      <c r="L469" s="777"/>
      <c r="M469" s="785"/>
      <c r="N469" s="785"/>
      <c r="O469" s="785"/>
      <c r="P469" s="785"/>
      <c r="Q469" s="785"/>
      <c r="R469" s="785"/>
      <c r="S469" s="776"/>
      <c r="T469" s="776"/>
      <c r="U469" s="776"/>
      <c r="V469" s="776"/>
      <c r="W469" s="776"/>
      <c r="X469" s="776"/>
      <c r="Y469" s="785"/>
      <c r="Z469" s="776"/>
      <c r="AA469" s="776"/>
      <c r="AB469" s="776"/>
    </row>
    <row r="470" spans="1:28" ht="15.75" customHeight="1">
      <c r="A470" s="776"/>
      <c r="B470" s="776"/>
      <c r="C470" s="776"/>
      <c r="D470" s="776"/>
      <c r="E470" s="777"/>
      <c r="F470" s="776"/>
      <c r="G470" s="777"/>
      <c r="H470" s="776"/>
      <c r="I470" s="777"/>
      <c r="J470" s="777"/>
      <c r="K470" s="786"/>
      <c r="L470" s="777"/>
      <c r="M470" s="785"/>
      <c r="N470" s="785"/>
      <c r="O470" s="785"/>
      <c r="P470" s="785"/>
      <c r="Q470" s="785"/>
      <c r="R470" s="785"/>
      <c r="S470" s="776"/>
      <c r="T470" s="776"/>
      <c r="U470" s="776"/>
      <c r="V470" s="776"/>
      <c r="W470" s="776"/>
      <c r="X470" s="776"/>
      <c r="Y470" s="785"/>
      <c r="Z470" s="776"/>
      <c r="AA470" s="776"/>
      <c r="AB470" s="776"/>
    </row>
    <row r="471" spans="1:28" ht="15.75" customHeight="1">
      <c r="A471" s="776"/>
      <c r="B471" s="776"/>
      <c r="C471" s="776"/>
      <c r="D471" s="776"/>
      <c r="E471" s="777"/>
      <c r="F471" s="776"/>
      <c r="G471" s="777"/>
      <c r="H471" s="776"/>
      <c r="I471" s="777"/>
      <c r="J471" s="777"/>
      <c r="K471" s="786"/>
      <c r="L471" s="777"/>
      <c r="M471" s="785"/>
      <c r="N471" s="785"/>
      <c r="O471" s="785"/>
      <c r="P471" s="785"/>
      <c r="Q471" s="785"/>
      <c r="R471" s="785"/>
      <c r="S471" s="776"/>
      <c r="T471" s="776"/>
      <c r="U471" s="776"/>
      <c r="V471" s="776"/>
      <c r="W471" s="776"/>
      <c r="X471" s="776"/>
      <c r="Y471" s="785"/>
      <c r="Z471" s="776"/>
      <c r="AA471" s="776"/>
      <c r="AB471" s="776"/>
    </row>
    <row r="472" spans="1:28" ht="15.75" customHeight="1">
      <c r="A472" s="776"/>
      <c r="B472" s="776"/>
      <c r="C472" s="776"/>
      <c r="D472" s="776"/>
      <c r="E472" s="777"/>
      <c r="F472" s="776"/>
      <c r="G472" s="777"/>
      <c r="H472" s="776"/>
      <c r="I472" s="777"/>
      <c r="J472" s="777"/>
      <c r="K472" s="786"/>
      <c r="L472" s="777"/>
      <c r="M472" s="785"/>
      <c r="N472" s="785"/>
      <c r="O472" s="785"/>
      <c r="P472" s="785"/>
      <c r="Q472" s="785"/>
      <c r="R472" s="785"/>
      <c r="S472" s="776"/>
      <c r="T472" s="776"/>
      <c r="U472" s="776"/>
      <c r="V472" s="776"/>
      <c r="W472" s="776"/>
      <c r="X472" s="776"/>
      <c r="Y472" s="785"/>
      <c r="Z472" s="776"/>
      <c r="AA472" s="776"/>
      <c r="AB472" s="776"/>
    </row>
    <row r="473" spans="1:28" ht="15.75" customHeight="1">
      <c r="A473" s="776"/>
      <c r="B473" s="776"/>
      <c r="C473" s="776"/>
      <c r="D473" s="776"/>
      <c r="E473" s="777"/>
      <c r="F473" s="776"/>
      <c r="G473" s="777"/>
      <c r="H473" s="776"/>
      <c r="I473" s="777"/>
      <c r="J473" s="777"/>
      <c r="K473" s="786"/>
      <c r="L473" s="777"/>
      <c r="M473" s="785"/>
      <c r="N473" s="785"/>
      <c r="O473" s="785"/>
      <c r="P473" s="785"/>
      <c r="Q473" s="785"/>
      <c r="R473" s="785"/>
      <c r="S473" s="776"/>
      <c r="T473" s="776"/>
      <c r="U473" s="776"/>
      <c r="V473" s="776"/>
      <c r="W473" s="776"/>
      <c r="X473" s="776"/>
      <c r="Y473" s="785"/>
      <c r="Z473" s="776"/>
      <c r="AA473" s="776"/>
      <c r="AB473" s="776"/>
    </row>
    <row r="474" spans="1:28" ht="15.75" customHeight="1">
      <c r="A474" s="776"/>
      <c r="B474" s="776"/>
      <c r="C474" s="776"/>
      <c r="D474" s="776"/>
      <c r="E474" s="777"/>
      <c r="F474" s="776"/>
      <c r="G474" s="777"/>
      <c r="H474" s="776"/>
      <c r="I474" s="777"/>
      <c r="J474" s="777"/>
      <c r="K474" s="786"/>
      <c r="L474" s="777"/>
      <c r="M474" s="785"/>
      <c r="N474" s="785"/>
      <c r="O474" s="785"/>
      <c r="P474" s="785"/>
      <c r="Q474" s="785"/>
      <c r="R474" s="785"/>
      <c r="S474" s="776"/>
      <c r="T474" s="776"/>
      <c r="U474" s="776"/>
      <c r="V474" s="776"/>
      <c r="W474" s="776"/>
      <c r="X474" s="776"/>
      <c r="Y474" s="785"/>
      <c r="Z474" s="776"/>
      <c r="AA474" s="776"/>
      <c r="AB474" s="776"/>
    </row>
    <row r="475" spans="1:28" ht="15.75" customHeight="1">
      <c r="A475" s="776"/>
      <c r="B475" s="776"/>
      <c r="C475" s="776"/>
      <c r="D475" s="776"/>
      <c r="E475" s="777"/>
      <c r="F475" s="776"/>
      <c r="G475" s="777"/>
      <c r="H475" s="776"/>
      <c r="I475" s="777"/>
      <c r="J475" s="777"/>
      <c r="K475" s="786"/>
      <c r="L475" s="777"/>
      <c r="M475" s="785"/>
      <c r="N475" s="785"/>
      <c r="O475" s="785"/>
      <c r="P475" s="785"/>
      <c r="Q475" s="785"/>
      <c r="R475" s="785"/>
      <c r="S475" s="776"/>
      <c r="T475" s="776"/>
      <c r="U475" s="776"/>
      <c r="V475" s="776"/>
      <c r="W475" s="776"/>
      <c r="X475" s="776"/>
      <c r="Y475" s="785"/>
      <c r="Z475" s="776"/>
      <c r="AA475" s="776"/>
      <c r="AB475" s="776"/>
    </row>
    <row r="476" spans="1:28" ht="15.75" customHeight="1">
      <c r="A476" s="776"/>
      <c r="B476" s="776"/>
      <c r="C476" s="776"/>
      <c r="D476" s="776"/>
      <c r="E476" s="777"/>
      <c r="F476" s="776"/>
      <c r="G476" s="777"/>
      <c r="H476" s="776"/>
      <c r="I476" s="777"/>
      <c r="J476" s="777"/>
      <c r="K476" s="786"/>
      <c r="L476" s="777"/>
      <c r="M476" s="785"/>
      <c r="N476" s="785"/>
      <c r="O476" s="785"/>
      <c r="P476" s="785"/>
      <c r="Q476" s="785"/>
      <c r="R476" s="785"/>
      <c r="S476" s="776"/>
      <c r="T476" s="776"/>
      <c r="U476" s="776"/>
      <c r="V476" s="776"/>
      <c r="W476" s="776"/>
      <c r="X476" s="776"/>
      <c r="Y476" s="785"/>
      <c r="Z476" s="776"/>
      <c r="AA476" s="776"/>
      <c r="AB476" s="776"/>
    </row>
    <row r="477" spans="1:28" ht="15.75" customHeight="1">
      <c r="A477" s="776"/>
      <c r="B477" s="776"/>
      <c r="C477" s="776"/>
      <c r="D477" s="776"/>
      <c r="E477" s="777"/>
      <c r="F477" s="776"/>
      <c r="G477" s="777"/>
      <c r="H477" s="776"/>
      <c r="I477" s="777"/>
      <c r="J477" s="777"/>
      <c r="K477" s="786"/>
      <c r="L477" s="777"/>
      <c r="M477" s="785"/>
      <c r="N477" s="785"/>
      <c r="O477" s="785"/>
      <c r="P477" s="785"/>
      <c r="Q477" s="785"/>
      <c r="R477" s="785"/>
      <c r="S477" s="776"/>
      <c r="T477" s="776"/>
      <c r="U477" s="776"/>
      <c r="V477" s="776"/>
      <c r="W477" s="776"/>
      <c r="X477" s="776"/>
      <c r="Y477" s="785"/>
      <c r="Z477" s="776"/>
      <c r="AA477" s="776"/>
      <c r="AB477" s="776"/>
    </row>
    <row r="478" spans="1:28" ht="15.75" customHeight="1">
      <c r="A478" s="776"/>
      <c r="B478" s="776"/>
      <c r="C478" s="776"/>
      <c r="D478" s="776"/>
      <c r="E478" s="777"/>
      <c r="F478" s="776"/>
      <c r="G478" s="777"/>
      <c r="H478" s="776"/>
      <c r="I478" s="777"/>
      <c r="J478" s="777"/>
      <c r="K478" s="786"/>
      <c r="L478" s="777"/>
      <c r="M478" s="785"/>
      <c r="N478" s="785"/>
      <c r="O478" s="785"/>
      <c r="P478" s="785"/>
      <c r="Q478" s="785"/>
      <c r="R478" s="785"/>
      <c r="S478" s="776"/>
      <c r="T478" s="776"/>
      <c r="U478" s="776"/>
      <c r="V478" s="776"/>
      <c r="W478" s="776"/>
      <c r="X478" s="776"/>
      <c r="Y478" s="785"/>
      <c r="Z478" s="776"/>
      <c r="AA478" s="776"/>
      <c r="AB478" s="776"/>
    </row>
    <row r="479" spans="1:28" ht="15.75" customHeight="1">
      <c r="A479" s="776"/>
      <c r="B479" s="776"/>
      <c r="C479" s="776"/>
      <c r="D479" s="776"/>
      <c r="E479" s="777"/>
      <c r="F479" s="776"/>
      <c r="G479" s="777"/>
      <c r="H479" s="776"/>
      <c r="I479" s="777"/>
      <c r="J479" s="777"/>
      <c r="K479" s="786"/>
      <c r="L479" s="777"/>
      <c r="M479" s="785"/>
      <c r="N479" s="785"/>
      <c r="O479" s="785"/>
      <c r="P479" s="785"/>
      <c r="Q479" s="785"/>
      <c r="R479" s="785"/>
      <c r="S479" s="776"/>
      <c r="T479" s="776"/>
      <c r="U479" s="776"/>
      <c r="V479" s="776"/>
      <c r="W479" s="776"/>
      <c r="X479" s="776"/>
      <c r="Y479" s="785"/>
      <c r="Z479" s="776"/>
      <c r="AA479" s="776"/>
      <c r="AB479" s="776"/>
    </row>
    <row r="480" spans="1:28" ht="15.75" customHeight="1">
      <c r="A480" s="776"/>
      <c r="B480" s="776"/>
      <c r="C480" s="776"/>
      <c r="D480" s="776"/>
      <c r="E480" s="777"/>
      <c r="F480" s="776"/>
      <c r="G480" s="777"/>
      <c r="H480" s="776"/>
      <c r="I480" s="777"/>
      <c r="J480" s="777"/>
      <c r="K480" s="786"/>
      <c r="L480" s="777"/>
      <c r="M480" s="785"/>
      <c r="N480" s="785"/>
      <c r="O480" s="785"/>
      <c r="P480" s="785"/>
      <c r="Q480" s="785"/>
      <c r="R480" s="785"/>
      <c r="S480" s="776"/>
      <c r="T480" s="776"/>
      <c r="U480" s="776"/>
      <c r="V480" s="776"/>
      <c r="W480" s="776"/>
      <c r="X480" s="776"/>
      <c r="Y480" s="785"/>
      <c r="Z480" s="776"/>
      <c r="AA480" s="776"/>
      <c r="AB480" s="776"/>
    </row>
    <row r="481" spans="1:28" ht="15.75" customHeight="1">
      <c r="A481" s="776"/>
      <c r="B481" s="776"/>
      <c r="C481" s="776"/>
      <c r="D481" s="776"/>
      <c r="E481" s="777"/>
      <c r="F481" s="776"/>
      <c r="G481" s="777"/>
      <c r="H481" s="776"/>
      <c r="I481" s="777"/>
      <c r="J481" s="777"/>
      <c r="K481" s="786"/>
      <c r="L481" s="777"/>
      <c r="M481" s="785"/>
      <c r="N481" s="785"/>
      <c r="O481" s="785"/>
      <c r="P481" s="785"/>
      <c r="Q481" s="785"/>
      <c r="R481" s="785"/>
      <c r="S481" s="776"/>
      <c r="T481" s="776"/>
      <c r="U481" s="776"/>
      <c r="V481" s="776"/>
      <c r="W481" s="776"/>
      <c r="X481" s="776"/>
      <c r="Y481" s="785"/>
      <c r="Z481" s="776"/>
      <c r="AA481" s="776"/>
      <c r="AB481" s="776"/>
    </row>
    <row r="482" spans="1:28" ht="15.75" customHeight="1">
      <c r="A482" s="776"/>
      <c r="B482" s="776"/>
      <c r="C482" s="776"/>
      <c r="D482" s="776"/>
      <c r="E482" s="777"/>
      <c r="F482" s="776"/>
      <c r="G482" s="777"/>
      <c r="H482" s="776"/>
      <c r="I482" s="777"/>
      <c r="J482" s="777"/>
      <c r="K482" s="786"/>
      <c r="L482" s="777"/>
      <c r="M482" s="785"/>
      <c r="N482" s="785"/>
      <c r="O482" s="785"/>
      <c r="P482" s="785"/>
      <c r="Q482" s="785"/>
      <c r="R482" s="785"/>
      <c r="S482" s="776"/>
      <c r="T482" s="776"/>
      <c r="U482" s="776"/>
      <c r="V482" s="776"/>
      <c r="W482" s="776"/>
      <c r="X482" s="776"/>
      <c r="Y482" s="785"/>
      <c r="Z482" s="776"/>
      <c r="AA482" s="776"/>
      <c r="AB482" s="776"/>
    </row>
    <row r="483" spans="1:28" ht="15.75" customHeight="1">
      <c r="A483" s="776"/>
      <c r="B483" s="776"/>
      <c r="C483" s="776"/>
      <c r="D483" s="776"/>
      <c r="E483" s="777"/>
      <c r="F483" s="776"/>
      <c r="G483" s="777"/>
      <c r="H483" s="776"/>
      <c r="I483" s="777"/>
      <c r="J483" s="777"/>
      <c r="K483" s="786"/>
      <c r="L483" s="777"/>
      <c r="M483" s="785"/>
      <c r="N483" s="785"/>
      <c r="O483" s="785"/>
      <c r="P483" s="785"/>
      <c r="Q483" s="785"/>
      <c r="R483" s="785"/>
      <c r="S483" s="776"/>
      <c r="T483" s="776"/>
      <c r="U483" s="776"/>
      <c r="V483" s="776"/>
      <c r="W483" s="776"/>
      <c r="X483" s="776"/>
      <c r="Y483" s="785"/>
      <c r="Z483" s="776"/>
      <c r="AA483" s="776"/>
      <c r="AB483" s="776"/>
    </row>
    <row r="484" spans="1:28" ht="15.75" customHeight="1">
      <c r="A484" s="776"/>
      <c r="B484" s="776"/>
      <c r="C484" s="776"/>
      <c r="D484" s="776"/>
      <c r="E484" s="777"/>
      <c r="F484" s="776"/>
      <c r="G484" s="777"/>
      <c r="H484" s="776"/>
      <c r="I484" s="777"/>
      <c r="J484" s="777"/>
      <c r="K484" s="786"/>
      <c r="L484" s="777"/>
      <c r="M484" s="785"/>
      <c r="N484" s="785"/>
      <c r="O484" s="785"/>
      <c r="P484" s="785"/>
      <c r="Q484" s="785"/>
      <c r="R484" s="785"/>
      <c r="S484" s="776"/>
      <c r="T484" s="776"/>
      <c r="U484" s="776"/>
      <c r="V484" s="776"/>
      <c r="W484" s="776"/>
      <c r="X484" s="776"/>
      <c r="Y484" s="785"/>
      <c r="Z484" s="776"/>
      <c r="AA484" s="776"/>
      <c r="AB484" s="776"/>
    </row>
    <row r="485" spans="1:28" ht="15.75" customHeight="1">
      <c r="A485" s="776"/>
      <c r="B485" s="776"/>
      <c r="C485" s="776"/>
      <c r="D485" s="776"/>
      <c r="E485" s="777"/>
      <c r="F485" s="776"/>
      <c r="G485" s="777"/>
      <c r="H485" s="776"/>
      <c r="I485" s="777"/>
      <c r="J485" s="777"/>
      <c r="K485" s="786"/>
      <c r="L485" s="777"/>
      <c r="M485" s="785"/>
      <c r="N485" s="785"/>
      <c r="O485" s="785"/>
      <c r="P485" s="785"/>
      <c r="Q485" s="785"/>
      <c r="R485" s="785"/>
      <c r="S485" s="776"/>
      <c r="T485" s="776"/>
      <c r="U485" s="776"/>
      <c r="V485" s="776"/>
      <c r="W485" s="776"/>
      <c r="X485" s="776"/>
      <c r="Y485" s="785"/>
      <c r="Z485" s="776"/>
      <c r="AA485" s="776"/>
      <c r="AB485" s="776"/>
    </row>
    <row r="486" spans="1:28" ht="15.75" customHeight="1">
      <c r="A486" s="776"/>
      <c r="B486" s="776"/>
      <c r="C486" s="776"/>
      <c r="D486" s="776"/>
      <c r="E486" s="777"/>
      <c r="F486" s="776"/>
      <c r="G486" s="777"/>
      <c r="H486" s="776"/>
      <c r="I486" s="777"/>
      <c r="J486" s="777"/>
      <c r="K486" s="786"/>
      <c r="L486" s="777"/>
      <c r="M486" s="785"/>
      <c r="N486" s="785"/>
      <c r="O486" s="785"/>
      <c r="P486" s="785"/>
      <c r="Q486" s="785"/>
      <c r="R486" s="785"/>
      <c r="S486" s="776"/>
      <c r="T486" s="776"/>
      <c r="U486" s="776"/>
      <c r="V486" s="776"/>
      <c r="W486" s="776"/>
      <c r="X486" s="776"/>
      <c r="Y486" s="785"/>
      <c r="Z486" s="776"/>
      <c r="AA486" s="776"/>
      <c r="AB486" s="776"/>
    </row>
    <row r="487" spans="1:28" ht="15.75" customHeight="1">
      <c r="A487" s="776"/>
      <c r="B487" s="776"/>
      <c r="C487" s="776"/>
      <c r="D487" s="776"/>
      <c r="E487" s="777"/>
      <c r="F487" s="776"/>
      <c r="G487" s="777"/>
      <c r="H487" s="776"/>
      <c r="I487" s="777"/>
      <c r="J487" s="777"/>
      <c r="K487" s="786"/>
      <c r="L487" s="777"/>
      <c r="M487" s="785"/>
      <c r="N487" s="785"/>
      <c r="O487" s="785"/>
      <c r="P487" s="785"/>
      <c r="Q487" s="785"/>
      <c r="R487" s="785"/>
      <c r="S487" s="776"/>
      <c r="T487" s="776"/>
      <c r="U487" s="776"/>
      <c r="V487" s="776"/>
      <c r="W487" s="776"/>
      <c r="X487" s="776"/>
      <c r="Y487" s="785"/>
      <c r="Z487" s="776"/>
      <c r="AA487" s="776"/>
      <c r="AB487" s="776"/>
    </row>
    <row r="488" spans="1:28" ht="15.75" customHeight="1">
      <c r="A488" s="776"/>
      <c r="B488" s="776"/>
      <c r="C488" s="776"/>
      <c r="D488" s="776"/>
      <c r="E488" s="777"/>
      <c r="F488" s="776"/>
      <c r="G488" s="777"/>
      <c r="H488" s="776"/>
      <c r="I488" s="777"/>
      <c r="J488" s="777"/>
      <c r="K488" s="786"/>
      <c r="L488" s="777"/>
      <c r="M488" s="785"/>
      <c r="N488" s="785"/>
      <c r="O488" s="785"/>
      <c r="P488" s="785"/>
      <c r="Q488" s="785"/>
      <c r="R488" s="785"/>
      <c r="S488" s="776"/>
      <c r="T488" s="776"/>
      <c r="U488" s="776"/>
      <c r="V488" s="776"/>
      <c r="W488" s="776"/>
      <c r="X488" s="776"/>
      <c r="Y488" s="785"/>
      <c r="Z488" s="776"/>
      <c r="AA488" s="776"/>
      <c r="AB488" s="776"/>
    </row>
    <row r="489" spans="1:28" ht="15.75" customHeight="1">
      <c r="A489" s="776"/>
      <c r="B489" s="776"/>
      <c r="C489" s="776"/>
      <c r="D489" s="776"/>
      <c r="E489" s="777"/>
      <c r="F489" s="776"/>
      <c r="G489" s="777"/>
      <c r="H489" s="776"/>
      <c r="I489" s="777"/>
      <c r="J489" s="777"/>
      <c r="K489" s="786"/>
      <c r="L489" s="777"/>
      <c r="M489" s="785"/>
      <c r="N489" s="785"/>
      <c r="O489" s="785"/>
      <c r="P489" s="785"/>
      <c r="Q489" s="785"/>
      <c r="R489" s="785"/>
      <c r="S489" s="776"/>
      <c r="T489" s="776"/>
      <c r="U489" s="776"/>
      <c r="V489" s="776"/>
      <c r="W489" s="776"/>
      <c r="X489" s="776"/>
      <c r="Y489" s="785"/>
      <c r="Z489" s="776"/>
      <c r="AA489" s="776"/>
      <c r="AB489" s="776"/>
    </row>
    <row r="490" spans="1:28" ht="15.75" customHeight="1">
      <c r="A490" s="776"/>
      <c r="B490" s="776"/>
      <c r="C490" s="776"/>
      <c r="D490" s="776"/>
      <c r="E490" s="777"/>
      <c r="F490" s="776"/>
      <c r="G490" s="777"/>
      <c r="H490" s="776"/>
      <c r="I490" s="777"/>
      <c r="J490" s="777"/>
      <c r="K490" s="786"/>
      <c r="L490" s="777"/>
      <c r="M490" s="785"/>
      <c r="N490" s="785"/>
      <c r="O490" s="785"/>
      <c r="P490" s="785"/>
      <c r="Q490" s="785"/>
      <c r="R490" s="785"/>
      <c r="S490" s="776"/>
      <c r="T490" s="776"/>
      <c r="U490" s="776"/>
      <c r="V490" s="776"/>
      <c r="W490" s="776"/>
      <c r="X490" s="776"/>
      <c r="Y490" s="785"/>
      <c r="Z490" s="776"/>
      <c r="AA490" s="776"/>
      <c r="AB490" s="776"/>
    </row>
    <row r="491" spans="1:28" ht="15.75" customHeight="1">
      <c r="A491" s="776"/>
      <c r="B491" s="776"/>
      <c r="C491" s="776"/>
      <c r="D491" s="776"/>
      <c r="E491" s="777"/>
      <c r="F491" s="776"/>
      <c r="G491" s="777"/>
      <c r="H491" s="776"/>
      <c r="I491" s="777"/>
      <c r="J491" s="777"/>
      <c r="K491" s="786"/>
      <c r="L491" s="777"/>
      <c r="M491" s="785"/>
      <c r="N491" s="785"/>
      <c r="O491" s="785"/>
      <c r="P491" s="785"/>
      <c r="Q491" s="785"/>
      <c r="R491" s="785"/>
      <c r="S491" s="776"/>
      <c r="T491" s="776"/>
      <c r="U491" s="776"/>
      <c r="V491" s="776"/>
      <c r="W491" s="776"/>
      <c r="X491" s="776"/>
      <c r="Y491" s="785"/>
      <c r="Z491" s="776"/>
      <c r="AA491" s="776"/>
      <c r="AB491" s="776"/>
    </row>
    <row r="492" spans="1:28" ht="15.75" customHeight="1">
      <c r="A492" s="776"/>
      <c r="B492" s="776"/>
      <c r="C492" s="776"/>
      <c r="D492" s="776"/>
      <c r="E492" s="777"/>
      <c r="F492" s="776"/>
      <c r="G492" s="777"/>
      <c r="H492" s="776"/>
      <c r="I492" s="777"/>
      <c r="J492" s="777"/>
      <c r="K492" s="786"/>
      <c r="L492" s="777"/>
      <c r="M492" s="785"/>
      <c r="N492" s="785"/>
      <c r="O492" s="785"/>
      <c r="P492" s="785"/>
      <c r="Q492" s="785"/>
      <c r="R492" s="785"/>
      <c r="S492" s="776"/>
      <c r="T492" s="776"/>
      <c r="U492" s="776"/>
      <c r="V492" s="776"/>
      <c r="W492" s="776"/>
      <c r="X492" s="776"/>
      <c r="Y492" s="785"/>
      <c r="Z492" s="776"/>
      <c r="AA492" s="776"/>
      <c r="AB492" s="776"/>
    </row>
    <row r="493" spans="1:28" ht="15.75" customHeight="1">
      <c r="A493" s="776"/>
      <c r="B493" s="776"/>
      <c r="C493" s="776"/>
      <c r="D493" s="776"/>
      <c r="E493" s="777"/>
      <c r="F493" s="776"/>
      <c r="G493" s="777"/>
      <c r="H493" s="776"/>
      <c r="I493" s="777"/>
      <c r="J493" s="777"/>
      <c r="K493" s="786"/>
      <c r="L493" s="777"/>
      <c r="M493" s="785"/>
      <c r="N493" s="785"/>
      <c r="O493" s="785"/>
      <c r="P493" s="785"/>
      <c r="Q493" s="785"/>
      <c r="R493" s="785"/>
      <c r="S493" s="776"/>
      <c r="T493" s="776"/>
      <c r="U493" s="776"/>
      <c r="V493" s="776"/>
      <c r="W493" s="776"/>
      <c r="X493" s="776"/>
      <c r="Y493" s="785"/>
      <c r="Z493" s="776"/>
      <c r="AA493" s="776"/>
      <c r="AB493" s="776"/>
    </row>
    <row r="494" spans="1:28" ht="15.75" customHeight="1">
      <c r="A494" s="776"/>
      <c r="B494" s="776"/>
      <c r="C494" s="776"/>
      <c r="D494" s="776"/>
      <c r="E494" s="777"/>
      <c r="F494" s="776"/>
      <c r="G494" s="777"/>
      <c r="H494" s="776"/>
      <c r="I494" s="777"/>
      <c r="J494" s="777"/>
      <c r="K494" s="786"/>
      <c r="L494" s="777"/>
      <c r="M494" s="785"/>
      <c r="N494" s="785"/>
      <c r="O494" s="785"/>
      <c r="P494" s="785"/>
      <c r="Q494" s="785"/>
      <c r="R494" s="785"/>
      <c r="S494" s="776"/>
      <c r="T494" s="776"/>
      <c r="U494" s="776"/>
      <c r="V494" s="776"/>
      <c r="W494" s="776"/>
      <c r="X494" s="776"/>
      <c r="Y494" s="785"/>
      <c r="Z494" s="776"/>
      <c r="AA494" s="776"/>
      <c r="AB494" s="776"/>
    </row>
    <row r="495" spans="1:28" ht="15.75" customHeight="1">
      <c r="A495" s="776"/>
      <c r="B495" s="776"/>
      <c r="C495" s="776"/>
      <c r="D495" s="776"/>
      <c r="E495" s="777"/>
      <c r="F495" s="776"/>
      <c r="G495" s="777"/>
      <c r="H495" s="776"/>
      <c r="I495" s="777"/>
      <c r="J495" s="777"/>
      <c r="K495" s="786"/>
      <c r="L495" s="777"/>
      <c r="M495" s="785"/>
      <c r="N495" s="785"/>
      <c r="O495" s="785"/>
      <c r="P495" s="785"/>
      <c r="Q495" s="785"/>
      <c r="R495" s="785"/>
      <c r="S495" s="776"/>
      <c r="T495" s="776"/>
      <c r="U495" s="776"/>
      <c r="V495" s="776"/>
      <c r="W495" s="776"/>
      <c r="X495" s="776"/>
      <c r="Y495" s="785"/>
      <c r="Z495" s="776"/>
      <c r="AA495" s="776"/>
      <c r="AB495" s="776"/>
    </row>
    <row r="496" spans="1:28" ht="15.75" customHeight="1">
      <c r="A496" s="776"/>
      <c r="B496" s="776"/>
      <c r="C496" s="776"/>
      <c r="D496" s="776"/>
      <c r="E496" s="777"/>
      <c r="F496" s="776"/>
      <c r="G496" s="777"/>
      <c r="H496" s="776"/>
      <c r="I496" s="777"/>
      <c r="J496" s="777"/>
      <c r="K496" s="786"/>
      <c r="L496" s="777"/>
      <c r="M496" s="785"/>
      <c r="N496" s="785"/>
      <c r="O496" s="785"/>
      <c r="P496" s="785"/>
      <c r="Q496" s="785"/>
      <c r="R496" s="785"/>
      <c r="S496" s="776"/>
      <c r="T496" s="776"/>
      <c r="U496" s="776"/>
      <c r="V496" s="776"/>
      <c r="W496" s="776"/>
      <c r="X496" s="776"/>
      <c r="Y496" s="785"/>
      <c r="Z496" s="776"/>
      <c r="AA496" s="776"/>
      <c r="AB496" s="776"/>
    </row>
    <row r="497" spans="1:28" ht="15.75" customHeight="1">
      <c r="A497" s="776"/>
      <c r="B497" s="776"/>
      <c r="C497" s="776"/>
      <c r="D497" s="776"/>
      <c r="E497" s="777"/>
      <c r="F497" s="776"/>
      <c r="G497" s="777"/>
      <c r="H497" s="776"/>
      <c r="I497" s="777"/>
      <c r="J497" s="777"/>
      <c r="K497" s="786"/>
      <c r="L497" s="777"/>
      <c r="M497" s="785"/>
      <c r="N497" s="785"/>
      <c r="O497" s="785"/>
      <c r="P497" s="785"/>
      <c r="Q497" s="785"/>
      <c r="R497" s="785"/>
      <c r="S497" s="776"/>
      <c r="T497" s="776"/>
      <c r="U497" s="776"/>
      <c r="V497" s="776"/>
      <c r="W497" s="776"/>
      <c r="X497" s="776"/>
      <c r="Y497" s="785"/>
      <c r="Z497" s="776"/>
      <c r="AA497" s="776"/>
      <c r="AB497" s="776"/>
    </row>
    <row r="498" spans="1:28" ht="15.75" customHeight="1">
      <c r="A498" s="776"/>
      <c r="B498" s="776"/>
      <c r="C498" s="776"/>
      <c r="D498" s="776"/>
      <c r="E498" s="777"/>
      <c r="F498" s="776"/>
      <c r="G498" s="777"/>
      <c r="H498" s="776"/>
      <c r="I498" s="777"/>
      <c r="J498" s="777"/>
      <c r="K498" s="786"/>
      <c r="L498" s="777"/>
      <c r="M498" s="785"/>
      <c r="N498" s="785"/>
      <c r="O498" s="785"/>
      <c r="P498" s="785"/>
      <c r="Q498" s="785"/>
      <c r="R498" s="785"/>
      <c r="S498" s="776"/>
      <c r="T498" s="776"/>
      <c r="U498" s="776"/>
      <c r="V498" s="776"/>
      <c r="W498" s="776"/>
      <c r="X498" s="776"/>
      <c r="Y498" s="785"/>
      <c r="Z498" s="776"/>
      <c r="AA498" s="776"/>
      <c r="AB498" s="776"/>
    </row>
    <row r="499" spans="1:28" ht="15.75" customHeight="1">
      <c r="A499" s="776"/>
      <c r="B499" s="776"/>
      <c r="C499" s="776"/>
      <c r="D499" s="776"/>
      <c r="E499" s="777"/>
      <c r="F499" s="776"/>
      <c r="G499" s="777"/>
      <c r="H499" s="776"/>
      <c r="I499" s="777"/>
      <c r="J499" s="777"/>
      <c r="K499" s="786"/>
      <c r="L499" s="777"/>
      <c r="M499" s="785"/>
      <c r="N499" s="785"/>
      <c r="O499" s="785"/>
      <c r="P499" s="785"/>
      <c r="Q499" s="785"/>
      <c r="R499" s="785"/>
      <c r="S499" s="776"/>
      <c r="T499" s="776"/>
      <c r="U499" s="776"/>
      <c r="V499" s="776"/>
      <c r="W499" s="776"/>
      <c r="X499" s="776"/>
      <c r="Y499" s="785"/>
      <c r="Z499" s="776"/>
      <c r="AA499" s="776"/>
      <c r="AB499" s="776"/>
    </row>
    <row r="500" spans="1:28" ht="15.75" customHeight="1">
      <c r="A500" s="776"/>
      <c r="B500" s="776"/>
      <c r="C500" s="776"/>
      <c r="D500" s="776"/>
      <c r="E500" s="777"/>
      <c r="F500" s="776"/>
      <c r="G500" s="777"/>
      <c r="H500" s="776"/>
      <c r="I500" s="777"/>
      <c r="J500" s="777"/>
      <c r="K500" s="786"/>
      <c r="L500" s="777"/>
      <c r="M500" s="785"/>
      <c r="N500" s="785"/>
      <c r="O500" s="785"/>
      <c r="P500" s="785"/>
      <c r="Q500" s="785"/>
      <c r="R500" s="785"/>
      <c r="S500" s="776"/>
      <c r="T500" s="776"/>
      <c r="U500" s="776"/>
      <c r="V500" s="776"/>
      <c r="W500" s="776"/>
      <c r="X500" s="776"/>
      <c r="Y500" s="785"/>
      <c r="Z500" s="776"/>
      <c r="AA500" s="776"/>
      <c r="AB500" s="776"/>
    </row>
    <row r="501" spans="1:28" ht="15.75" customHeight="1">
      <c r="A501" s="776"/>
      <c r="B501" s="776"/>
      <c r="C501" s="776"/>
      <c r="D501" s="776"/>
      <c r="E501" s="777"/>
      <c r="F501" s="776"/>
      <c r="G501" s="777"/>
      <c r="H501" s="776"/>
      <c r="I501" s="777"/>
      <c r="J501" s="777"/>
      <c r="K501" s="786"/>
      <c r="L501" s="777"/>
      <c r="M501" s="785"/>
      <c r="N501" s="785"/>
      <c r="O501" s="785"/>
      <c r="P501" s="785"/>
      <c r="Q501" s="785"/>
      <c r="R501" s="785"/>
      <c r="S501" s="776"/>
      <c r="T501" s="776"/>
      <c r="U501" s="776"/>
      <c r="V501" s="776"/>
      <c r="W501" s="776"/>
      <c r="X501" s="776"/>
      <c r="Y501" s="785"/>
      <c r="Z501" s="776"/>
      <c r="AA501" s="776"/>
      <c r="AB501" s="776"/>
    </row>
    <row r="502" spans="1:28" ht="15.75" customHeight="1">
      <c r="A502" s="776"/>
      <c r="B502" s="776"/>
      <c r="C502" s="776"/>
      <c r="D502" s="776"/>
      <c r="E502" s="777"/>
      <c r="F502" s="776"/>
      <c r="G502" s="777"/>
      <c r="H502" s="776"/>
      <c r="I502" s="777"/>
      <c r="J502" s="777"/>
      <c r="K502" s="786"/>
      <c r="L502" s="777"/>
      <c r="M502" s="785"/>
      <c r="N502" s="785"/>
      <c r="O502" s="785"/>
      <c r="P502" s="785"/>
      <c r="Q502" s="785"/>
      <c r="R502" s="785"/>
      <c r="S502" s="776"/>
      <c r="T502" s="776"/>
      <c r="U502" s="776"/>
      <c r="V502" s="776"/>
      <c r="W502" s="776"/>
      <c r="X502" s="776"/>
      <c r="Y502" s="785"/>
      <c r="Z502" s="776"/>
      <c r="AA502" s="776"/>
      <c r="AB502" s="776"/>
    </row>
    <row r="503" spans="1:28" ht="15.75" customHeight="1">
      <c r="A503" s="776"/>
      <c r="B503" s="776"/>
      <c r="C503" s="776"/>
      <c r="D503" s="776"/>
      <c r="E503" s="777"/>
      <c r="F503" s="776"/>
      <c r="G503" s="777"/>
      <c r="H503" s="776"/>
      <c r="I503" s="777"/>
      <c r="J503" s="777"/>
      <c r="K503" s="786"/>
      <c r="L503" s="777"/>
      <c r="M503" s="785"/>
      <c r="N503" s="785"/>
      <c r="O503" s="785"/>
      <c r="P503" s="785"/>
      <c r="Q503" s="785"/>
      <c r="R503" s="785"/>
      <c r="S503" s="776"/>
      <c r="T503" s="776"/>
      <c r="U503" s="776"/>
      <c r="V503" s="776"/>
      <c r="W503" s="776"/>
      <c r="X503" s="776"/>
      <c r="Y503" s="785"/>
      <c r="Z503" s="776"/>
      <c r="AA503" s="776"/>
      <c r="AB503" s="776"/>
    </row>
    <row r="504" spans="1:28" ht="15.75" customHeight="1">
      <c r="A504" s="776"/>
      <c r="B504" s="776"/>
      <c r="C504" s="776"/>
      <c r="D504" s="776"/>
      <c r="E504" s="777"/>
      <c r="F504" s="776"/>
      <c r="G504" s="777"/>
      <c r="H504" s="776"/>
      <c r="I504" s="777"/>
      <c r="J504" s="777"/>
      <c r="K504" s="786"/>
      <c r="L504" s="777"/>
      <c r="M504" s="785"/>
      <c r="N504" s="785"/>
      <c r="O504" s="785"/>
      <c r="P504" s="785"/>
      <c r="Q504" s="785"/>
      <c r="R504" s="785"/>
      <c r="S504" s="776"/>
      <c r="T504" s="776"/>
      <c r="U504" s="776"/>
      <c r="V504" s="776"/>
      <c r="W504" s="776"/>
      <c r="X504" s="776"/>
      <c r="Y504" s="785"/>
      <c r="Z504" s="776"/>
      <c r="AA504" s="776"/>
      <c r="AB504" s="776"/>
    </row>
    <row r="505" spans="1:28" ht="15.75" customHeight="1">
      <c r="A505" s="776"/>
      <c r="B505" s="776"/>
      <c r="C505" s="776"/>
      <c r="D505" s="776"/>
      <c r="E505" s="777"/>
      <c r="F505" s="776"/>
      <c r="G505" s="777"/>
      <c r="H505" s="776"/>
      <c r="I505" s="777"/>
      <c r="J505" s="777"/>
      <c r="K505" s="786"/>
      <c r="L505" s="777"/>
      <c r="M505" s="785"/>
      <c r="N505" s="785"/>
      <c r="O505" s="785"/>
      <c r="P505" s="785"/>
      <c r="Q505" s="785"/>
      <c r="R505" s="785"/>
      <c r="S505" s="776"/>
      <c r="T505" s="776"/>
      <c r="U505" s="776"/>
      <c r="V505" s="776"/>
      <c r="W505" s="776"/>
      <c r="X505" s="776"/>
      <c r="Y505" s="785"/>
      <c r="Z505" s="776"/>
      <c r="AA505" s="776"/>
      <c r="AB505" s="776"/>
    </row>
    <row r="506" spans="1:28" ht="15.75" customHeight="1">
      <c r="A506" s="776"/>
      <c r="B506" s="776"/>
      <c r="C506" s="776"/>
      <c r="D506" s="776"/>
      <c r="E506" s="777"/>
      <c r="F506" s="776"/>
      <c r="G506" s="777"/>
      <c r="H506" s="776"/>
      <c r="I506" s="777"/>
      <c r="J506" s="777"/>
      <c r="K506" s="786"/>
      <c r="L506" s="777"/>
      <c r="M506" s="785"/>
      <c r="N506" s="785"/>
      <c r="O506" s="785"/>
      <c r="P506" s="785"/>
      <c r="Q506" s="785"/>
      <c r="R506" s="785"/>
      <c r="S506" s="776"/>
      <c r="T506" s="776"/>
      <c r="U506" s="776"/>
      <c r="V506" s="776"/>
      <c r="W506" s="776"/>
      <c r="X506" s="776"/>
      <c r="Y506" s="785"/>
      <c r="Z506" s="776"/>
      <c r="AA506" s="776"/>
      <c r="AB506" s="776"/>
    </row>
    <row r="507" spans="1:28" ht="15.75" customHeight="1">
      <c r="A507" s="776"/>
      <c r="B507" s="776"/>
      <c r="C507" s="776"/>
      <c r="D507" s="776"/>
      <c r="E507" s="777"/>
      <c r="F507" s="776"/>
      <c r="G507" s="777"/>
      <c r="H507" s="776"/>
      <c r="I507" s="777"/>
      <c r="J507" s="777"/>
      <c r="K507" s="786"/>
      <c r="L507" s="777"/>
      <c r="M507" s="785"/>
      <c r="N507" s="785"/>
      <c r="O507" s="785"/>
      <c r="P507" s="785"/>
      <c r="Q507" s="785"/>
      <c r="R507" s="785"/>
      <c r="S507" s="776"/>
      <c r="T507" s="776"/>
      <c r="U507" s="776"/>
      <c r="V507" s="776"/>
      <c r="W507" s="776"/>
      <c r="X507" s="776"/>
      <c r="Y507" s="785"/>
      <c r="Z507" s="776"/>
      <c r="AA507" s="776"/>
      <c r="AB507" s="776"/>
    </row>
    <row r="508" spans="1:28" ht="15.75" customHeight="1">
      <c r="A508" s="776"/>
      <c r="B508" s="776"/>
      <c r="C508" s="776"/>
      <c r="D508" s="776"/>
      <c r="E508" s="777"/>
      <c r="F508" s="776"/>
      <c r="G508" s="777"/>
      <c r="H508" s="776"/>
      <c r="I508" s="777"/>
      <c r="J508" s="777"/>
      <c r="K508" s="786"/>
      <c r="L508" s="777"/>
      <c r="M508" s="785"/>
      <c r="N508" s="785"/>
      <c r="O508" s="785"/>
      <c r="P508" s="785"/>
      <c r="Q508" s="785"/>
      <c r="R508" s="785"/>
      <c r="S508" s="776"/>
      <c r="T508" s="776"/>
      <c r="U508" s="776"/>
      <c r="V508" s="776"/>
      <c r="W508" s="776"/>
      <c r="X508" s="776"/>
      <c r="Y508" s="785"/>
      <c r="Z508" s="776"/>
      <c r="AA508" s="776"/>
      <c r="AB508" s="776"/>
    </row>
    <row r="509" spans="1:28" ht="15.75" customHeight="1">
      <c r="A509" s="776"/>
      <c r="B509" s="776"/>
      <c r="C509" s="776"/>
      <c r="D509" s="776"/>
      <c r="E509" s="777"/>
      <c r="F509" s="776"/>
      <c r="G509" s="777"/>
      <c r="H509" s="776"/>
      <c r="I509" s="777"/>
      <c r="J509" s="777"/>
      <c r="K509" s="786"/>
      <c r="L509" s="777"/>
      <c r="M509" s="785"/>
      <c r="N509" s="785"/>
      <c r="O509" s="785"/>
      <c r="P509" s="785"/>
      <c r="Q509" s="785"/>
      <c r="R509" s="785"/>
      <c r="S509" s="776"/>
      <c r="T509" s="776"/>
      <c r="U509" s="776"/>
      <c r="V509" s="776"/>
      <c r="W509" s="776"/>
      <c r="X509" s="776"/>
      <c r="Y509" s="785"/>
      <c r="Z509" s="776"/>
      <c r="AA509" s="776"/>
      <c r="AB509" s="776"/>
    </row>
    <row r="510" spans="1:28" ht="15.75" customHeight="1">
      <c r="A510" s="776"/>
      <c r="B510" s="776"/>
      <c r="C510" s="776"/>
      <c r="D510" s="776"/>
      <c r="E510" s="777"/>
      <c r="F510" s="776"/>
      <c r="G510" s="777"/>
      <c r="H510" s="776"/>
      <c r="I510" s="777"/>
      <c r="J510" s="777"/>
      <c r="K510" s="786"/>
      <c r="L510" s="777"/>
      <c r="M510" s="785"/>
      <c r="N510" s="785"/>
      <c r="O510" s="785"/>
      <c r="P510" s="785"/>
      <c r="Q510" s="785"/>
      <c r="R510" s="785"/>
      <c r="S510" s="776"/>
      <c r="T510" s="776"/>
      <c r="U510" s="776"/>
      <c r="V510" s="776"/>
      <c r="W510" s="776"/>
      <c r="X510" s="776"/>
      <c r="Y510" s="785"/>
      <c r="Z510" s="776"/>
      <c r="AA510" s="776"/>
      <c r="AB510" s="776"/>
    </row>
    <row r="511" spans="1:28" ht="15.75" customHeight="1">
      <c r="A511" s="776"/>
      <c r="B511" s="776"/>
      <c r="C511" s="776"/>
      <c r="D511" s="776"/>
      <c r="E511" s="777"/>
      <c r="F511" s="776"/>
      <c r="G511" s="777"/>
      <c r="H511" s="776"/>
      <c r="I511" s="777"/>
      <c r="J511" s="777"/>
      <c r="K511" s="786"/>
      <c r="L511" s="777"/>
      <c r="M511" s="785"/>
      <c r="N511" s="785"/>
      <c r="O511" s="785"/>
      <c r="P511" s="785"/>
      <c r="Q511" s="785"/>
      <c r="R511" s="785"/>
      <c r="S511" s="776"/>
      <c r="T511" s="776"/>
      <c r="U511" s="776"/>
      <c r="V511" s="776"/>
      <c r="W511" s="776"/>
      <c r="X511" s="776"/>
      <c r="Y511" s="785"/>
      <c r="Z511" s="776"/>
      <c r="AA511" s="776"/>
      <c r="AB511" s="776"/>
    </row>
    <row r="512" spans="1:28" ht="15.75" customHeight="1">
      <c r="A512" s="776"/>
      <c r="B512" s="776"/>
      <c r="C512" s="776"/>
      <c r="D512" s="776"/>
      <c r="E512" s="777"/>
      <c r="F512" s="776"/>
      <c r="G512" s="777"/>
      <c r="H512" s="776"/>
      <c r="I512" s="777"/>
      <c r="J512" s="777"/>
      <c r="K512" s="786"/>
      <c r="L512" s="777"/>
      <c r="M512" s="785"/>
      <c r="N512" s="785"/>
      <c r="O512" s="785"/>
      <c r="P512" s="785"/>
      <c r="Q512" s="785"/>
      <c r="R512" s="785"/>
      <c r="S512" s="776"/>
      <c r="T512" s="776"/>
      <c r="U512" s="776"/>
      <c r="V512" s="776"/>
      <c r="W512" s="776"/>
      <c r="X512" s="776"/>
      <c r="Y512" s="785"/>
      <c r="Z512" s="776"/>
      <c r="AA512" s="776"/>
      <c r="AB512" s="776"/>
    </row>
    <row r="513" spans="1:28" ht="15.75" customHeight="1">
      <c r="A513" s="776"/>
      <c r="B513" s="776"/>
      <c r="C513" s="776"/>
      <c r="D513" s="776"/>
      <c r="E513" s="777"/>
      <c r="F513" s="776"/>
      <c r="G513" s="777"/>
      <c r="H513" s="776"/>
      <c r="I513" s="777"/>
      <c r="J513" s="777"/>
      <c r="K513" s="786"/>
      <c r="L513" s="777"/>
      <c r="M513" s="785"/>
      <c r="N513" s="785"/>
      <c r="O513" s="785"/>
      <c r="P513" s="785"/>
      <c r="Q513" s="785"/>
      <c r="R513" s="785"/>
      <c r="S513" s="776"/>
      <c r="T513" s="776"/>
      <c r="U513" s="776"/>
      <c r="V513" s="776"/>
      <c r="W513" s="776"/>
      <c r="X513" s="776"/>
      <c r="Y513" s="785"/>
      <c r="Z513" s="776"/>
      <c r="AA513" s="776"/>
      <c r="AB513" s="776"/>
    </row>
    <row r="514" spans="1:28" ht="15.75" customHeight="1">
      <c r="A514" s="776"/>
      <c r="B514" s="776"/>
      <c r="C514" s="776"/>
      <c r="D514" s="776"/>
      <c r="E514" s="777"/>
      <c r="F514" s="776"/>
      <c r="G514" s="777"/>
      <c r="H514" s="776"/>
      <c r="I514" s="777"/>
      <c r="J514" s="777"/>
      <c r="K514" s="786"/>
      <c r="L514" s="777"/>
      <c r="M514" s="785"/>
      <c r="N514" s="785"/>
      <c r="O514" s="785"/>
      <c r="P514" s="785"/>
      <c r="Q514" s="785"/>
      <c r="R514" s="785"/>
      <c r="S514" s="776"/>
      <c r="T514" s="776"/>
      <c r="U514" s="776"/>
      <c r="V514" s="776"/>
      <c r="W514" s="776"/>
      <c r="X514" s="776"/>
      <c r="Y514" s="785"/>
      <c r="Z514" s="776"/>
      <c r="AA514" s="776"/>
      <c r="AB514" s="776"/>
    </row>
    <row r="515" spans="1:28" ht="15.75" customHeight="1">
      <c r="A515" s="776"/>
      <c r="B515" s="776"/>
      <c r="C515" s="776"/>
      <c r="D515" s="776"/>
      <c r="E515" s="777"/>
      <c r="F515" s="776"/>
      <c r="G515" s="777"/>
      <c r="H515" s="776"/>
      <c r="I515" s="777"/>
      <c r="J515" s="777"/>
      <c r="K515" s="786"/>
      <c r="L515" s="777"/>
      <c r="M515" s="785"/>
      <c r="N515" s="785"/>
      <c r="O515" s="785"/>
      <c r="P515" s="785"/>
      <c r="Q515" s="785"/>
      <c r="R515" s="785"/>
      <c r="S515" s="776"/>
      <c r="T515" s="776"/>
      <c r="U515" s="776"/>
      <c r="V515" s="776"/>
      <c r="W515" s="776"/>
      <c r="X515" s="776"/>
      <c r="Y515" s="785"/>
      <c r="Z515" s="776"/>
      <c r="AA515" s="776"/>
      <c r="AB515" s="776"/>
    </row>
    <row r="516" spans="1:28" ht="15.75" customHeight="1">
      <c r="A516" s="776"/>
      <c r="B516" s="776"/>
      <c r="C516" s="776"/>
      <c r="D516" s="776"/>
      <c r="E516" s="777"/>
      <c r="F516" s="776"/>
      <c r="G516" s="777"/>
      <c r="H516" s="776"/>
      <c r="I516" s="777"/>
      <c r="J516" s="777"/>
      <c r="K516" s="786"/>
      <c r="L516" s="777"/>
      <c r="M516" s="785"/>
      <c r="N516" s="785"/>
      <c r="O516" s="785"/>
      <c r="P516" s="785"/>
      <c r="Q516" s="785"/>
      <c r="R516" s="785"/>
      <c r="S516" s="776"/>
      <c r="T516" s="776"/>
      <c r="U516" s="776"/>
      <c r="V516" s="776"/>
      <c r="W516" s="776"/>
      <c r="X516" s="776"/>
      <c r="Y516" s="785"/>
      <c r="Z516" s="776"/>
      <c r="AA516" s="776"/>
      <c r="AB516" s="776"/>
    </row>
    <row r="517" spans="1:28" ht="15.75" customHeight="1">
      <c r="A517" s="776"/>
      <c r="B517" s="776"/>
      <c r="C517" s="776"/>
      <c r="D517" s="776"/>
      <c r="E517" s="777"/>
      <c r="F517" s="776"/>
      <c r="G517" s="777"/>
      <c r="H517" s="776"/>
      <c r="I517" s="777"/>
      <c r="J517" s="777"/>
      <c r="K517" s="786"/>
      <c r="L517" s="777"/>
      <c r="M517" s="785"/>
      <c r="N517" s="785"/>
      <c r="O517" s="785"/>
      <c r="P517" s="785"/>
      <c r="Q517" s="785"/>
      <c r="R517" s="785"/>
      <c r="S517" s="776"/>
      <c r="T517" s="776"/>
      <c r="U517" s="776"/>
      <c r="V517" s="776"/>
      <c r="W517" s="776"/>
      <c r="X517" s="776"/>
      <c r="Y517" s="785"/>
      <c r="Z517" s="776"/>
      <c r="AA517" s="776"/>
      <c r="AB517" s="776"/>
    </row>
    <row r="518" spans="1:28" ht="15.75" customHeight="1">
      <c r="A518" s="776"/>
      <c r="B518" s="776"/>
      <c r="C518" s="776"/>
      <c r="D518" s="776"/>
      <c r="E518" s="777"/>
      <c r="F518" s="776"/>
      <c r="G518" s="777"/>
      <c r="H518" s="776"/>
      <c r="I518" s="777"/>
      <c r="J518" s="777"/>
      <c r="K518" s="786"/>
      <c r="L518" s="777"/>
      <c r="M518" s="785"/>
      <c r="N518" s="785"/>
      <c r="O518" s="785"/>
      <c r="P518" s="785"/>
      <c r="Q518" s="785"/>
      <c r="R518" s="785"/>
      <c r="S518" s="776"/>
      <c r="T518" s="776"/>
      <c r="U518" s="776"/>
      <c r="V518" s="776"/>
      <c r="W518" s="776"/>
      <c r="X518" s="776"/>
      <c r="Y518" s="785"/>
      <c r="Z518" s="776"/>
      <c r="AA518" s="776"/>
      <c r="AB518" s="776"/>
    </row>
    <row r="519" spans="1:28" ht="15.75" customHeight="1">
      <c r="A519" s="776"/>
      <c r="B519" s="776"/>
      <c r="C519" s="776"/>
      <c r="D519" s="776"/>
      <c r="E519" s="777"/>
      <c r="F519" s="776"/>
      <c r="G519" s="777"/>
      <c r="H519" s="776"/>
      <c r="I519" s="777"/>
      <c r="J519" s="777"/>
      <c r="K519" s="786"/>
      <c r="L519" s="777"/>
      <c r="M519" s="785"/>
      <c r="N519" s="785"/>
      <c r="O519" s="785"/>
      <c r="P519" s="785"/>
      <c r="Q519" s="785"/>
      <c r="R519" s="785"/>
      <c r="S519" s="776"/>
      <c r="T519" s="776"/>
      <c r="U519" s="776"/>
      <c r="V519" s="776"/>
      <c r="W519" s="776"/>
      <c r="X519" s="776"/>
      <c r="Y519" s="785"/>
      <c r="Z519" s="776"/>
      <c r="AA519" s="776"/>
      <c r="AB519" s="776"/>
    </row>
    <row r="520" spans="1:28" ht="15.75" customHeight="1">
      <c r="A520" s="776"/>
      <c r="B520" s="776"/>
      <c r="C520" s="776"/>
      <c r="D520" s="776"/>
      <c r="E520" s="777"/>
      <c r="F520" s="776"/>
      <c r="G520" s="777"/>
      <c r="H520" s="776"/>
      <c r="I520" s="777"/>
      <c r="J520" s="777"/>
      <c r="K520" s="786"/>
      <c r="L520" s="777"/>
      <c r="M520" s="785"/>
      <c r="N520" s="785"/>
      <c r="O520" s="785"/>
      <c r="P520" s="785"/>
      <c r="Q520" s="785"/>
      <c r="R520" s="785"/>
      <c r="S520" s="776"/>
      <c r="T520" s="776"/>
      <c r="U520" s="776"/>
      <c r="V520" s="776"/>
      <c r="W520" s="776"/>
      <c r="X520" s="776"/>
      <c r="Y520" s="785"/>
      <c r="Z520" s="776"/>
      <c r="AA520" s="776"/>
      <c r="AB520" s="776"/>
    </row>
    <row r="521" spans="1:28" ht="15.75" customHeight="1">
      <c r="A521" s="776"/>
      <c r="B521" s="776"/>
      <c r="C521" s="776"/>
      <c r="D521" s="776"/>
      <c r="E521" s="777"/>
      <c r="F521" s="776"/>
      <c r="G521" s="777"/>
      <c r="H521" s="776"/>
      <c r="I521" s="777"/>
      <c r="J521" s="777"/>
      <c r="K521" s="786"/>
      <c r="L521" s="777"/>
      <c r="M521" s="785"/>
      <c r="N521" s="785"/>
      <c r="O521" s="785"/>
      <c r="P521" s="785"/>
      <c r="Q521" s="785"/>
      <c r="R521" s="785"/>
      <c r="S521" s="776"/>
      <c r="T521" s="776"/>
      <c r="U521" s="776"/>
      <c r="V521" s="776"/>
      <c r="W521" s="776"/>
      <c r="X521" s="776"/>
      <c r="Y521" s="785"/>
      <c r="Z521" s="776"/>
      <c r="AA521" s="776"/>
      <c r="AB521" s="776"/>
    </row>
    <row r="522" spans="1:28" ht="15.75" customHeight="1">
      <c r="A522" s="776"/>
      <c r="B522" s="776"/>
      <c r="C522" s="776"/>
      <c r="D522" s="776"/>
      <c r="E522" s="777"/>
      <c r="F522" s="776"/>
      <c r="G522" s="777"/>
      <c r="H522" s="776"/>
      <c r="I522" s="777"/>
      <c r="J522" s="777"/>
      <c r="K522" s="786"/>
      <c r="L522" s="777"/>
      <c r="M522" s="785"/>
      <c r="N522" s="785"/>
      <c r="O522" s="785"/>
      <c r="P522" s="785"/>
      <c r="Q522" s="785"/>
      <c r="R522" s="785"/>
      <c r="S522" s="776"/>
      <c r="T522" s="776"/>
      <c r="U522" s="776"/>
      <c r="V522" s="776"/>
      <c r="W522" s="776"/>
      <c r="X522" s="776"/>
      <c r="Y522" s="785"/>
      <c r="Z522" s="776"/>
      <c r="AA522" s="776"/>
      <c r="AB522" s="776"/>
    </row>
    <row r="523" spans="1:28" ht="15.75" customHeight="1">
      <c r="A523" s="776"/>
      <c r="B523" s="776"/>
      <c r="C523" s="776"/>
      <c r="D523" s="776"/>
      <c r="E523" s="777"/>
      <c r="F523" s="776"/>
      <c r="G523" s="777"/>
      <c r="H523" s="776"/>
      <c r="I523" s="777"/>
      <c r="J523" s="777"/>
      <c r="K523" s="786"/>
      <c r="L523" s="777"/>
      <c r="M523" s="785"/>
      <c r="N523" s="785"/>
      <c r="O523" s="785"/>
      <c r="P523" s="785"/>
      <c r="Q523" s="785"/>
      <c r="R523" s="785"/>
      <c r="S523" s="776"/>
      <c r="T523" s="776"/>
      <c r="U523" s="776"/>
      <c r="V523" s="776"/>
      <c r="W523" s="776"/>
      <c r="X523" s="776"/>
      <c r="Y523" s="785"/>
      <c r="Z523" s="776"/>
      <c r="AA523" s="776"/>
      <c r="AB523" s="776"/>
    </row>
    <row r="524" spans="1:28" ht="15.75" customHeight="1">
      <c r="A524" s="776"/>
      <c r="B524" s="776"/>
      <c r="C524" s="776"/>
      <c r="D524" s="776"/>
      <c r="E524" s="777"/>
      <c r="F524" s="776"/>
      <c r="G524" s="777"/>
      <c r="H524" s="776"/>
      <c r="I524" s="777"/>
      <c r="J524" s="777"/>
      <c r="K524" s="786"/>
      <c r="L524" s="777"/>
      <c r="M524" s="785"/>
      <c r="N524" s="785"/>
      <c r="O524" s="785"/>
      <c r="P524" s="785"/>
      <c r="Q524" s="785"/>
      <c r="R524" s="785"/>
      <c r="S524" s="776"/>
      <c r="T524" s="776"/>
      <c r="U524" s="776"/>
      <c r="V524" s="776"/>
      <c r="W524" s="776"/>
      <c r="X524" s="776"/>
      <c r="Y524" s="785"/>
      <c r="Z524" s="776"/>
      <c r="AA524" s="776"/>
      <c r="AB524" s="776"/>
    </row>
    <row r="525" spans="1:28" ht="15.75" customHeight="1">
      <c r="A525" s="776"/>
      <c r="B525" s="776"/>
      <c r="C525" s="776"/>
      <c r="D525" s="776"/>
      <c r="E525" s="777"/>
      <c r="F525" s="776"/>
      <c r="G525" s="777"/>
      <c r="H525" s="776"/>
      <c r="I525" s="777"/>
      <c r="J525" s="777"/>
      <c r="K525" s="786"/>
      <c r="L525" s="777"/>
      <c r="M525" s="785"/>
      <c r="N525" s="785"/>
      <c r="O525" s="785"/>
      <c r="P525" s="785"/>
      <c r="Q525" s="785"/>
      <c r="R525" s="785"/>
      <c r="S525" s="776"/>
      <c r="T525" s="776"/>
      <c r="U525" s="776"/>
      <c r="V525" s="776"/>
      <c r="W525" s="776"/>
      <c r="X525" s="776"/>
      <c r="Y525" s="785"/>
      <c r="Z525" s="776"/>
      <c r="AA525" s="776"/>
      <c r="AB525" s="776"/>
    </row>
    <row r="526" spans="1:28" ht="15.75" customHeight="1">
      <c r="A526" s="776"/>
      <c r="B526" s="776"/>
      <c r="C526" s="776"/>
      <c r="D526" s="776"/>
      <c r="E526" s="777"/>
      <c r="F526" s="776"/>
      <c r="G526" s="777"/>
      <c r="H526" s="776"/>
      <c r="I526" s="777"/>
      <c r="J526" s="777"/>
      <c r="K526" s="786"/>
      <c r="L526" s="777"/>
      <c r="M526" s="785"/>
      <c r="N526" s="785"/>
      <c r="O526" s="785"/>
      <c r="P526" s="785"/>
      <c r="Q526" s="785"/>
      <c r="R526" s="785"/>
      <c r="S526" s="776"/>
      <c r="T526" s="776"/>
      <c r="U526" s="776"/>
      <c r="V526" s="776"/>
      <c r="W526" s="776"/>
      <c r="X526" s="776"/>
      <c r="Y526" s="785"/>
      <c r="Z526" s="776"/>
      <c r="AA526" s="776"/>
      <c r="AB526" s="776"/>
    </row>
    <row r="527" spans="1:28" ht="15.75" customHeight="1">
      <c r="A527" s="776"/>
      <c r="B527" s="776"/>
      <c r="C527" s="776"/>
      <c r="D527" s="776"/>
      <c r="E527" s="777"/>
      <c r="F527" s="776"/>
      <c r="G527" s="777"/>
      <c r="H527" s="776"/>
      <c r="I527" s="777"/>
      <c r="J527" s="777"/>
      <c r="K527" s="786"/>
      <c r="L527" s="777"/>
      <c r="M527" s="785"/>
      <c r="N527" s="785"/>
      <c r="O527" s="785"/>
      <c r="P527" s="785"/>
      <c r="Q527" s="785"/>
      <c r="R527" s="785"/>
      <c r="S527" s="776"/>
      <c r="T527" s="776"/>
      <c r="U527" s="776"/>
      <c r="V527" s="776"/>
      <c r="W527" s="776"/>
      <c r="X527" s="776"/>
      <c r="Y527" s="785"/>
      <c r="Z527" s="776"/>
      <c r="AA527" s="776"/>
      <c r="AB527" s="776"/>
    </row>
    <row r="528" spans="1:28" ht="15.75" customHeight="1">
      <c r="A528" s="776"/>
      <c r="B528" s="776"/>
      <c r="C528" s="776"/>
      <c r="D528" s="776"/>
      <c r="E528" s="777"/>
      <c r="F528" s="776"/>
      <c r="G528" s="777"/>
      <c r="H528" s="776"/>
      <c r="I528" s="777"/>
      <c r="J528" s="777"/>
      <c r="K528" s="786"/>
      <c r="L528" s="777"/>
      <c r="M528" s="785"/>
      <c r="N528" s="785"/>
      <c r="O528" s="785"/>
      <c r="P528" s="785"/>
      <c r="Q528" s="785"/>
      <c r="R528" s="785"/>
      <c r="S528" s="776"/>
      <c r="T528" s="776"/>
      <c r="U528" s="776"/>
      <c r="V528" s="776"/>
      <c r="W528" s="776"/>
      <c r="X528" s="776"/>
      <c r="Y528" s="785"/>
      <c r="Z528" s="776"/>
      <c r="AA528" s="776"/>
      <c r="AB528" s="776"/>
    </row>
    <row r="529" spans="1:28" ht="15.75" customHeight="1">
      <c r="A529" s="776"/>
      <c r="B529" s="776"/>
      <c r="C529" s="776"/>
      <c r="D529" s="776"/>
      <c r="E529" s="777"/>
      <c r="F529" s="776"/>
      <c r="G529" s="777"/>
      <c r="H529" s="776"/>
      <c r="I529" s="777"/>
      <c r="J529" s="777"/>
      <c r="K529" s="786"/>
      <c r="L529" s="777"/>
      <c r="M529" s="785"/>
      <c r="N529" s="785"/>
      <c r="O529" s="785"/>
      <c r="P529" s="785"/>
      <c r="Q529" s="785"/>
      <c r="R529" s="785"/>
      <c r="S529" s="776"/>
      <c r="T529" s="776"/>
      <c r="U529" s="776"/>
      <c r="V529" s="776"/>
      <c r="W529" s="776"/>
      <c r="X529" s="776"/>
      <c r="Y529" s="785"/>
      <c r="Z529" s="776"/>
      <c r="AA529" s="776"/>
      <c r="AB529" s="776"/>
    </row>
    <row r="530" spans="1:28" ht="15.75" customHeight="1">
      <c r="A530" s="776"/>
      <c r="B530" s="776"/>
      <c r="C530" s="776"/>
      <c r="D530" s="776"/>
      <c r="E530" s="777"/>
      <c r="F530" s="776"/>
      <c r="G530" s="777"/>
      <c r="H530" s="776"/>
      <c r="I530" s="777"/>
      <c r="J530" s="777"/>
      <c r="K530" s="786"/>
      <c r="L530" s="777"/>
      <c r="M530" s="785"/>
      <c r="N530" s="785"/>
      <c r="O530" s="785"/>
      <c r="P530" s="785"/>
      <c r="Q530" s="785"/>
      <c r="R530" s="785"/>
      <c r="S530" s="776"/>
      <c r="T530" s="776"/>
      <c r="U530" s="776"/>
      <c r="V530" s="776"/>
      <c r="W530" s="776"/>
      <c r="X530" s="776"/>
      <c r="Y530" s="785"/>
      <c r="Z530" s="776"/>
      <c r="AA530" s="776"/>
      <c r="AB530" s="776"/>
    </row>
    <row r="531" spans="1:28" ht="15.75" customHeight="1">
      <c r="A531" s="776"/>
      <c r="B531" s="776"/>
      <c r="C531" s="776"/>
      <c r="D531" s="776"/>
      <c r="E531" s="777"/>
      <c r="F531" s="776"/>
      <c r="G531" s="777"/>
      <c r="H531" s="776"/>
      <c r="I531" s="777"/>
      <c r="J531" s="777"/>
      <c r="K531" s="786"/>
      <c r="L531" s="777"/>
      <c r="M531" s="785"/>
      <c r="N531" s="785"/>
      <c r="O531" s="785"/>
      <c r="P531" s="785"/>
      <c r="Q531" s="785"/>
      <c r="R531" s="785"/>
      <c r="S531" s="776"/>
      <c r="T531" s="776"/>
      <c r="U531" s="776"/>
      <c r="V531" s="776"/>
      <c r="W531" s="776"/>
      <c r="X531" s="776"/>
      <c r="Y531" s="785"/>
      <c r="Z531" s="776"/>
      <c r="AA531" s="776"/>
      <c r="AB531" s="776"/>
    </row>
    <row r="532" spans="1:28" ht="15.75" customHeight="1">
      <c r="A532" s="776"/>
      <c r="B532" s="776"/>
      <c r="C532" s="776"/>
      <c r="D532" s="776"/>
      <c r="E532" s="777"/>
      <c r="F532" s="776"/>
      <c r="G532" s="777"/>
      <c r="H532" s="776"/>
      <c r="I532" s="777"/>
      <c r="J532" s="777"/>
      <c r="K532" s="786"/>
      <c r="L532" s="777"/>
      <c r="M532" s="785"/>
      <c r="N532" s="785"/>
      <c r="O532" s="785"/>
      <c r="P532" s="785"/>
      <c r="Q532" s="785"/>
      <c r="R532" s="785"/>
      <c r="S532" s="776"/>
      <c r="T532" s="776"/>
      <c r="U532" s="776"/>
      <c r="V532" s="776"/>
      <c r="W532" s="776"/>
      <c r="X532" s="776"/>
      <c r="Y532" s="785"/>
      <c r="Z532" s="776"/>
      <c r="AA532" s="776"/>
      <c r="AB532" s="776"/>
    </row>
    <row r="533" spans="1:28" ht="15.75" customHeight="1">
      <c r="A533" s="776"/>
      <c r="B533" s="776"/>
      <c r="C533" s="776"/>
      <c r="D533" s="776"/>
      <c r="E533" s="777"/>
      <c r="F533" s="776"/>
      <c r="G533" s="777"/>
      <c r="H533" s="776"/>
      <c r="I533" s="777"/>
      <c r="J533" s="777"/>
      <c r="K533" s="786"/>
      <c r="L533" s="777"/>
      <c r="M533" s="785"/>
      <c r="N533" s="785"/>
      <c r="O533" s="785"/>
      <c r="P533" s="785"/>
      <c r="Q533" s="785"/>
      <c r="R533" s="785"/>
      <c r="S533" s="776"/>
      <c r="T533" s="776"/>
      <c r="U533" s="776"/>
      <c r="V533" s="776"/>
      <c r="W533" s="776"/>
      <c r="X533" s="776"/>
      <c r="Y533" s="785"/>
      <c r="Z533" s="776"/>
      <c r="AA533" s="776"/>
      <c r="AB533" s="776"/>
    </row>
    <row r="534" spans="1:28" ht="15.75" customHeight="1">
      <c r="A534" s="776"/>
      <c r="B534" s="776"/>
      <c r="C534" s="776"/>
      <c r="D534" s="776"/>
      <c r="E534" s="777"/>
      <c r="F534" s="776"/>
      <c r="G534" s="777"/>
      <c r="H534" s="776"/>
      <c r="I534" s="777"/>
      <c r="J534" s="777"/>
      <c r="K534" s="786"/>
      <c r="L534" s="777"/>
      <c r="M534" s="785"/>
      <c r="N534" s="785"/>
      <c r="O534" s="785"/>
      <c r="P534" s="785"/>
      <c r="Q534" s="785"/>
      <c r="R534" s="785"/>
      <c r="S534" s="776"/>
      <c r="T534" s="776"/>
      <c r="U534" s="776"/>
      <c r="V534" s="776"/>
      <c r="W534" s="776"/>
      <c r="X534" s="776"/>
      <c r="Y534" s="785"/>
      <c r="Z534" s="776"/>
      <c r="AA534" s="776"/>
      <c r="AB534" s="776"/>
    </row>
    <row r="535" spans="1:28" ht="15.75" customHeight="1">
      <c r="A535" s="776"/>
      <c r="B535" s="776"/>
      <c r="C535" s="776"/>
      <c r="D535" s="776"/>
      <c r="E535" s="777"/>
      <c r="F535" s="776"/>
      <c r="G535" s="777"/>
      <c r="H535" s="776"/>
      <c r="I535" s="777"/>
      <c r="J535" s="777"/>
      <c r="K535" s="786"/>
      <c r="L535" s="777"/>
      <c r="M535" s="785"/>
      <c r="N535" s="785"/>
      <c r="O535" s="785"/>
      <c r="P535" s="785"/>
      <c r="Q535" s="785"/>
      <c r="R535" s="785"/>
      <c r="S535" s="776"/>
      <c r="T535" s="776"/>
      <c r="U535" s="776"/>
      <c r="V535" s="776"/>
      <c r="W535" s="776"/>
      <c r="X535" s="776"/>
      <c r="Y535" s="785"/>
      <c r="Z535" s="776"/>
      <c r="AA535" s="776"/>
      <c r="AB535" s="776"/>
    </row>
    <row r="536" spans="1:28" ht="15.75" customHeight="1">
      <c r="A536" s="776"/>
      <c r="B536" s="776"/>
      <c r="C536" s="776"/>
      <c r="D536" s="776"/>
      <c r="E536" s="777"/>
      <c r="F536" s="776"/>
      <c r="G536" s="777"/>
      <c r="H536" s="776"/>
      <c r="I536" s="777"/>
      <c r="J536" s="777"/>
      <c r="K536" s="786"/>
      <c r="L536" s="777"/>
      <c r="M536" s="785"/>
      <c r="N536" s="785"/>
      <c r="O536" s="785"/>
      <c r="P536" s="785"/>
      <c r="Q536" s="785"/>
      <c r="R536" s="785"/>
      <c r="S536" s="776"/>
      <c r="T536" s="776"/>
      <c r="U536" s="776"/>
      <c r="V536" s="776"/>
      <c r="W536" s="776"/>
      <c r="X536" s="776"/>
      <c r="Y536" s="785"/>
      <c r="Z536" s="776"/>
      <c r="AA536" s="776"/>
      <c r="AB536" s="776"/>
    </row>
    <row r="537" spans="1:28" ht="15.75" customHeight="1">
      <c r="A537" s="776"/>
      <c r="B537" s="776"/>
      <c r="C537" s="776"/>
      <c r="D537" s="776"/>
      <c r="E537" s="777"/>
      <c r="F537" s="776"/>
      <c r="G537" s="777"/>
      <c r="H537" s="776"/>
      <c r="I537" s="777"/>
      <c r="J537" s="777"/>
      <c r="K537" s="786"/>
      <c r="L537" s="777"/>
      <c r="M537" s="785"/>
      <c r="N537" s="785"/>
      <c r="O537" s="785"/>
      <c r="P537" s="785"/>
      <c r="Q537" s="785"/>
      <c r="R537" s="785"/>
      <c r="S537" s="776"/>
      <c r="T537" s="776"/>
      <c r="U537" s="776"/>
      <c r="V537" s="776"/>
      <c r="W537" s="776"/>
      <c r="X537" s="776"/>
      <c r="Y537" s="785"/>
      <c r="Z537" s="776"/>
      <c r="AA537" s="776"/>
      <c r="AB537" s="776"/>
    </row>
    <row r="538" spans="1:28" ht="15.75" customHeight="1">
      <c r="A538" s="776"/>
      <c r="B538" s="776"/>
      <c r="C538" s="776"/>
      <c r="D538" s="776"/>
      <c r="E538" s="777"/>
      <c r="F538" s="776"/>
      <c r="G538" s="777"/>
      <c r="H538" s="776"/>
      <c r="I538" s="777"/>
      <c r="J538" s="777"/>
      <c r="K538" s="786"/>
      <c r="L538" s="777"/>
      <c r="M538" s="785"/>
      <c r="N538" s="785"/>
      <c r="O538" s="785"/>
      <c r="P538" s="785"/>
      <c r="Q538" s="785"/>
      <c r="R538" s="785"/>
      <c r="S538" s="776"/>
      <c r="T538" s="776"/>
      <c r="U538" s="776"/>
      <c r="V538" s="776"/>
      <c r="W538" s="776"/>
      <c r="X538" s="776"/>
      <c r="Y538" s="785"/>
      <c r="Z538" s="776"/>
      <c r="AA538" s="776"/>
      <c r="AB538" s="776"/>
    </row>
    <row r="539" spans="1:28" ht="15.75" customHeight="1">
      <c r="A539" s="776"/>
      <c r="B539" s="776"/>
      <c r="C539" s="776"/>
      <c r="D539" s="776"/>
      <c r="E539" s="777"/>
      <c r="F539" s="776"/>
      <c r="G539" s="777"/>
      <c r="H539" s="776"/>
      <c r="I539" s="777"/>
      <c r="J539" s="777"/>
      <c r="K539" s="786"/>
      <c r="L539" s="777"/>
      <c r="M539" s="785"/>
      <c r="N539" s="785"/>
      <c r="O539" s="785"/>
      <c r="P539" s="785"/>
      <c r="Q539" s="785"/>
      <c r="R539" s="785"/>
      <c r="S539" s="776"/>
      <c r="T539" s="776"/>
      <c r="U539" s="776"/>
      <c r="V539" s="776"/>
      <c r="W539" s="776"/>
      <c r="X539" s="776"/>
      <c r="Y539" s="785"/>
      <c r="Z539" s="776"/>
      <c r="AA539" s="776"/>
      <c r="AB539" s="776"/>
    </row>
    <row r="540" spans="1:28" ht="15.75" customHeight="1">
      <c r="A540" s="776"/>
      <c r="B540" s="776"/>
      <c r="C540" s="776"/>
      <c r="D540" s="776"/>
      <c r="E540" s="777"/>
      <c r="F540" s="776"/>
      <c r="G540" s="777"/>
      <c r="H540" s="776"/>
      <c r="I540" s="777"/>
      <c r="J540" s="777"/>
      <c r="K540" s="786"/>
      <c r="L540" s="777"/>
      <c r="M540" s="785"/>
      <c r="N540" s="785"/>
      <c r="O540" s="785"/>
      <c r="P540" s="785"/>
      <c r="Q540" s="785"/>
      <c r="R540" s="785"/>
      <c r="S540" s="776"/>
      <c r="T540" s="776"/>
      <c r="U540" s="776"/>
      <c r="V540" s="776"/>
      <c r="W540" s="776"/>
      <c r="X540" s="776"/>
      <c r="Y540" s="785"/>
      <c r="Z540" s="776"/>
      <c r="AA540" s="776"/>
      <c r="AB540" s="776"/>
    </row>
    <row r="541" spans="1:28" ht="15.75" customHeight="1">
      <c r="A541" s="776"/>
      <c r="B541" s="776"/>
      <c r="C541" s="776"/>
      <c r="D541" s="776"/>
      <c r="E541" s="777"/>
      <c r="F541" s="776"/>
      <c r="G541" s="777"/>
      <c r="H541" s="776"/>
      <c r="I541" s="777"/>
      <c r="J541" s="777"/>
      <c r="K541" s="786"/>
      <c r="L541" s="777"/>
      <c r="M541" s="785"/>
      <c r="N541" s="785"/>
      <c r="O541" s="785"/>
      <c r="P541" s="785"/>
      <c r="Q541" s="785"/>
      <c r="R541" s="785"/>
      <c r="S541" s="776"/>
      <c r="T541" s="776"/>
      <c r="U541" s="776"/>
      <c r="V541" s="776"/>
      <c r="W541" s="776"/>
      <c r="X541" s="776"/>
      <c r="Y541" s="785"/>
      <c r="Z541" s="776"/>
      <c r="AA541" s="776"/>
      <c r="AB541" s="776"/>
    </row>
    <row r="542" spans="1:28" ht="15.75" customHeight="1">
      <c r="A542" s="776"/>
      <c r="B542" s="776"/>
      <c r="C542" s="776"/>
      <c r="D542" s="776"/>
      <c r="E542" s="777"/>
      <c r="F542" s="776"/>
      <c r="G542" s="777"/>
      <c r="H542" s="776"/>
      <c r="I542" s="777"/>
      <c r="J542" s="777"/>
      <c r="K542" s="786"/>
      <c r="L542" s="777"/>
      <c r="M542" s="785"/>
      <c r="N542" s="785"/>
      <c r="O542" s="785"/>
      <c r="P542" s="785"/>
      <c r="Q542" s="785"/>
      <c r="R542" s="785"/>
      <c r="S542" s="776"/>
      <c r="T542" s="776"/>
      <c r="U542" s="776"/>
      <c r="V542" s="776"/>
      <c r="W542" s="776"/>
      <c r="X542" s="776"/>
      <c r="Y542" s="785"/>
      <c r="Z542" s="776"/>
      <c r="AA542" s="776"/>
      <c r="AB542" s="776"/>
    </row>
    <row r="543" spans="1:28" ht="15.75" customHeight="1">
      <c r="A543" s="776"/>
      <c r="B543" s="776"/>
      <c r="C543" s="776"/>
      <c r="D543" s="776"/>
      <c r="E543" s="777"/>
      <c r="F543" s="776"/>
      <c r="G543" s="777"/>
      <c r="H543" s="776"/>
      <c r="I543" s="777"/>
      <c r="J543" s="777"/>
      <c r="K543" s="786"/>
      <c r="L543" s="777"/>
      <c r="M543" s="785"/>
      <c r="N543" s="785"/>
      <c r="O543" s="785"/>
      <c r="P543" s="785"/>
      <c r="Q543" s="785"/>
      <c r="R543" s="785"/>
      <c r="S543" s="776"/>
      <c r="T543" s="776"/>
      <c r="U543" s="776"/>
      <c r="V543" s="776"/>
      <c r="W543" s="776"/>
      <c r="X543" s="776"/>
      <c r="Y543" s="785"/>
      <c r="Z543" s="776"/>
      <c r="AA543" s="776"/>
      <c r="AB543" s="776"/>
    </row>
    <row r="544" spans="1:28" ht="15.75" customHeight="1">
      <c r="A544" s="776"/>
      <c r="B544" s="776"/>
      <c r="C544" s="776"/>
      <c r="D544" s="776"/>
      <c r="E544" s="777"/>
      <c r="F544" s="776"/>
      <c r="G544" s="777"/>
      <c r="H544" s="776"/>
      <c r="I544" s="777"/>
      <c r="J544" s="777"/>
      <c r="K544" s="786"/>
      <c r="L544" s="777"/>
      <c r="M544" s="785"/>
      <c r="N544" s="785"/>
      <c r="O544" s="785"/>
      <c r="P544" s="785"/>
      <c r="Q544" s="785"/>
      <c r="R544" s="785"/>
      <c r="S544" s="776"/>
      <c r="T544" s="776"/>
      <c r="U544" s="776"/>
      <c r="V544" s="776"/>
      <c r="W544" s="776"/>
      <c r="X544" s="776"/>
      <c r="Y544" s="785"/>
      <c r="Z544" s="776"/>
      <c r="AA544" s="776"/>
      <c r="AB544" s="776"/>
    </row>
    <row r="545" spans="1:28" ht="15.75" customHeight="1">
      <c r="A545" s="776"/>
      <c r="B545" s="776"/>
      <c r="C545" s="776"/>
      <c r="D545" s="776"/>
      <c r="E545" s="777"/>
      <c r="F545" s="776"/>
      <c r="G545" s="777"/>
      <c r="H545" s="776"/>
      <c r="I545" s="777"/>
      <c r="J545" s="777"/>
      <c r="K545" s="786"/>
      <c r="L545" s="777"/>
      <c r="M545" s="785"/>
      <c r="N545" s="785"/>
      <c r="O545" s="785"/>
      <c r="P545" s="785"/>
      <c r="Q545" s="785"/>
      <c r="R545" s="785"/>
      <c r="S545" s="776"/>
      <c r="T545" s="776"/>
      <c r="U545" s="776"/>
      <c r="V545" s="776"/>
      <c r="W545" s="776"/>
      <c r="X545" s="776"/>
      <c r="Y545" s="785"/>
      <c r="Z545" s="776"/>
      <c r="AA545" s="776"/>
      <c r="AB545" s="776"/>
    </row>
    <row r="546" spans="1:28" ht="15.75" customHeight="1">
      <c r="A546" s="776"/>
      <c r="B546" s="776"/>
      <c r="C546" s="776"/>
      <c r="D546" s="776"/>
      <c r="E546" s="777"/>
      <c r="F546" s="776"/>
      <c r="G546" s="777"/>
      <c r="H546" s="776"/>
      <c r="I546" s="777"/>
      <c r="J546" s="777"/>
      <c r="K546" s="786"/>
      <c r="L546" s="777"/>
      <c r="M546" s="785"/>
      <c r="N546" s="785"/>
      <c r="O546" s="785"/>
      <c r="P546" s="785"/>
      <c r="Q546" s="785"/>
      <c r="R546" s="785"/>
      <c r="S546" s="776"/>
      <c r="T546" s="776"/>
      <c r="U546" s="776"/>
      <c r="V546" s="776"/>
      <c r="W546" s="776"/>
      <c r="X546" s="776"/>
      <c r="Y546" s="785"/>
      <c r="Z546" s="776"/>
      <c r="AA546" s="776"/>
      <c r="AB546" s="776"/>
    </row>
    <row r="547" spans="1:28" ht="15.75" customHeight="1">
      <c r="A547" s="776"/>
      <c r="B547" s="776"/>
      <c r="C547" s="776"/>
      <c r="D547" s="776"/>
      <c r="E547" s="777"/>
      <c r="F547" s="776"/>
      <c r="G547" s="777"/>
      <c r="H547" s="776"/>
      <c r="I547" s="777"/>
      <c r="J547" s="777"/>
      <c r="K547" s="786"/>
      <c r="L547" s="777"/>
      <c r="M547" s="785"/>
      <c r="N547" s="785"/>
      <c r="O547" s="785"/>
      <c r="P547" s="785"/>
      <c r="Q547" s="785"/>
      <c r="R547" s="785"/>
      <c r="S547" s="776"/>
      <c r="T547" s="776"/>
      <c r="U547" s="776"/>
      <c r="V547" s="776"/>
      <c r="W547" s="776"/>
      <c r="X547" s="776"/>
      <c r="Y547" s="785"/>
      <c r="Z547" s="776"/>
      <c r="AA547" s="776"/>
      <c r="AB547" s="776"/>
    </row>
    <row r="548" spans="1:28" ht="15.75" customHeight="1">
      <c r="A548" s="776"/>
      <c r="B548" s="776"/>
      <c r="C548" s="776"/>
      <c r="D548" s="776"/>
      <c r="E548" s="777"/>
      <c r="F548" s="776"/>
      <c r="G548" s="777"/>
      <c r="H548" s="776"/>
      <c r="I548" s="777"/>
      <c r="J548" s="777"/>
      <c r="K548" s="786"/>
      <c r="L548" s="777"/>
      <c r="M548" s="785"/>
      <c r="N548" s="785"/>
      <c r="O548" s="785"/>
      <c r="P548" s="785"/>
      <c r="Q548" s="785"/>
      <c r="R548" s="785"/>
      <c r="S548" s="776"/>
      <c r="T548" s="776"/>
      <c r="U548" s="776"/>
      <c r="V548" s="776"/>
      <c r="W548" s="776"/>
      <c r="X548" s="776"/>
      <c r="Y548" s="785"/>
      <c r="Z548" s="776"/>
      <c r="AA548" s="776"/>
      <c r="AB548" s="776"/>
    </row>
    <row r="549" spans="1:28" ht="15.75" customHeight="1">
      <c r="A549" s="776"/>
      <c r="B549" s="776"/>
      <c r="C549" s="776"/>
      <c r="D549" s="776"/>
      <c r="E549" s="777"/>
      <c r="F549" s="776"/>
      <c r="G549" s="777"/>
      <c r="H549" s="776"/>
      <c r="I549" s="777"/>
      <c r="J549" s="777"/>
      <c r="K549" s="786"/>
      <c r="L549" s="777"/>
      <c r="M549" s="785"/>
      <c r="N549" s="785"/>
      <c r="O549" s="785"/>
      <c r="P549" s="785"/>
      <c r="Q549" s="785"/>
      <c r="R549" s="785"/>
      <c r="S549" s="776"/>
      <c r="T549" s="776"/>
      <c r="U549" s="776"/>
      <c r="V549" s="776"/>
      <c r="W549" s="776"/>
      <c r="X549" s="776"/>
      <c r="Y549" s="785"/>
      <c r="Z549" s="776"/>
      <c r="AA549" s="776"/>
      <c r="AB549" s="776"/>
    </row>
    <row r="550" spans="1:28" ht="15.75" customHeight="1">
      <c r="A550" s="776"/>
      <c r="B550" s="776"/>
      <c r="C550" s="776"/>
      <c r="D550" s="776"/>
      <c r="E550" s="777"/>
      <c r="F550" s="776"/>
      <c r="G550" s="777"/>
      <c r="H550" s="776"/>
      <c r="I550" s="777"/>
      <c r="J550" s="777"/>
      <c r="K550" s="786"/>
      <c r="L550" s="777"/>
      <c r="M550" s="785"/>
      <c r="N550" s="785"/>
      <c r="O550" s="785"/>
      <c r="P550" s="785"/>
      <c r="Q550" s="785"/>
      <c r="R550" s="785"/>
      <c r="S550" s="776"/>
      <c r="T550" s="776"/>
      <c r="U550" s="776"/>
      <c r="V550" s="776"/>
      <c r="W550" s="776"/>
      <c r="X550" s="776"/>
      <c r="Y550" s="785"/>
      <c r="Z550" s="776"/>
      <c r="AA550" s="776"/>
      <c r="AB550" s="776"/>
    </row>
    <row r="551" spans="1:28" ht="15.75" customHeight="1">
      <c r="A551" s="776"/>
      <c r="B551" s="776"/>
      <c r="C551" s="776"/>
      <c r="D551" s="776"/>
      <c r="E551" s="777"/>
      <c r="F551" s="776"/>
      <c r="G551" s="777"/>
      <c r="H551" s="776"/>
      <c r="I551" s="777"/>
      <c r="J551" s="777"/>
      <c r="K551" s="786"/>
      <c r="L551" s="777"/>
      <c r="M551" s="785"/>
      <c r="N551" s="785"/>
      <c r="O551" s="785"/>
      <c r="P551" s="785"/>
      <c r="Q551" s="785"/>
      <c r="R551" s="785"/>
      <c r="S551" s="776"/>
      <c r="T551" s="776"/>
      <c r="U551" s="776"/>
      <c r="V551" s="776"/>
      <c r="W551" s="776"/>
      <c r="X551" s="776"/>
      <c r="Y551" s="785"/>
      <c r="Z551" s="776"/>
      <c r="AA551" s="776"/>
      <c r="AB551" s="776"/>
    </row>
    <row r="552" spans="1:28" ht="15.75" customHeight="1">
      <c r="A552" s="776"/>
      <c r="B552" s="776"/>
      <c r="C552" s="776"/>
      <c r="D552" s="776"/>
      <c r="E552" s="777"/>
      <c r="F552" s="776"/>
      <c r="G552" s="777"/>
      <c r="H552" s="776"/>
      <c r="I552" s="777"/>
      <c r="J552" s="777"/>
      <c r="K552" s="786"/>
      <c r="L552" s="777"/>
      <c r="M552" s="785"/>
      <c r="N552" s="785"/>
      <c r="O552" s="785"/>
      <c r="P552" s="785"/>
      <c r="Q552" s="785"/>
      <c r="R552" s="785"/>
      <c r="S552" s="776"/>
      <c r="T552" s="776"/>
      <c r="U552" s="776"/>
      <c r="V552" s="776"/>
      <c r="W552" s="776"/>
      <c r="X552" s="776"/>
      <c r="Y552" s="785"/>
      <c r="Z552" s="776"/>
      <c r="AA552" s="776"/>
      <c r="AB552" s="776"/>
    </row>
    <row r="553" spans="1:28" ht="15.75" customHeight="1">
      <c r="A553" s="776"/>
      <c r="B553" s="776"/>
      <c r="C553" s="776"/>
      <c r="D553" s="776"/>
      <c r="E553" s="777"/>
      <c r="F553" s="776"/>
      <c r="G553" s="777"/>
      <c r="H553" s="776"/>
      <c r="I553" s="777"/>
      <c r="J553" s="777"/>
      <c r="K553" s="786"/>
      <c r="L553" s="777"/>
      <c r="M553" s="785"/>
      <c r="N553" s="785"/>
      <c r="O553" s="785"/>
      <c r="P553" s="785"/>
      <c r="Q553" s="785"/>
      <c r="R553" s="785"/>
      <c r="S553" s="776"/>
      <c r="T553" s="776"/>
      <c r="U553" s="776"/>
      <c r="V553" s="776"/>
      <c r="W553" s="776"/>
      <c r="X553" s="776"/>
      <c r="Y553" s="785"/>
      <c r="Z553" s="776"/>
      <c r="AA553" s="776"/>
      <c r="AB553" s="776"/>
    </row>
    <row r="554" spans="1:28" ht="15.75" customHeight="1">
      <c r="A554" s="776"/>
      <c r="B554" s="776"/>
      <c r="C554" s="776"/>
      <c r="D554" s="776"/>
      <c r="E554" s="777"/>
      <c r="F554" s="776"/>
      <c r="G554" s="777"/>
      <c r="H554" s="776"/>
      <c r="I554" s="777"/>
      <c r="J554" s="777"/>
      <c r="K554" s="786"/>
      <c r="L554" s="777"/>
      <c r="M554" s="785"/>
      <c r="N554" s="785"/>
      <c r="O554" s="785"/>
      <c r="P554" s="785"/>
      <c r="Q554" s="785"/>
      <c r="R554" s="785"/>
      <c r="S554" s="776"/>
      <c r="T554" s="776"/>
      <c r="U554" s="776"/>
      <c r="V554" s="776"/>
      <c r="W554" s="776"/>
      <c r="X554" s="776"/>
      <c r="Y554" s="785"/>
      <c r="Z554" s="776"/>
      <c r="AA554" s="776"/>
      <c r="AB554" s="776"/>
    </row>
    <row r="555" spans="1:28" ht="15.75" customHeight="1">
      <c r="A555" s="776"/>
      <c r="B555" s="776"/>
      <c r="C555" s="776"/>
      <c r="D555" s="776"/>
      <c r="E555" s="777"/>
      <c r="F555" s="776"/>
      <c r="G555" s="777"/>
      <c r="H555" s="776"/>
      <c r="I555" s="777"/>
      <c r="J555" s="777"/>
      <c r="K555" s="786"/>
      <c r="L555" s="777"/>
      <c r="M555" s="785"/>
      <c r="N555" s="785"/>
      <c r="O555" s="785"/>
      <c r="P555" s="785"/>
      <c r="Q555" s="785"/>
      <c r="R555" s="785"/>
      <c r="S555" s="776"/>
      <c r="T555" s="776"/>
      <c r="U555" s="776"/>
      <c r="V555" s="776"/>
      <c r="W555" s="776"/>
      <c r="X555" s="776"/>
      <c r="Y555" s="785"/>
      <c r="Z555" s="776"/>
      <c r="AA555" s="776"/>
      <c r="AB555" s="776"/>
    </row>
    <row r="556" spans="1:28" ht="15.75" customHeight="1">
      <c r="A556" s="776"/>
      <c r="B556" s="776"/>
      <c r="C556" s="776"/>
      <c r="D556" s="776"/>
      <c r="E556" s="777"/>
      <c r="F556" s="776"/>
      <c r="G556" s="777"/>
      <c r="H556" s="776"/>
      <c r="I556" s="777"/>
      <c r="J556" s="777"/>
      <c r="K556" s="786"/>
      <c r="L556" s="777"/>
      <c r="M556" s="785"/>
      <c r="N556" s="785"/>
      <c r="O556" s="785"/>
      <c r="P556" s="785"/>
      <c r="Q556" s="785"/>
      <c r="R556" s="785"/>
      <c r="S556" s="776"/>
      <c r="T556" s="776"/>
      <c r="U556" s="776"/>
      <c r="V556" s="776"/>
      <c r="W556" s="776"/>
      <c r="X556" s="776"/>
      <c r="Y556" s="785"/>
      <c r="Z556" s="776"/>
      <c r="AA556" s="776"/>
      <c r="AB556" s="776"/>
    </row>
    <row r="557" spans="1:28" ht="15.75" customHeight="1">
      <c r="A557" s="776"/>
      <c r="B557" s="776"/>
      <c r="C557" s="776"/>
      <c r="D557" s="776"/>
      <c r="E557" s="777"/>
      <c r="F557" s="776"/>
      <c r="G557" s="777"/>
      <c r="H557" s="776"/>
      <c r="I557" s="777"/>
      <c r="J557" s="777"/>
      <c r="K557" s="786"/>
      <c r="L557" s="777"/>
      <c r="M557" s="785"/>
      <c r="N557" s="785"/>
      <c r="O557" s="785"/>
      <c r="P557" s="785"/>
      <c r="Q557" s="785"/>
      <c r="R557" s="785"/>
      <c r="S557" s="776"/>
      <c r="T557" s="776"/>
      <c r="U557" s="776"/>
      <c r="V557" s="776"/>
      <c r="W557" s="776"/>
      <c r="X557" s="776"/>
      <c r="Y557" s="785"/>
      <c r="Z557" s="776"/>
      <c r="AA557" s="776"/>
      <c r="AB557" s="776"/>
    </row>
    <row r="558" spans="1:28" ht="15.75" customHeight="1">
      <c r="A558" s="776"/>
      <c r="B558" s="776"/>
      <c r="C558" s="776"/>
      <c r="D558" s="776"/>
      <c r="E558" s="777"/>
      <c r="F558" s="776"/>
      <c r="G558" s="777"/>
      <c r="H558" s="776"/>
      <c r="I558" s="777"/>
      <c r="J558" s="777"/>
      <c r="K558" s="786"/>
      <c r="L558" s="777"/>
      <c r="M558" s="785"/>
      <c r="N558" s="785"/>
      <c r="O558" s="785"/>
      <c r="P558" s="785"/>
      <c r="Q558" s="785"/>
      <c r="R558" s="785"/>
      <c r="S558" s="776"/>
      <c r="T558" s="776"/>
      <c r="U558" s="776"/>
      <c r="V558" s="776"/>
      <c r="W558" s="776"/>
      <c r="X558" s="776"/>
      <c r="Y558" s="785"/>
      <c r="Z558" s="776"/>
      <c r="AA558" s="776"/>
      <c r="AB558" s="776"/>
    </row>
    <row r="559" spans="1:28" ht="15.75" customHeight="1">
      <c r="A559" s="776"/>
      <c r="B559" s="776"/>
      <c r="C559" s="776"/>
      <c r="D559" s="776"/>
      <c r="E559" s="777"/>
      <c r="F559" s="776"/>
      <c r="G559" s="777"/>
      <c r="H559" s="776"/>
      <c r="I559" s="777"/>
      <c r="J559" s="777"/>
      <c r="K559" s="786"/>
      <c r="L559" s="777"/>
      <c r="M559" s="785"/>
      <c r="N559" s="785"/>
      <c r="O559" s="785"/>
      <c r="P559" s="785"/>
      <c r="Q559" s="785"/>
      <c r="R559" s="785"/>
      <c r="S559" s="776"/>
      <c r="T559" s="776"/>
      <c r="U559" s="776"/>
      <c r="V559" s="776"/>
      <c r="W559" s="776"/>
      <c r="X559" s="776"/>
      <c r="Y559" s="785"/>
      <c r="Z559" s="776"/>
      <c r="AA559" s="776"/>
      <c r="AB559" s="776"/>
    </row>
    <row r="560" spans="1:28" ht="15.75" customHeight="1">
      <c r="A560" s="776"/>
      <c r="B560" s="776"/>
      <c r="C560" s="776"/>
      <c r="D560" s="776"/>
      <c r="E560" s="777"/>
      <c r="F560" s="776"/>
      <c r="G560" s="777"/>
      <c r="H560" s="776"/>
      <c r="I560" s="777"/>
      <c r="J560" s="777"/>
      <c r="K560" s="786"/>
      <c r="L560" s="777"/>
      <c r="M560" s="785"/>
      <c r="N560" s="785"/>
      <c r="O560" s="785"/>
      <c r="P560" s="785"/>
      <c r="Q560" s="785"/>
      <c r="R560" s="785"/>
      <c r="S560" s="776"/>
      <c r="T560" s="776"/>
      <c r="U560" s="776"/>
      <c r="V560" s="776"/>
      <c r="W560" s="776"/>
      <c r="X560" s="776"/>
      <c r="Y560" s="785"/>
      <c r="Z560" s="776"/>
      <c r="AA560" s="776"/>
      <c r="AB560" s="776"/>
    </row>
    <row r="561" spans="1:28" ht="15.75" customHeight="1">
      <c r="A561" s="776"/>
      <c r="B561" s="776"/>
      <c r="C561" s="776"/>
      <c r="D561" s="776"/>
      <c r="E561" s="777"/>
      <c r="F561" s="776"/>
      <c r="G561" s="777"/>
      <c r="H561" s="776"/>
      <c r="I561" s="777"/>
      <c r="J561" s="777"/>
      <c r="K561" s="786"/>
      <c r="L561" s="777"/>
      <c r="M561" s="785"/>
      <c r="N561" s="785"/>
      <c r="O561" s="785"/>
      <c r="P561" s="785"/>
      <c r="Q561" s="785"/>
      <c r="R561" s="785"/>
      <c r="S561" s="776"/>
      <c r="T561" s="776"/>
      <c r="U561" s="776"/>
      <c r="V561" s="776"/>
      <c r="W561" s="776"/>
      <c r="X561" s="776"/>
      <c r="Y561" s="785"/>
      <c r="Z561" s="776"/>
      <c r="AA561" s="776"/>
      <c r="AB561" s="776"/>
    </row>
    <row r="562" spans="1:28" ht="15.75" customHeight="1">
      <c r="A562" s="776"/>
      <c r="B562" s="776"/>
      <c r="C562" s="776"/>
      <c r="D562" s="776"/>
      <c r="E562" s="777"/>
      <c r="F562" s="776"/>
      <c r="G562" s="777"/>
      <c r="H562" s="776"/>
      <c r="I562" s="777"/>
      <c r="J562" s="777"/>
      <c r="K562" s="786"/>
      <c r="L562" s="777"/>
      <c r="M562" s="785"/>
      <c r="N562" s="785"/>
      <c r="O562" s="785"/>
      <c r="P562" s="785"/>
      <c r="Q562" s="785"/>
      <c r="R562" s="785"/>
      <c r="S562" s="776"/>
      <c r="T562" s="776"/>
      <c r="U562" s="776"/>
      <c r="V562" s="776"/>
      <c r="W562" s="776"/>
      <c r="X562" s="776"/>
      <c r="Y562" s="785"/>
      <c r="Z562" s="776"/>
      <c r="AA562" s="776"/>
      <c r="AB562" s="776"/>
    </row>
    <row r="563" spans="1:28" ht="15.75" customHeight="1">
      <c r="A563" s="776"/>
      <c r="B563" s="776"/>
      <c r="C563" s="776"/>
      <c r="D563" s="776"/>
      <c r="E563" s="777"/>
      <c r="F563" s="776"/>
      <c r="G563" s="777"/>
      <c r="H563" s="776"/>
      <c r="I563" s="777"/>
      <c r="J563" s="777"/>
      <c r="K563" s="786"/>
      <c r="L563" s="777"/>
      <c r="M563" s="785"/>
      <c r="N563" s="785"/>
      <c r="O563" s="785"/>
      <c r="P563" s="785"/>
      <c r="Q563" s="785"/>
      <c r="R563" s="785"/>
      <c r="S563" s="776"/>
      <c r="T563" s="776"/>
      <c r="U563" s="776"/>
      <c r="V563" s="776"/>
      <c r="W563" s="776"/>
      <c r="X563" s="776"/>
      <c r="Y563" s="785"/>
      <c r="Z563" s="776"/>
      <c r="AA563" s="776"/>
      <c r="AB563" s="776"/>
    </row>
    <row r="564" spans="1:28" ht="15.75" customHeight="1">
      <c r="A564" s="776"/>
      <c r="B564" s="776"/>
      <c r="C564" s="776"/>
      <c r="D564" s="776"/>
      <c r="E564" s="777"/>
      <c r="F564" s="776"/>
      <c r="G564" s="777"/>
      <c r="H564" s="776"/>
      <c r="I564" s="777"/>
      <c r="J564" s="777"/>
      <c r="K564" s="786"/>
      <c r="L564" s="777"/>
      <c r="M564" s="785"/>
      <c r="N564" s="785"/>
      <c r="O564" s="785"/>
      <c r="P564" s="785"/>
      <c r="Q564" s="785"/>
      <c r="R564" s="785"/>
      <c r="S564" s="776"/>
      <c r="T564" s="776"/>
      <c r="U564" s="776"/>
      <c r="V564" s="776"/>
      <c r="W564" s="776"/>
      <c r="X564" s="776"/>
      <c r="Y564" s="785"/>
      <c r="Z564" s="776"/>
      <c r="AA564" s="776"/>
      <c r="AB564" s="776"/>
    </row>
    <row r="565" spans="1:28" ht="15.75" customHeight="1">
      <c r="A565" s="776"/>
      <c r="B565" s="776"/>
      <c r="C565" s="776"/>
      <c r="D565" s="776"/>
      <c r="E565" s="777"/>
      <c r="F565" s="776"/>
      <c r="G565" s="777"/>
      <c r="H565" s="776"/>
      <c r="I565" s="777"/>
      <c r="J565" s="777"/>
      <c r="K565" s="786"/>
      <c r="L565" s="777"/>
      <c r="M565" s="785"/>
      <c r="N565" s="785"/>
      <c r="O565" s="785"/>
      <c r="P565" s="785"/>
      <c r="Q565" s="785"/>
      <c r="R565" s="785"/>
      <c r="S565" s="776"/>
      <c r="T565" s="776"/>
      <c r="U565" s="776"/>
      <c r="V565" s="776"/>
      <c r="W565" s="776"/>
      <c r="X565" s="776"/>
      <c r="Y565" s="785"/>
      <c r="Z565" s="776"/>
      <c r="AA565" s="776"/>
      <c r="AB565" s="776"/>
    </row>
    <row r="566" spans="1:28" ht="15.75" customHeight="1">
      <c r="A566" s="776"/>
      <c r="B566" s="776"/>
      <c r="C566" s="776"/>
      <c r="D566" s="776"/>
      <c r="E566" s="777"/>
      <c r="F566" s="776"/>
      <c r="G566" s="777"/>
      <c r="H566" s="776"/>
      <c r="I566" s="777"/>
      <c r="J566" s="777"/>
      <c r="K566" s="786"/>
      <c r="L566" s="777"/>
      <c r="M566" s="785"/>
      <c r="N566" s="785"/>
      <c r="O566" s="785"/>
      <c r="P566" s="785"/>
      <c r="Q566" s="785"/>
      <c r="R566" s="785"/>
      <c r="S566" s="776"/>
      <c r="T566" s="776"/>
      <c r="U566" s="776"/>
      <c r="V566" s="776"/>
      <c r="W566" s="776"/>
      <c r="X566" s="776"/>
      <c r="Y566" s="785"/>
      <c r="Z566" s="776"/>
      <c r="AA566" s="776"/>
      <c r="AB566" s="776"/>
    </row>
    <row r="567" spans="1:28" ht="15.75" customHeight="1">
      <c r="A567" s="776"/>
      <c r="B567" s="776"/>
      <c r="C567" s="776"/>
      <c r="D567" s="776"/>
      <c r="E567" s="777"/>
      <c r="F567" s="776"/>
      <c r="G567" s="777"/>
      <c r="H567" s="776"/>
      <c r="I567" s="777"/>
      <c r="J567" s="777"/>
      <c r="K567" s="786"/>
      <c r="L567" s="777"/>
      <c r="M567" s="785"/>
      <c r="N567" s="785"/>
      <c r="O567" s="785"/>
      <c r="P567" s="785"/>
      <c r="Q567" s="785"/>
      <c r="R567" s="785"/>
      <c r="S567" s="776"/>
      <c r="T567" s="776"/>
      <c r="U567" s="776"/>
      <c r="V567" s="776"/>
      <c r="W567" s="776"/>
      <c r="X567" s="776"/>
      <c r="Y567" s="785"/>
      <c r="Z567" s="776"/>
      <c r="AA567" s="776"/>
      <c r="AB567" s="776"/>
    </row>
    <row r="568" spans="1:28" ht="15.75" customHeight="1">
      <c r="A568" s="776"/>
      <c r="B568" s="776"/>
      <c r="C568" s="776"/>
      <c r="D568" s="776"/>
      <c r="E568" s="777"/>
      <c r="F568" s="776"/>
      <c r="G568" s="777"/>
      <c r="H568" s="776"/>
      <c r="I568" s="777"/>
      <c r="J568" s="777"/>
      <c r="K568" s="786"/>
      <c r="L568" s="777"/>
      <c r="M568" s="785"/>
      <c r="N568" s="785"/>
      <c r="O568" s="785"/>
      <c r="P568" s="785"/>
      <c r="Q568" s="785"/>
      <c r="R568" s="785"/>
      <c r="S568" s="776"/>
      <c r="T568" s="776"/>
      <c r="U568" s="776"/>
      <c r="V568" s="776"/>
      <c r="W568" s="776"/>
      <c r="X568" s="776"/>
      <c r="Y568" s="785"/>
      <c r="Z568" s="776"/>
      <c r="AA568" s="776"/>
      <c r="AB568" s="776"/>
    </row>
    <row r="569" spans="1:28" ht="15.75" customHeight="1">
      <c r="A569" s="776"/>
      <c r="B569" s="776"/>
      <c r="C569" s="776"/>
      <c r="D569" s="776"/>
      <c r="E569" s="777"/>
      <c r="F569" s="776"/>
      <c r="G569" s="777"/>
      <c r="H569" s="776"/>
      <c r="I569" s="777"/>
      <c r="J569" s="777"/>
      <c r="K569" s="786"/>
      <c r="L569" s="777"/>
      <c r="M569" s="785"/>
      <c r="N569" s="785"/>
      <c r="O569" s="785"/>
      <c r="P569" s="785"/>
      <c r="Q569" s="785"/>
      <c r="R569" s="785"/>
      <c r="S569" s="776"/>
      <c r="T569" s="776"/>
      <c r="U569" s="776"/>
      <c r="V569" s="776"/>
      <c r="W569" s="776"/>
      <c r="X569" s="776"/>
      <c r="Y569" s="785"/>
      <c r="Z569" s="776"/>
      <c r="AA569" s="776"/>
      <c r="AB569" s="776"/>
    </row>
    <row r="570" spans="1:28" ht="15.75" customHeight="1">
      <c r="A570" s="776"/>
      <c r="B570" s="776"/>
      <c r="C570" s="776"/>
      <c r="D570" s="776"/>
      <c r="E570" s="777"/>
      <c r="F570" s="776"/>
      <c r="G570" s="777"/>
      <c r="H570" s="776"/>
      <c r="I570" s="777"/>
      <c r="J570" s="777"/>
      <c r="K570" s="786"/>
      <c r="L570" s="777"/>
      <c r="M570" s="785"/>
      <c r="N570" s="785"/>
      <c r="O570" s="785"/>
      <c r="P570" s="785"/>
      <c r="Q570" s="785"/>
      <c r="R570" s="785"/>
      <c r="S570" s="776"/>
      <c r="T570" s="776"/>
      <c r="U570" s="776"/>
      <c r="V570" s="776"/>
      <c r="W570" s="776"/>
      <c r="X570" s="776"/>
      <c r="Y570" s="785"/>
      <c r="Z570" s="776"/>
      <c r="AA570" s="776"/>
      <c r="AB570" s="776"/>
    </row>
    <row r="571" spans="1:28" ht="15.75" customHeight="1">
      <c r="A571" s="776"/>
      <c r="B571" s="776"/>
      <c r="C571" s="776"/>
      <c r="D571" s="776"/>
      <c r="E571" s="777"/>
      <c r="F571" s="776"/>
      <c r="G571" s="777"/>
      <c r="H571" s="776"/>
      <c r="I571" s="777"/>
      <c r="J571" s="777"/>
      <c r="K571" s="786"/>
      <c r="L571" s="777"/>
      <c r="M571" s="785"/>
      <c r="N571" s="785"/>
      <c r="O571" s="785"/>
      <c r="P571" s="785"/>
      <c r="Q571" s="785"/>
      <c r="R571" s="785"/>
      <c r="S571" s="776"/>
      <c r="T571" s="776"/>
      <c r="U571" s="776"/>
      <c r="V571" s="776"/>
      <c r="W571" s="776"/>
      <c r="X571" s="776"/>
      <c r="Y571" s="785"/>
      <c r="Z571" s="776"/>
      <c r="AA571" s="776"/>
      <c r="AB571" s="776"/>
    </row>
    <row r="572" spans="1:28" ht="15.75" customHeight="1">
      <c r="A572" s="776"/>
      <c r="B572" s="776"/>
      <c r="C572" s="776"/>
      <c r="D572" s="776"/>
      <c r="E572" s="777"/>
      <c r="F572" s="776"/>
      <c r="G572" s="777"/>
      <c r="H572" s="776"/>
      <c r="I572" s="777"/>
      <c r="J572" s="777"/>
      <c r="K572" s="786"/>
      <c r="L572" s="777"/>
      <c r="M572" s="785"/>
      <c r="N572" s="785"/>
      <c r="O572" s="785"/>
      <c r="P572" s="785"/>
      <c r="Q572" s="785"/>
      <c r="R572" s="785"/>
      <c r="S572" s="776"/>
      <c r="T572" s="776"/>
      <c r="U572" s="776"/>
      <c r="V572" s="776"/>
      <c r="W572" s="776"/>
      <c r="X572" s="776"/>
      <c r="Y572" s="785"/>
      <c r="Z572" s="776"/>
      <c r="AA572" s="776"/>
      <c r="AB572" s="776"/>
    </row>
    <row r="573" spans="1:28" ht="15.75" customHeight="1">
      <c r="A573" s="776"/>
      <c r="B573" s="776"/>
      <c r="C573" s="776"/>
      <c r="D573" s="776"/>
      <c r="E573" s="777"/>
      <c r="F573" s="776"/>
      <c r="G573" s="777"/>
      <c r="H573" s="776"/>
      <c r="I573" s="777"/>
      <c r="J573" s="777"/>
      <c r="K573" s="786"/>
      <c r="L573" s="777"/>
      <c r="M573" s="785"/>
      <c r="N573" s="785"/>
      <c r="O573" s="785"/>
      <c r="P573" s="785"/>
      <c r="Q573" s="785"/>
      <c r="R573" s="785"/>
      <c r="S573" s="776"/>
      <c r="T573" s="776"/>
      <c r="U573" s="776"/>
      <c r="V573" s="776"/>
      <c r="W573" s="776"/>
      <c r="X573" s="776"/>
      <c r="Y573" s="785"/>
      <c r="Z573" s="776"/>
      <c r="AA573" s="776"/>
      <c r="AB573" s="776"/>
    </row>
    <row r="574" spans="1:28" ht="15.75" customHeight="1">
      <c r="A574" s="776"/>
      <c r="B574" s="776"/>
      <c r="C574" s="776"/>
      <c r="D574" s="776"/>
      <c r="E574" s="777"/>
      <c r="F574" s="776"/>
      <c r="G574" s="777"/>
      <c r="H574" s="776"/>
      <c r="I574" s="777"/>
      <c r="J574" s="777"/>
      <c r="K574" s="786"/>
      <c r="L574" s="777"/>
      <c r="M574" s="785"/>
      <c r="N574" s="785"/>
      <c r="O574" s="785"/>
      <c r="P574" s="785"/>
      <c r="Q574" s="785"/>
      <c r="R574" s="785"/>
      <c r="S574" s="776"/>
      <c r="T574" s="776"/>
      <c r="U574" s="776"/>
      <c r="V574" s="776"/>
      <c r="W574" s="776"/>
      <c r="X574" s="776"/>
      <c r="Y574" s="785"/>
      <c r="Z574" s="776"/>
      <c r="AA574" s="776"/>
      <c r="AB574" s="776"/>
    </row>
    <row r="575" spans="1:28" ht="15.75" customHeight="1">
      <c r="A575" s="776"/>
      <c r="B575" s="776"/>
      <c r="C575" s="776"/>
      <c r="D575" s="776"/>
      <c r="E575" s="777"/>
      <c r="F575" s="776"/>
      <c r="G575" s="777"/>
      <c r="H575" s="776"/>
      <c r="I575" s="777"/>
      <c r="J575" s="777"/>
      <c r="K575" s="786"/>
      <c r="L575" s="777"/>
      <c r="M575" s="785"/>
      <c r="N575" s="785"/>
      <c r="O575" s="785"/>
      <c r="P575" s="785"/>
      <c r="Q575" s="785"/>
      <c r="R575" s="785"/>
      <c r="S575" s="776"/>
      <c r="T575" s="776"/>
      <c r="U575" s="776"/>
      <c r="V575" s="776"/>
      <c r="W575" s="776"/>
      <c r="X575" s="776"/>
      <c r="Y575" s="785"/>
      <c r="Z575" s="776"/>
      <c r="AA575" s="776"/>
      <c r="AB575" s="776"/>
    </row>
    <row r="576" spans="1:28" ht="15.75" customHeight="1">
      <c r="A576" s="776"/>
      <c r="B576" s="776"/>
      <c r="C576" s="776"/>
      <c r="D576" s="776"/>
      <c r="E576" s="777"/>
      <c r="F576" s="776"/>
      <c r="G576" s="777"/>
      <c r="H576" s="776"/>
      <c r="I576" s="777"/>
      <c r="J576" s="777"/>
      <c r="K576" s="786"/>
      <c r="L576" s="777"/>
      <c r="M576" s="785"/>
      <c r="N576" s="785"/>
      <c r="O576" s="785"/>
      <c r="P576" s="785"/>
      <c r="Q576" s="785"/>
      <c r="R576" s="785"/>
      <c r="S576" s="776"/>
      <c r="T576" s="776"/>
      <c r="U576" s="776"/>
      <c r="V576" s="776"/>
      <c r="W576" s="776"/>
      <c r="X576" s="776"/>
      <c r="Y576" s="785"/>
      <c r="Z576" s="776"/>
      <c r="AA576" s="776"/>
      <c r="AB576" s="776"/>
    </row>
    <row r="577" spans="1:28" ht="15.75" customHeight="1">
      <c r="A577" s="776"/>
      <c r="B577" s="776"/>
      <c r="C577" s="776"/>
      <c r="D577" s="776"/>
      <c r="E577" s="777"/>
      <c r="F577" s="776"/>
      <c r="G577" s="777"/>
      <c r="H577" s="776"/>
      <c r="I577" s="777"/>
      <c r="J577" s="777"/>
      <c r="K577" s="786"/>
      <c r="L577" s="777"/>
      <c r="M577" s="785"/>
      <c r="N577" s="785"/>
      <c r="O577" s="785"/>
      <c r="P577" s="785"/>
      <c r="Q577" s="785"/>
      <c r="R577" s="785"/>
      <c r="S577" s="776"/>
      <c r="T577" s="776"/>
      <c r="U577" s="776"/>
      <c r="V577" s="776"/>
      <c r="W577" s="776"/>
      <c r="X577" s="776"/>
      <c r="Y577" s="785"/>
      <c r="Z577" s="776"/>
      <c r="AA577" s="776"/>
      <c r="AB577" s="776"/>
    </row>
    <row r="578" spans="1:28" ht="15.75" customHeight="1">
      <c r="A578" s="776"/>
      <c r="B578" s="776"/>
      <c r="C578" s="776"/>
      <c r="D578" s="776"/>
      <c r="E578" s="777"/>
      <c r="F578" s="776"/>
      <c r="G578" s="777"/>
      <c r="H578" s="776"/>
      <c r="I578" s="777"/>
      <c r="J578" s="777"/>
      <c r="K578" s="786"/>
      <c r="L578" s="777"/>
      <c r="M578" s="785"/>
      <c r="N578" s="785"/>
      <c r="O578" s="785"/>
      <c r="P578" s="785"/>
      <c r="Q578" s="785"/>
      <c r="R578" s="785"/>
      <c r="S578" s="776"/>
      <c r="T578" s="776"/>
      <c r="U578" s="776"/>
      <c r="V578" s="776"/>
      <c r="W578" s="776"/>
      <c r="X578" s="776"/>
      <c r="Y578" s="785"/>
      <c r="Z578" s="776"/>
      <c r="AA578" s="776"/>
      <c r="AB578" s="776"/>
    </row>
    <row r="579" spans="1:28" ht="15.75" customHeight="1">
      <c r="A579" s="776"/>
      <c r="B579" s="776"/>
      <c r="C579" s="776"/>
      <c r="D579" s="776"/>
      <c r="E579" s="777"/>
      <c r="F579" s="776"/>
      <c r="G579" s="777"/>
      <c r="H579" s="776"/>
      <c r="I579" s="777"/>
      <c r="J579" s="777"/>
      <c r="K579" s="786"/>
      <c r="L579" s="777"/>
      <c r="M579" s="785"/>
      <c r="N579" s="785"/>
      <c r="O579" s="785"/>
      <c r="P579" s="785"/>
      <c r="Q579" s="785"/>
      <c r="R579" s="785"/>
      <c r="S579" s="776"/>
      <c r="T579" s="776"/>
      <c r="U579" s="776"/>
      <c r="V579" s="776"/>
      <c r="W579" s="776"/>
      <c r="X579" s="776"/>
      <c r="Y579" s="785"/>
      <c r="Z579" s="776"/>
      <c r="AA579" s="776"/>
      <c r="AB579" s="776"/>
    </row>
    <row r="580" spans="1:28" ht="15.75" customHeight="1">
      <c r="A580" s="776"/>
      <c r="B580" s="776"/>
      <c r="C580" s="776"/>
      <c r="D580" s="776"/>
      <c r="E580" s="777"/>
      <c r="F580" s="776"/>
      <c r="G580" s="777"/>
      <c r="H580" s="776"/>
      <c r="I580" s="777"/>
      <c r="J580" s="777"/>
      <c r="K580" s="786"/>
      <c r="L580" s="777"/>
      <c r="M580" s="785"/>
      <c r="N580" s="785"/>
      <c r="O580" s="785"/>
      <c r="P580" s="785"/>
      <c r="Q580" s="785"/>
      <c r="R580" s="785"/>
      <c r="S580" s="776"/>
      <c r="T580" s="776"/>
      <c r="U580" s="776"/>
      <c r="V580" s="776"/>
      <c r="W580" s="776"/>
      <c r="X580" s="776"/>
      <c r="Y580" s="785"/>
      <c r="Z580" s="776"/>
      <c r="AA580" s="776"/>
      <c r="AB580" s="776"/>
    </row>
    <row r="581" spans="1:28" ht="15.75" customHeight="1">
      <c r="A581" s="776"/>
      <c r="B581" s="776"/>
      <c r="C581" s="776"/>
      <c r="D581" s="776"/>
      <c r="E581" s="777"/>
      <c r="F581" s="776"/>
      <c r="G581" s="777"/>
      <c r="H581" s="776"/>
      <c r="I581" s="777"/>
      <c r="J581" s="777"/>
      <c r="K581" s="786"/>
      <c r="L581" s="777"/>
      <c r="M581" s="785"/>
      <c r="N581" s="785"/>
      <c r="O581" s="785"/>
      <c r="P581" s="785"/>
      <c r="Q581" s="785"/>
      <c r="R581" s="785"/>
      <c r="S581" s="776"/>
      <c r="T581" s="776"/>
      <c r="U581" s="776"/>
      <c r="V581" s="776"/>
      <c r="W581" s="776"/>
      <c r="X581" s="776"/>
      <c r="Y581" s="785"/>
      <c r="Z581" s="776"/>
      <c r="AA581" s="776"/>
      <c r="AB581" s="776"/>
    </row>
    <row r="582" spans="1:28" ht="15.75" customHeight="1">
      <c r="A582" s="776"/>
      <c r="B582" s="776"/>
      <c r="C582" s="776"/>
      <c r="D582" s="776"/>
      <c r="E582" s="777"/>
      <c r="F582" s="776"/>
      <c r="G582" s="777"/>
      <c r="H582" s="776"/>
      <c r="I582" s="777"/>
      <c r="J582" s="777"/>
      <c r="K582" s="786"/>
      <c r="L582" s="777"/>
      <c r="M582" s="785"/>
      <c r="N582" s="785"/>
      <c r="O582" s="785"/>
      <c r="P582" s="785"/>
      <c r="Q582" s="785"/>
      <c r="R582" s="785"/>
      <c r="S582" s="776"/>
      <c r="T582" s="776"/>
      <c r="U582" s="776"/>
      <c r="V582" s="776"/>
      <c r="W582" s="776"/>
      <c r="X582" s="776"/>
      <c r="Y582" s="785"/>
      <c r="Z582" s="776"/>
      <c r="AA582" s="776"/>
      <c r="AB582" s="776"/>
    </row>
    <row r="583" spans="1:28" ht="15.75" customHeight="1">
      <c r="A583" s="776"/>
      <c r="B583" s="776"/>
      <c r="C583" s="776"/>
      <c r="D583" s="776"/>
      <c r="E583" s="777"/>
      <c r="F583" s="776"/>
      <c r="G583" s="777"/>
      <c r="H583" s="776"/>
      <c r="I583" s="777"/>
      <c r="J583" s="777"/>
      <c r="K583" s="786"/>
      <c r="L583" s="777"/>
      <c r="M583" s="785"/>
      <c r="N583" s="785"/>
      <c r="O583" s="785"/>
      <c r="P583" s="785"/>
      <c r="Q583" s="785"/>
      <c r="R583" s="785"/>
      <c r="S583" s="776"/>
      <c r="T583" s="776"/>
      <c r="U583" s="776"/>
      <c r="V583" s="776"/>
      <c r="W583" s="776"/>
      <c r="X583" s="776"/>
      <c r="Y583" s="785"/>
      <c r="Z583" s="776"/>
      <c r="AA583" s="776"/>
      <c r="AB583" s="776"/>
    </row>
    <row r="584" spans="1:28" ht="15.75" customHeight="1">
      <c r="A584" s="776"/>
      <c r="B584" s="776"/>
      <c r="C584" s="776"/>
      <c r="D584" s="776"/>
      <c r="E584" s="777"/>
      <c r="F584" s="776"/>
      <c r="G584" s="777"/>
      <c r="H584" s="776"/>
      <c r="I584" s="777"/>
      <c r="J584" s="777"/>
      <c r="K584" s="786"/>
      <c r="L584" s="777"/>
      <c r="M584" s="785"/>
      <c r="N584" s="785"/>
      <c r="O584" s="785"/>
      <c r="P584" s="785"/>
      <c r="Q584" s="785"/>
      <c r="R584" s="785"/>
      <c r="S584" s="776"/>
      <c r="T584" s="776"/>
      <c r="U584" s="776"/>
      <c r="V584" s="776"/>
      <c r="W584" s="776"/>
      <c r="X584" s="776"/>
      <c r="Y584" s="785"/>
      <c r="Z584" s="776"/>
      <c r="AA584" s="776"/>
      <c r="AB584" s="776"/>
    </row>
    <row r="585" spans="1:28" ht="15.75" customHeight="1">
      <c r="A585" s="776"/>
      <c r="B585" s="776"/>
      <c r="C585" s="776"/>
      <c r="D585" s="776"/>
      <c r="E585" s="777"/>
      <c r="F585" s="776"/>
      <c r="G585" s="777"/>
      <c r="H585" s="776"/>
      <c r="I585" s="777"/>
      <c r="J585" s="777"/>
      <c r="K585" s="786"/>
      <c r="L585" s="777"/>
      <c r="M585" s="785"/>
      <c r="N585" s="785"/>
      <c r="O585" s="785"/>
      <c r="P585" s="785"/>
      <c r="Q585" s="785"/>
      <c r="R585" s="785"/>
      <c r="S585" s="776"/>
      <c r="T585" s="776"/>
      <c r="U585" s="776"/>
      <c r="V585" s="776"/>
      <c r="W585" s="776"/>
      <c r="X585" s="776"/>
      <c r="Y585" s="785"/>
      <c r="Z585" s="776"/>
      <c r="AA585" s="776"/>
      <c r="AB585" s="776"/>
    </row>
    <row r="586" spans="1:28" ht="15.75" customHeight="1">
      <c r="A586" s="776"/>
      <c r="B586" s="776"/>
      <c r="C586" s="776"/>
      <c r="D586" s="776"/>
      <c r="E586" s="777"/>
      <c r="F586" s="776"/>
      <c r="G586" s="777"/>
      <c r="H586" s="776"/>
      <c r="I586" s="777"/>
      <c r="J586" s="777"/>
      <c r="K586" s="786"/>
      <c r="L586" s="777"/>
      <c r="M586" s="785"/>
      <c r="N586" s="785"/>
      <c r="O586" s="785"/>
      <c r="P586" s="785"/>
      <c r="Q586" s="785"/>
      <c r="R586" s="785"/>
      <c r="S586" s="776"/>
      <c r="T586" s="776"/>
      <c r="U586" s="776"/>
      <c r="V586" s="776"/>
      <c r="W586" s="776"/>
      <c r="X586" s="776"/>
      <c r="Y586" s="785"/>
      <c r="Z586" s="776"/>
      <c r="AA586" s="776"/>
      <c r="AB586" s="776"/>
    </row>
    <row r="587" spans="1:28" ht="15.75" customHeight="1">
      <c r="A587" s="776"/>
      <c r="B587" s="776"/>
      <c r="C587" s="776"/>
      <c r="D587" s="776"/>
      <c r="E587" s="777"/>
      <c r="F587" s="776"/>
      <c r="G587" s="777"/>
      <c r="H587" s="776"/>
      <c r="I587" s="777"/>
      <c r="J587" s="777"/>
      <c r="K587" s="786"/>
      <c r="L587" s="777"/>
      <c r="M587" s="785"/>
      <c r="N587" s="785"/>
      <c r="O587" s="785"/>
      <c r="P587" s="785"/>
      <c r="Q587" s="785"/>
      <c r="R587" s="785"/>
      <c r="S587" s="776"/>
      <c r="T587" s="776"/>
      <c r="U587" s="776"/>
      <c r="V587" s="776"/>
      <c r="W587" s="776"/>
      <c r="X587" s="776"/>
      <c r="Y587" s="785"/>
      <c r="Z587" s="776"/>
      <c r="AA587" s="776"/>
      <c r="AB587" s="776"/>
    </row>
    <row r="588" spans="1:28" ht="15.75" customHeight="1">
      <c r="A588" s="776"/>
      <c r="B588" s="776"/>
      <c r="C588" s="776"/>
      <c r="D588" s="776"/>
      <c r="E588" s="777"/>
      <c r="F588" s="776"/>
      <c r="G588" s="777"/>
      <c r="H588" s="776"/>
      <c r="I588" s="777"/>
      <c r="J588" s="777"/>
      <c r="K588" s="786"/>
      <c r="L588" s="777"/>
      <c r="M588" s="785"/>
      <c r="N588" s="785"/>
      <c r="O588" s="785"/>
      <c r="P588" s="785"/>
      <c r="Q588" s="785"/>
      <c r="R588" s="785"/>
      <c r="S588" s="776"/>
      <c r="T588" s="776"/>
      <c r="U588" s="776"/>
      <c r="V588" s="776"/>
      <c r="W588" s="776"/>
      <c r="X588" s="776"/>
      <c r="Y588" s="785"/>
      <c r="Z588" s="776"/>
      <c r="AA588" s="776"/>
      <c r="AB588" s="776"/>
    </row>
    <row r="589" spans="1:28" ht="15.75" customHeight="1">
      <c r="A589" s="776"/>
      <c r="B589" s="776"/>
      <c r="C589" s="776"/>
      <c r="D589" s="776"/>
      <c r="E589" s="777"/>
      <c r="F589" s="776"/>
      <c r="G589" s="777"/>
      <c r="H589" s="776"/>
      <c r="I589" s="777"/>
      <c r="J589" s="777"/>
      <c r="K589" s="786"/>
      <c r="L589" s="777"/>
      <c r="M589" s="785"/>
      <c r="N589" s="785"/>
      <c r="O589" s="785"/>
      <c r="P589" s="785"/>
      <c r="Q589" s="785"/>
      <c r="R589" s="785"/>
      <c r="S589" s="776"/>
      <c r="T589" s="776"/>
      <c r="U589" s="776"/>
      <c r="V589" s="776"/>
      <c r="W589" s="776"/>
      <c r="X589" s="776"/>
      <c r="Y589" s="785"/>
      <c r="Z589" s="776"/>
      <c r="AA589" s="776"/>
      <c r="AB589" s="776"/>
    </row>
    <row r="590" spans="1:28" ht="15.75" customHeight="1">
      <c r="A590" s="776"/>
      <c r="B590" s="776"/>
      <c r="C590" s="776"/>
      <c r="D590" s="776"/>
      <c r="E590" s="777"/>
      <c r="F590" s="776"/>
      <c r="G590" s="777"/>
      <c r="H590" s="776"/>
      <c r="I590" s="777"/>
      <c r="J590" s="777"/>
      <c r="K590" s="786"/>
      <c r="L590" s="777"/>
      <c r="M590" s="785"/>
      <c r="N590" s="785"/>
      <c r="O590" s="785"/>
      <c r="P590" s="785"/>
      <c r="Q590" s="785"/>
      <c r="R590" s="785"/>
      <c r="S590" s="776"/>
      <c r="T590" s="776"/>
      <c r="U590" s="776"/>
      <c r="V590" s="776"/>
      <c r="W590" s="776"/>
      <c r="X590" s="776"/>
      <c r="Y590" s="785"/>
      <c r="Z590" s="776"/>
      <c r="AA590" s="776"/>
      <c r="AB590" s="776"/>
    </row>
    <row r="591" spans="1:28" ht="15.75" customHeight="1">
      <c r="A591" s="776"/>
      <c r="B591" s="776"/>
      <c r="C591" s="776"/>
      <c r="D591" s="776"/>
      <c r="E591" s="777"/>
      <c r="F591" s="776"/>
      <c r="G591" s="777"/>
      <c r="H591" s="776"/>
      <c r="I591" s="777"/>
      <c r="J591" s="777"/>
      <c r="K591" s="786"/>
      <c r="L591" s="777"/>
      <c r="M591" s="785"/>
      <c r="N591" s="785"/>
      <c r="O591" s="785"/>
      <c r="P591" s="785"/>
      <c r="Q591" s="785"/>
      <c r="R591" s="785"/>
      <c r="S591" s="776"/>
      <c r="T591" s="776"/>
      <c r="U591" s="776"/>
      <c r="V591" s="776"/>
      <c r="W591" s="776"/>
      <c r="X591" s="776"/>
      <c r="Y591" s="785"/>
      <c r="Z591" s="776"/>
      <c r="AA591" s="776"/>
      <c r="AB591" s="776"/>
    </row>
    <row r="592" spans="1:28" ht="15.75" customHeight="1">
      <c r="A592" s="776"/>
      <c r="B592" s="776"/>
      <c r="C592" s="776"/>
      <c r="D592" s="776"/>
      <c r="E592" s="777"/>
      <c r="F592" s="776"/>
      <c r="G592" s="777"/>
      <c r="H592" s="776"/>
      <c r="I592" s="777"/>
      <c r="J592" s="777"/>
      <c r="K592" s="786"/>
      <c r="L592" s="777"/>
      <c r="M592" s="785"/>
      <c r="N592" s="785"/>
      <c r="O592" s="785"/>
      <c r="P592" s="785"/>
      <c r="Q592" s="785"/>
      <c r="R592" s="785"/>
      <c r="S592" s="776"/>
      <c r="T592" s="776"/>
      <c r="U592" s="776"/>
      <c r="V592" s="776"/>
      <c r="W592" s="776"/>
      <c r="X592" s="776"/>
      <c r="Y592" s="785"/>
      <c r="Z592" s="776"/>
      <c r="AA592" s="776"/>
      <c r="AB592" s="776"/>
    </row>
    <row r="593" spans="1:28" ht="15.75" customHeight="1">
      <c r="A593" s="776"/>
      <c r="B593" s="776"/>
      <c r="C593" s="776"/>
      <c r="D593" s="776"/>
      <c r="E593" s="777"/>
      <c r="F593" s="776"/>
      <c r="G593" s="777"/>
      <c r="H593" s="776"/>
      <c r="I593" s="777"/>
      <c r="J593" s="777"/>
      <c r="K593" s="786"/>
      <c r="L593" s="777"/>
      <c r="M593" s="785"/>
      <c r="N593" s="785"/>
      <c r="O593" s="785"/>
      <c r="P593" s="785"/>
      <c r="Q593" s="785"/>
      <c r="R593" s="785"/>
      <c r="S593" s="776"/>
      <c r="T593" s="776"/>
      <c r="U593" s="776"/>
      <c r="V593" s="776"/>
      <c r="W593" s="776"/>
      <c r="X593" s="776"/>
      <c r="Y593" s="785"/>
      <c r="Z593" s="776"/>
      <c r="AA593" s="776"/>
      <c r="AB593" s="776"/>
    </row>
    <row r="594" spans="1:28" ht="15.75" customHeight="1">
      <c r="A594" s="776"/>
      <c r="B594" s="776"/>
      <c r="C594" s="776"/>
      <c r="D594" s="776"/>
      <c r="E594" s="777"/>
      <c r="F594" s="776"/>
      <c r="G594" s="777"/>
      <c r="H594" s="776"/>
      <c r="I594" s="777"/>
      <c r="J594" s="777"/>
      <c r="K594" s="786"/>
      <c r="L594" s="777"/>
      <c r="M594" s="785"/>
      <c r="N594" s="785"/>
      <c r="O594" s="785"/>
      <c r="P594" s="785"/>
      <c r="Q594" s="785"/>
      <c r="R594" s="785"/>
      <c r="S594" s="776"/>
      <c r="T594" s="776"/>
      <c r="U594" s="776"/>
      <c r="V594" s="776"/>
      <c r="W594" s="776"/>
      <c r="X594" s="776"/>
      <c r="Y594" s="785"/>
      <c r="Z594" s="776"/>
      <c r="AA594" s="776"/>
      <c r="AB594" s="776"/>
    </row>
    <row r="595" spans="1:28" ht="15.75" customHeight="1">
      <c r="A595" s="776"/>
      <c r="B595" s="776"/>
      <c r="C595" s="776"/>
      <c r="D595" s="776"/>
      <c r="E595" s="777"/>
      <c r="F595" s="776"/>
      <c r="G595" s="777"/>
      <c r="H595" s="776"/>
      <c r="I595" s="777"/>
      <c r="J595" s="777"/>
      <c r="K595" s="786"/>
      <c r="L595" s="777"/>
      <c r="M595" s="785"/>
      <c r="N595" s="785"/>
      <c r="O595" s="785"/>
      <c r="P595" s="785"/>
      <c r="Q595" s="785"/>
      <c r="R595" s="785"/>
      <c r="S595" s="776"/>
      <c r="T595" s="776"/>
      <c r="U595" s="776"/>
      <c r="V595" s="776"/>
      <c r="W595" s="776"/>
      <c r="X595" s="776"/>
      <c r="Y595" s="785"/>
      <c r="Z595" s="776"/>
      <c r="AA595" s="776"/>
      <c r="AB595" s="776"/>
    </row>
    <row r="596" spans="1:28" ht="15.75" customHeight="1">
      <c r="A596" s="776"/>
      <c r="B596" s="776"/>
      <c r="C596" s="776"/>
      <c r="D596" s="776"/>
      <c r="E596" s="777"/>
      <c r="F596" s="776"/>
      <c r="G596" s="777"/>
      <c r="H596" s="776"/>
      <c r="I596" s="777"/>
      <c r="J596" s="777"/>
      <c r="K596" s="786"/>
      <c r="L596" s="777"/>
      <c r="M596" s="785"/>
      <c r="N596" s="785"/>
      <c r="O596" s="785"/>
      <c r="P596" s="785"/>
      <c r="Q596" s="785"/>
      <c r="R596" s="785"/>
      <c r="S596" s="776"/>
      <c r="T596" s="776"/>
      <c r="U596" s="776"/>
      <c r="V596" s="776"/>
      <c r="W596" s="776"/>
      <c r="X596" s="776"/>
      <c r="Y596" s="785"/>
      <c r="Z596" s="776"/>
      <c r="AA596" s="776"/>
      <c r="AB596" s="776"/>
    </row>
    <row r="597" spans="1:28" ht="15.75" customHeight="1">
      <c r="A597" s="776"/>
      <c r="B597" s="776"/>
      <c r="C597" s="776"/>
      <c r="D597" s="776"/>
      <c r="E597" s="777"/>
      <c r="F597" s="776"/>
      <c r="G597" s="777"/>
      <c r="H597" s="776"/>
      <c r="I597" s="777"/>
      <c r="J597" s="777"/>
      <c r="K597" s="786"/>
      <c r="L597" s="777"/>
      <c r="M597" s="785"/>
      <c r="N597" s="785"/>
      <c r="O597" s="785"/>
      <c r="P597" s="785"/>
      <c r="Q597" s="785"/>
      <c r="R597" s="785"/>
      <c r="S597" s="776"/>
      <c r="T597" s="776"/>
      <c r="U597" s="776"/>
      <c r="V597" s="776"/>
      <c r="W597" s="776"/>
      <c r="X597" s="776"/>
      <c r="Y597" s="785"/>
      <c r="Z597" s="776"/>
      <c r="AA597" s="776"/>
      <c r="AB597" s="776"/>
    </row>
    <row r="598" spans="1:28" ht="15.75" customHeight="1">
      <c r="A598" s="776"/>
      <c r="B598" s="776"/>
      <c r="C598" s="776"/>
      <c r="D598" s="776"/>
      <c r="E598" s="777"/>
      <c r="F598" s="776"/>
      <c r="G598" s="777"/>
      <c r="H598" s="776"/>
      <c r="I598" s="777"/>
      <c r="J598" s="777"/>
      <c r="K598" s="786"/>
      <c r="L598" s="777"/>
      <c r="M598" s="785"/>
      <c r="N598" s="785"/>
      <c r="O598" s="785"/>
      <c r="P598" s="785"/>
      <c r="Q598" s="785"/>
      <c r="R598" s="785"/>
      <c r="S598" s="776"/>
      <c r="T598" s="776"/>
      <c r="U598" s="776"/>
      <c r="V598" s="776"/>
      <c r="W598" s="776"/>
      <c r="X598" s="776"/>
      <c r="Y598" s="785"/>
      <c r="Z598" s="776"/>
      <c r="AA598" s="776"/>
      <c r="AB598" s="776"/>
    </row>
    <row r="599" spans="1:28" ht="15.75" customHeight="1">
      <c r="A599" s="776"/>
      <c r="B599" s="776"/>
      <c r="C599" s="776"/>
      <c r="D599" s="776"/>
      <c r="E599" s="777"/>
      <c r="F599" s="776"/>
      <c r="G599" s="777"/>
      <c r="H599" s="776"/>
      <c r="I599" s="777"/>
      <c r="J599" s="777"/>
      <c r="K599" s="786"/>
      <c r="L599" s="777"/>
      <c r="M599" s="785"/>
      <c r="N599" s="785"/>
      <c r="O599" s="785"/>
      <c r="P599" s="785"/>
      <c r="Q599" s="785"/>
      <c r="R599" s="785"/>
      <c r="S599" s="776"/>
      <c r="T599" s="776"/>
      <c r="U599" s="776"/>
      <c r="V599" s="776"/>
      <c r="W599" s="776"/>
      <c r="X599" s="776"/>
      <c r="Y599" s="785"/>
      <c r="Z599" s="776"/>
      <c r="AA599" s="776"/>
      <c r="AB599" s="776"/>
    </row>
    <row r="600" spans="1:28" ht="15.75" customHeight="1">
      <c r="A600" s="776"/>
      <c r="B600" s="776"/>
      <c r="C600" s="776"/>
      <c r="D600" s="776"/>
      <c r="E600" s="777"/>
      <c r="F600" s="776"/>
      <c r="G600" s="777"/>
      <c r="H600" s="776"/>
      <c r="I600" s="777"/>
      <c r="J600" s="777"/>
      <c r="K600" s="786"/>
      <c r="L600" s="777"/>
      <c r="M600" s="785"/>
      <c r="N600" s="785"/>
      <c r="O600" s="785"/>
      <c r="P600" s="785"/>
      <c r="Q600" s="785"/>
      <c r="R600" s="785"/>
      <c r="S600" s="776"/>
      <c r="T600" s="776"/>
      <c r="U600" s="776"/>
      <c r="V600" s="776"/>
      <c r="W600" s="776"/>
      <c r="X600" s="776"/>
      <c r="Y600" s="785"/>
      <c r="Z600" s="776"/>
      <c r="AA600" s="776"/>
      <c r="AB600" s="776"/>
    </row>
    <row r="601" spans="1:28" ht="15.75" customHeight="1">
      <c r="A601" s="776"/>
      <c r="B601" s="776"/>
      <c r="C601" s="776"/>
      <c r="D601" s="776"/>
      <c r="E601" s="777"/>
      <c r="F601" s="776"/>
      <c r="G601" s="777"/>
      <c r="H601" s="776"/>
      <c r="I601" s="777"/>
      <c r="J601" s="777"/>
      <c r="K601" s="786"/>
      <c r="L601" s="777"/>
      <c r="M601" s="785"/>
      <c r="N601" s="785"/>
      <c r="O601" s="785"/>
      <c r="P601" s="785"/>
      <c r="Q601" s="785"/>
      <c r="R601" s="785"/>
      <c r="S601" s="776"/>
      <c r="T601" s="776"/>
      <c r="U601" s="776"/>
      <c r="V601" s="776"/>
      <c r="W601" s="776"/>
      <c r="X601" s="776"/>
      <c r="Y601" s="785"/>
      <c r="Z601" s="776"/>
      <c r="AA601" s="776"/>
      <c r="AB601" s="776"/>
    </row>
    <row r="602" spans="1:28" ht="15.75" customHeight="1">
      <c r="A602" s="776"/>
      <c r="B602" s="776"/>
      <c r="C602" s="776"/>
      <c r="D602" s="776"/>
      <c r="E602" s="777"/>
      <c r="F602" s="776"/>
      <c r="G602" s="777"/>
      <c r="H602" s="776"/>
      <c r="I602" s="777"/>
      <c r="J602" s="777"/>
      <c r="K602" s="786"/>
      <c r="L602" s="777"/>
      <c r="M602" s="785"/>
      <c r="N602" s="785"/>
      <c r="O602" s="785"/>
      <c r="P602" s="785"/>
      <c r="Q602" s="785"/>
      <c r="R602" s="785"/>
      <c r="S602" s="776"/>
      <c r="T602" s="776"/>
      <c r="U602" s="776"/>
      <c r="V602" s="776"/>
      <c r="W602" s="776"/>
      <c r="X602" s="776"/>
      <c r="Y602" s="785"/>
      <c r="Z602" s="776"/>
      <c r="AA602" s="776"/>
      <c r="AB602" s="776"/>
    </row>
    <row r="603" spans="1:28" ht="15.75" customHeight="1">
      <c r="A603" s="776"/>
      <c r="B603" s="776"/>
      <c r="C603" s="776"/>
      <c r="D603" s="776"/>
      <c r="E603" s="777"/>
      <c r="F603" s="776"/>
      <c r="G603" s="777"/>
      <c r="H603" s="776"/>
      <c r="I603" s="777"/>
      <c r="J603" s="777"/>
      <c r="K603" s="786"/>
      <c r="L603" s="777"/>
      <c r="M603" s="785"/>
      <c r="N603" s="785"/>
      <c r="O603" s="785"/>
      <c r="P603" s="785"/>
      <c r="Q603" s="785"/>
      <c r="R603" s="785"/>
      <c r="S603" s="776"/>
      <c r="T603" s="776"/>
      <c r="U603" s="776"/>
      <c r="V603" s="776"/>
      <c r="W603" s="776"/>
      <c r="X603" s="776"/>
      <c r="Y603" s="785"/>
      <c r="Z603" s="776"/>
      <c r="AA603" s="776"/>
      <c r="AB603" s="776"/>
    </row>
    <row r="604" spans="1:28" ht="15.75" customHeight="1">
      <c r="A604" s="776"/>
      <c r="B604" s="776"/>
      <c r="C604" s="776"/>
      <c r="D604" s="776"/>
      <c r="E604" s="777"/>
      <c r="F604" s="776"/>
      <c r="G604" s="777"/>
      <c r="H604" s="776"/>
      <c r="I604" s="777"/>
      <c r="J604" s="777"/>
      <c r="K604" s="786"/>
      <c r="L604" s="777"/>
      <c r="M604" s="785"/>
      <c r="N604" s="785"/>
      <c r="O604" s="785"/>
      <c r="P604" s="785"/>
      <c r="Q604" s="785"/>
      <c r="R604" s="785"/>
      <c r="S604" s="776"/>
      <c r="T604" s="776"/>
      <c r="U604" s="776"/>
      <c r="V604" s="776"/>
      <c r="W604" s="776"/>
      <c r="X604" s="776"/>
      <c r="Y604" s="785"/>
      <c r="Z604" s="776"/>
      <c r="AA604" s="776"/>
      <c r="AB604" s="776"/>
    </row>
    <row r="605" spans="1:28" ht="15.75" customHeight="1">
      <c r="A605" s="776"/>
      <c r="B605" s="776"/>
      <c r="C605" s="776"/>
      <c r="D605" s="776"/>
      <c r="E605" s="777"/>
      <c r="F605" s="776"/>
      <c r="G605" s="777"/>
      <c r="H605" s="776"/>
      <c r="I605" s="777"/>
      <c r="J605" s="777"/>
      <c r="K605" s="786"/>
      <c r="L605" s="777"/>
      <c r="M605" s="785"/>
      <c r="N605" s="785"/>
      <c r="O605" s="785"/>
      <c r="P605" s="785"/>
      <c r="Q605" s="785"/>
      <c r="R605" s="785"/>
      <c r="S605" s="776"/>
      <c r="T605" s="776"/>
      <c r="U605" s="776"/>
      <c r="V605" s="776"/>
      <c r="W605" s="776"/>
      <c r="X605" s="776"/>
      <c r="Y605" s="785"/>
      <c r="Z605" s="776"/>
      <c r="AA605" s="776"/>
      <c r="AB605" s="776"/>
    </row>
    <row r="606" spans="1:28" ht="15.75" customHeight="1">
      <c r="A606" s="776"/>
      <c r="B606" s="776"/>
      <c r="C606" s="776"/>
      <c r="D606" s="776"/>
      <c r="E606" s="777"/>
      <c r="F606" s="776"/>
      <c r="G606" s="777"/>
      <c r="H606" s="776"/>
      <c r="I606" s="777"/>
      <c r="J606" s="777"/>
      <c r="K606" s="786"/>
      <c r="L606" s="777"/>
      <c r="M606" s="785"/>
      <c r="N606" s="785"/>
      <c r="O606" s="785"/>
      <c r="P606" s="785"/>
      <c r="Q606" s="785"/>
      <c r="R606" s="785"/>
      <c r="S606" s="776"/>
      <c r="T606" s="776"/>
      <c r="U606" s="776"/>
      <c r="V606" s="776"/>
      <c r="W606" s="776"/>
      <c r="X606" s="776"/>
      <c r="Y606" s="785"/>
      <c r="Z606" s="776"/>
      <c r="AA606" s="776"/>
      <c r="AB606" s="776"/>
    </row>
    <row r="607" spans="1:28" ht="15.75" customHeight="1">
      <c r="A607" s="776"/>
      <c r="B607" s="776"/>
      <c r="C607" s="776"/>
      <c r="D607" s="776"/>
      <c r="E607" s="777"/>
      <c r="F607" s="776"/>
      <c r="G607" s="777"/>
      <c r="H607" s="776"/>
      <c r="I607" s="777"/>
      <c r="J607" s="777"/>
      <c r="K607" s="786"/>
      <c r="L607" s="777"/>
      <c r="M607" s="785"/>
      <c r="N607" s="785"/>
      <c r="O607" s="785"/>
      <c r="P607" s="785"/>
      <c r="Q607" s="785"/>
      <c r="R607" s="785"/>
      <c r="S607" s="776"/>
      <c r="T607" s="776"/>
      <c r="U607" s="776"/>
      <c r="V607" s="776"/>
      <c r="W607" s="776"/>
      <c r="X607" s="776"/>
      <c r="Y607" s="785"/>
      <c r="Z607" s="776"/>
      <c r="AA607" s="776"/>
      <c r="AB607" s="776"/>
    </row>
    <row r="608" spans="1:28" ht="15.75" customHeight="1">
      <c r="A608" s="776"/>
      <c r="B608" s="776"/>
      <c r="C608" s="776"/>
      <c r="D608" s="776"/>
      <c r="E608" s="777"/>
      <c r="F608" s="776"/>
      <c r="G608" s="777"/>
      <c r="H608" s="776"/>
      <c r="I608" s="777"/>
      <c r="J608" s="777"/>
      <c r="K608" s="786"/>
      <c r="L608" s="777"/>
      <c r="M608" s="785"/>
      <c r="N608" s="785"/>
      <c r="O608" s="785"/>
      <c r="P608" s="785"/>
      <c r="Q608" s="785"/>
      <c r="R608" s="785"/>
      <c r="S608" s="776"/>
      <c r="T608" s="776"/>
      <c r="U608" s="776"/>
      <c r="V608" s="776"/>
      <c r="W608" s="776"/>
      <c r="X608" s="776"/>
      <c r="Y608" s="785"/>
      <c r="Z608" s="776"/>
      <c r="AA608" s="776"/>
      <c r="AB608" s="776"/>
    </row>
    <row r="609" spans="1:28" ht="15.75" customHeight="1">
      <c r="A609" s="776"/>
      <c r="B609" s="776"/>
      <c r="C609" s="776"/>
      <c r="D609" s="776"/>
      <c r="E609" s="777"/>
      <c r="F609" s="776"/>
      <c r="G609" s="777"/>
      <c r="H609" s="776"/>
      <c r="I609" s="777"/>
      <c r="J609" s="777"/>
      <c r="K609" s="786"/>
      <c r="L609" s="777"/>
      <c r="M609" s="785"/>
      <c r="N609" s="785"/>
      <c r="O609" s="785"/>
      <c r="P609" s="785"/>
      <c r="Q609" s="785"/>
      <c r="R609" s="785"/>
      <c r="S609" s="776"/>
      <c r="T609" s="776"/>
      <c r="U609" s="776"/>
      <c r="V609" s="776"/>
      <c r="W609" s="776"/>
      <c r="X609" s="776"/>
      <c r="Y609" s="785"/>
      <c r="Z609" s="776"/>
      <c r="AA609" s="776"/>
      <c r="AB609" s="776"/>
    </row>
    <row r="610" spans="1:28" ht="15.75" customHeight="1">
      <c r="A610" s="776"/>
      <c r="B610" s="776"/>
      <c r="C610" s="776"/>
      <c r="D610" s="776"/>
      <c r="E610" s="777"/>
      <c r="F610" s="776"/>
      <c r="G610" s="777"/>
      <c r="H610" s="776"/>
      <c r="I610" s="777"/>
      <c r="J610" s="777"/>
      <c r="K610" s="786"/>
      <c r="L610" s="777"/>
      <c r="M610" s="785"/>
      <c r="N610" s="785"/>
      <c r="O610" s="785"/>
      <c r="P610" s="785"/>
      <c r="Q610" s="785"/>
      <c r="R610" s="785"/>
      <c r="S610" s="776"/>
      <c r="T610" s="776"/>
      <c r="U610" s="776"/>
      <c r="V610" s="776"/>
      <c r="W610" s="776"/>
      <c r="X610" s="776"/>
      <c r="Y610" s="785"/>
      <c r="Z610" s="776"/>
      <c r="AA610" s="776"/>
      <c r="AB610" s="776"/>
    </row>
    <row r="611" spans="1:28" ht="15.75" customHeight="1">
      <c r="A611" s="776"/>
      <c r="B611" s="776"/>
      <c r="C611" s="776"/>
      <c r="D611" s="776"/>
      <c r="E611" s="777"/>
      <c r="F611" s="776"/>
      <c r="G611" s="777"/>
      <c r="H611" s="776"/>
      <c r="I611" s="777"/>
      <c r="J611" s="777"/>
      <c r="K611" s="786"/>
      <c r="L611" s="777"/>
      <c r="M611" s="785"/>
      <c r="N611" s="785"/>
      <c r="O611" s="785"/>
      <c r="P611" s="785"/>
      <c r="Q611" s="785"/>
      <c r="R611" s="785"/>
      <c r="S611" s="776"/>
      <c r="T611" s="776"/>
      <c r="U611" s="776"/>
      <c r="V611" s="776"/>
      <c r="W611" s="776"/>
      <c r="X611" s="776"/>
      <c r="Y611" s="785"/>
      <c r="Z611" s="776"/>
      <c r="AA611" s="776"/>
      <c r="AB611" s="776"/>
    </row>
    <row r="612" spans="1:28" ht="15.75" customHeight="1">
      <c r="A612" s="776"/>
      <c r="B612" s="776"/>
      <c r="C612" s="776"/>
      <c r="D612" s="776"/>
      <c r="E612" s="777"/>
      <c r="F612" s="776"/>
      <c r="G612" s="777"/>
      <c r="H612" s="776"/>
      <c r="I612" s="777"/>
      <c r="J612" s="777"/>
      <c r="K612" s="786"/>
      <c r="L612" s="777"/>
      <c r="M612" s="785"/>
      <c r="N612" s="785"/>
      <c r="O612" s="785"/>
      <c r="P612" s="785"/>
      <c r="Q612" s="785"/>
      <c r="R612" s="785"/>
      <c r="S612" s="776"/>
      <c r="T612" s="776"/>
      <c r="U612" s="776"/>
      <c r="V612" s="776"/>
      <c r="W612" s="776"/>
      <c r="X612" s="776"/>
      <c r="Y612" s="785"/>
      <c r="Z612" s="776"/>
      <c r="AA612" s="776"/>
      <c r="AB612" s="776"/>
    </row>
    <row r="613" spans="1:28" ht="15.75" customHeight="1">
      <c r="A613" s="776"/>
      <c r="B613" s="776"/>
      <c r="C613" s="776"/>
      <c r="D613" s="776"/>
      <c r="E613" s="777"/>
      <c r="F613" s="776"/>
      <c r="G613" s="777"/>
      <c r="H613" s="776"/>
      <c r="I613" s="777"/>
      <c r="J613" s="777"/>
      <c r="K613" s="786"/>
      <c r="L613" s="777"/>
      <c r="M613" s="785"/>
      <c r="N613" s="785"/>
      <c r="O613" s="785"/>
      <c r="P613" s="785"/>
      <c r="Q613" s="785"/>
      <c r="R613" s="785"/>
      <c r="S613" s="776"/>
      <c r="T613" s="776"/>
      <c r="U613" s="776"/>
      <c r="V613" s="776"/>
      <c r="W613" s="776"/>
      <c r="X613" s="776"/>
      <c r="Y613" s="785"/>
      <c r="Z613" s="776"/>
      <c r="AA613" s="776"/>
      <c r="AB613" s="776"/>
    </row>
    <row r="614" spans="1:28" ht="15.75" customHeight="1">
      <c r="A614" s="776"/>
      <c r="B614" s="776"/>
      <c r="C614" s="776"/>
      <c r="D614" s="776"/>
      <c r="E614" s="777"/>
      <c r="F614" s="776"/>
      <c r="G614" s="777"/>
      <c r="H614" s="776"/>
      <c r="I614" s="777"/>
      <c r="J614" s="777"/>
      <c r="K614" s="786"/>
      <c r="L614" s="777"/>
      <c r="M614" s="785"/>
      <c r="N614" s="785"/>
      <c r="O614" s="785"/>
      <c r="P614" s="785"/>
      <c r="Q614" s="785"/>
      <c r="R614" s="785"/>
      <c r="S614" s="776"/>
      <c r="T614" s="776"/>
      <c r="U614" s="776"/>
      <c r="V614" s="776"/>
      <c r="W614" s="776"/>
      <c r="X614" s="776"/>
      <c r="Y614" s="785"/>
      <c r="Z614" s="776"/>
      <c r="AA614" s="776"/>
      <c r="AB614" s="776"/>
    </row>
    <row r="615" spans="1:28" ht="15.75" customHeight="1">
      <c r="A615" s="776"/>
      <c r="B615" s="776"/>
      <c r="C615" s="776"/>
      <c r="D615" s="776"/>
      <c r="E615" s="777"/>
      <c r="F615" s="776"/>
      <c r="G615" s="777"/>
      <c r="H615" s="776"/>
      <c r="I615" s="777"/>
      <c r="J615" s="777"/>
      <c r="K615" s="786"/>
      <c r="L615" s="777"/>
      <c r="M615" s="785"/>
      <c r="N615" s="785"/>
      <c r="O615" s="785"/>
      <c r="P615" s="785"/>
      <c r="Q615" s="785"/>
      <c r="R615" s="785"/>
      <c r="S615" s="776"/>
      <c r="T615" s="776"/>
      <c r="U615" s="776"/>
      <c r="V615" s="776"/>
      <c r="W615" s="776"/>
      <c r="X615" s="776"/>
      <c r="Y615" s="785"/>
      <c r="Z615" s="776"/>
      <c r="AA615" s="776"/>
      <c r="AB615" s="776"/>
    </row>
    <row r="616" spans="1:28" ht="15.75" customHeight="1">
      <c r="A616" s="776"/>
      <c r="B616" s="776"/>
      <c r="C616" s="776"/>
      <c r="D616" s="776"/>
      <c r="E616" s="777"/>
      <c r="F616" s="776"/>
      <c r="G616" s="777"/>
      <c r="H616" s="776"/>
      <c r="I616" s="777"/>
      <c r="J616" s="777"/>
      <c r="K616" s="786"/>
      <c r="L616" s="777"/>
      <c r="M616" s="785"/>
      <c r="N616" s="785"/>
      <c r="O616" s="785"/>
      <c r="P616" s="785"/>
      <c r="Q616" s="785"/>
      <c r="R616" s="785"/>
      <c r="S616" s="776"/>
      <c r="T616" s="776"/>
      <c r="U616" s="776"/>
      <c r="V616" s="776"/>
      <c r="W616" s="776"/>
      <c r="X616" s="776"/>
      <c r="Y616" s="785"/>
      <c r="Z616" s="776"/>
      <c r="AA616" s="776"/>
      <c r="AB616" s="776"/>
    </row>
    <row r="617" spans="1:28" ht="15.75" customHeight="1">
      <c r="A617" s="776"/>
      <c r="B617" s="776"/>
      <c r="C617" s="776"/>
      <c r="D617" s="776"/>
      <c r="E617" s="777"/>
      <c r="F617" s="776"/>
      <c r="G617" s="777"/>
      <c r="H617" s="776"/>
      <c r="I617" s="777"/>
      <c r="J617" s="777"/>
      <c r="K617" s="786"/>
      <c r="L617" s="777"/>
      <c r="M617" s="785"/>
      <c r="N617" s="785"/>
      <c r="O617" s="785"/>
      <c r="P617" s="785"/>
      <c r="Q617" s="785"/>
      <c r="R617" s="785"/>
      <c r="S617" s="776"/>
      <c r="T617" s="776"/>
      <c r="U617" s="776"/>
      <c r="V617" s="776"/>
      <c r="W617" s="776"/>
      <c r="X617" s="776"/>
      <c r="Y617" s="785"/>
      <c r="Z617" s="776"/>
      <c r="AA617" s="776"/>
      <c r="AB617" s="776"/>
    </row>
    <row r="618" spans="1:28" ht="15.75" customHeight="1">
      <c r="A618" s="776"/>
      <c r="B618" s="776"/>
      <c r="C618" s="776"/>
      <c r="D618" s="776"/>
      <c r="E618" s="777"/>
      <c r="F618" s="776"/>
      <c r="G618" s="777"/>
      <c r="H618" s="776"/>
      <c r="I618" s="777"/>
      <c r="J618" s="777"/>
      <c r="K618" s="786"/>
      <c r="L618" s="777"/>
      <c r="M618" s="785"/>
      <c r="N618" s="785"/>
      <c r="O618" s="785"/>
      <c r="P618" s="785"/>
      <c r="Q618" s="785"/>
      <c r="R618" s="785"/>
      <c r="S618" s="776"/>
      <c r="T618" s="776"/>
      <c r="U618" s="776"/>
      <c r="V618" s="776"/>
      <c r="W618" s="776"/>
      <c r="X618" s="776"/>
      <c r="Y618" s="785"/>
      <c r="Z618" s="776"/>
      <c r="AA618" s="776"/>
      <c r="AB618" s="776"/>
    </row>
    <row r="619" spans="1:28" ht="15.75" customHeight="1">
      <c r="A619" s="776"/>
      <c r="B619" s="776"/>
      <c r="C619" s="776"/>
      <c r="D619" s="776"/>
      <c r="E619" s="777"/>
      <c r="F619" s="776"/>
      <c r="G619" s="777"/>
      <c r="H619" s="776"/>
      <c r="I619" s="777"/>
      <c r="J619" s="777"/>
      <c r="K619" s="786"/>
      <c r="L619" s="777"/>
      <c r="M619" s="785"/>
      <c r="N619" s="785"/>
      <c r="O619" s="785"/>
      <c r="P619" s="785"/>
      <c r="Q619" s="785"/>
      <c r="R619" s="785"/>
      <c r="S619" s="776"/>
      <c r="T619" s="776"/>
      <c r="U619" s="776"/>
      <c r="V619" s="776"/>
      <c r="W619" s="776"/>
      <c r="X619" s="776"/>
      <c r="Y619" s="785"/>
      <c r="Z619" s="776"/>
      <c r="AA619" s="776"/>
      <c r="AB619" s="776"/>
    </row>
    <row r="620" spans="1:28" ht="15.75" customHeight="1">
      <c r="A620" s="776"/>
      <c r="B620" s="776"/>
      <c r="C620" s="776"/>
      <c r="D620" s="776"/>
      <c r="E620" s="777"/>
      <c r="F620" s="776"/>
      <c r="G620" s="777"/>
      <c r="H620" s="776"/>
      <c r="I620" s="777"/>
      <c r="J620" s="777"/>
      <c r="K620" s="786"/>
      <c r="L620" s="777"/>
      <c r="M620" s="785"/>
      <c r="N620" s="785"/>
      <c r="O620" s="785"/>
      <c r="P620" s="785"/>
      <c r="Q620" s="785"/>
      <c r="R620" s="785"/>
      <c r="S620" s="776"/>
      <c r="T620" s="776"/>
      <c r="U620" s="776"/>
      <c r="V620" s="776"/>
      <c r="W620" s="776"/>
      <c r="X620" s="776"/>
      <c r="Y620" s="785"/>
      <c r="Z620" s="776"/>
      <c r="AA620" s="776"/>
      <c r="AB620" s="776"/>
    </row>
    <row r="621" spans="1:28" ht="15.75" customHeight="1">
      <c r="A621" s="776"/>
      <c r="B621" s="776"/>
      <c r="C621" s="776"/>
      <c r="D621" s="776"/>
      <c r="E621" s="777"/>
      <c r="F621" s="776"/>
      <c r="G621" s="777"/>
      <c r="H621" s="776"/>
      <c r="I621" s="777"/>
      <c r="J621" s="777"/>
      <c r="K621" s="786"/>
      <c r="L621" s="777"/>
      <c r="M621" s="785"/>
      <c r="N621" s="785"/>
      <c r="O621" s="785"/>
      <c r="P621" s="785"/>
      <c r="Q621" s="785"/>
      <c r="R621" s="785"/>
      <c r="S621" s="776"/>
      <c r="T621" s="776"/>
      <c r="U621" s="776"/>
      <c r="V621" s="776"/>
      <c r="W621" s="776"/>
      <c r="X621" s="776"/>
      <c r="Y621" s="785"/>
      <c r="Z621" s="776"/>
      <c r="AA621" s="776"/>
      <c r="AB621" s="776"/>
    </row>
    <row r="622" spans="1:28" ht="15.75" customHeight="1">
      <c r="A622" s="776"/>
      <c r="B622" s="776"/>
      <c r="C622" s="776"/>
      <c r="D622" s="776"/>
      <c r="E622" s="777"/>
      <c r="F622" s="776"/>
      <c r="G622" s="777"/>
      <c r="H622" s="776"/>
      <c r="I622" s="777"/>
      <c r="J622" s="777"/>
      <c r="K622" s="786"/>
      <c r="L622" s="777"/>
      <c r="M622" s="785"/>
      <c r="N622" s="785"/>
      <c r="O622" s="785"/>
      <c r="P622" s="785"/>
      <c r="Q622" s="785"/>
      <c r="R622" s="785"/>
      <c r="S622" s="776"/>
      <c r="T622" s="776"/>
      <c r="U622" s="776"/>
      <c r="V622" s="776"/>
      <c r="W622" s="776"/>
      <c r="X622" s="776"/>
      <c r="Y622" s="785"/>
      <c r="Z622" s="776"/>
      <c r="AA622" s="776"/>
      <c r="AB622" s="776"/>
    </row>
    <row r="623" spans="1:28" ht="15.75" customHeight="1">
      <c r="A623" s="776"/>
      <c r="B623" s="776"/>
      <c r="C623" s="776"/>
      <c r="D623" s="776"/>
      <c r="E623" s="777"/>
      <c r="F623" s="776"/>
      <c r="G623" s="777"/>
      <c r="H623" s="776"/>
      <c r="I623" s="777"/>
      <c r="J623" s="777"/>
      <c r="K623" s="786"/>
      <c r="L623" s="777"/>
      <c r="M623" s="785"/>
      <c r="N623" s="785"/>
      <c r="O623" s="785"/>
      <c r="P623" s="785"/>
      <c r="Q623" s="785"/>
      <c r="R623" s="785"/>
      <c r="S623" s="776"/>
      <c r="T623" s="776"/>
      <c r="U623" s="776"/>
      <c r="V623" s="776"/>
      <c r="W623" s="776"/>
      <c r="X623" s="776"/>
      <c r="Y623" s="785"/>
      <c r="Z623" s="776"/>
      <c r="AA623" s="776"/>
      <c r="AB623" s="776"/>
    </row>
    <row r="624" spans="1:28" ht="15.75" customHeight="1">
      <c r="A624" s="776"/>
      <c r="B624" s="776"/>
      <c r="C624" s="776"/>
      <c r="D624" s="776"/>
      <c r="E624" s="777"/>
      <c r="F624" s="776"/>
      <c r="G624" s="777"/>
      <c r="H624" s="776"/>
      <c r="I624" s="777"/>
      <c r="J624" s="777"/>
      <c r="K624" s="786"/>
      <c r="L624" s="777"/>
      <c r="M624" s="785"/>
      <c r="N624" s="785"/>
      <c r="O624" s="785"/>
      <c r="P624" s="785"/>
      <c r="Q624" s="785"/>
      <c r="R624" s="785"/>
      <c r="S624" s="776"/>
      <c r="T624" s="776"/>
      <c r="U624" s="776"/>
      <c r="V624" s="776"/>
      <c r="W624" s="776"/>
      <c r="X624" s="776"/>
      <c r="Y624" s="785"/>
      <c r="Z624" s="776"/>
      <c r="AA624" s="776"/>
      <c r="AB624" s="776"/>
    </row>
    <row r="625" spans="1:28" ht="15.75" customHeight="1">
      <c r="A625" s="776"/>
      <c r="B625" s="776"/>
      <c r="C625" s="776"/>
      <c r="D625" s="776"/>
      <c r="E625" s="777"/>
      <c r="F625" s="776"/>
      <c r="G625" s="777"/>
      <c r="H625" s="776"/>
      <c r="I625" s="777"/>
      <c r="J625" s="777"/>
      <c r="K625" s="786"/>
      <c r="L625" s="777"/>
      <c r="M625" s="785"/>
      <c r="N625" s="785"/>
      <c r="O625" s="785"/>
      <c r="P625" s="785"/>
      <c r="Q625" s="785"/>
      <c r="R625" s="785"/>
      <c r="S625" s="776"/>
      <c r="T625" s="776"/>
      <c r="U625" s="776"/>
      <c r="V625" s="776"/>
      <c r="W625" s="776"/>
      <c r="X625" s="776"/>
      <c r="Y625" s="785"/>
      <c r="Z625" s="776"/>
      <c r="AA625" s="776"/>
      <c r="AB625" s="776"/>
    </row>
    <row r="626" spans="1:28" ht="15.75" customHeight="1">
      <c r="A626" s="776"/>
      <c r="B626" s="776"/>
      <c r="C626" s="776"/>
      <c r="D626" s="776"/>
      <c r="E626" s="777"/>
      <c r="F626" s="776"/>
      <c r="G626" s="777"/>
      <c r="H626" s="776"/>
      <c r="I626" s="777"/>
      <c r="J626" s="777"/>
      <c r="K626" s="786"/>
      <c r="L626" s="777"/>
      <c r="M626" s="785"/>
      <c r="N626" s="785"/>
      <c r="O626" s="785"/>
      <c r="P626" s="785"/>
      <c r="Q626" s="785"/>
      <c r="R626" s="785"/>
      <c r="S626" s="776"/>
      <c r="T626" s="776"/>
      <c r="U626" s="776"/>
      <c r="V626" s="776"/>
      <c r="W626" s="776"/>
      <c r="X626" s="776"/>
      <c r="Y626" s="785"/>
      <c r="Z626" s="776"/>
      <c r="AA626" s="776"/>
      <c r="AB626" s="776"/>
    </row>
    <row r="627" spans="1:28" ht="15.75" customHeight="1">
      <c r="A627" s="776"/>
      <c r="B627" s="776"/>
      <c r="C627" s="776"/>
      <c r="D627" s="776"/>
      <c r="E627" s="777"/>
      <c r="F627" s="776"/>
      <c r="G627" s="777"/>
      <c r="H627" s="776"/>
      <c r="I627" s="777"/>
      <c r="J627" s="777"/>
      <c r="K627" s="786"/>
      <c r="L627" s="777"/>
      <c r="M627" s="785"/>
      <c r="N627" s="785"/>
      <c r="O627" s="785"/>
      <c r="P627" s="785"/>
      <c r="Q627" s="785"/>
      <c r="R627" s="785"/>
      <c r="S627" s="776"/>
      <c r="T627" s="776"/>
      <c r="U627" s="776"/>
      <c r="V627" s="776"/>
      <c r="W627" s="776"/>
      <c r="X627" s="776"/>
      <c r="Y627" s="785"/>
      <c r="Z627" s="776"/>
      <c r="AA627" s="776"/>
      <c r="AB627" s="776"/>
    </row>
    <row r="628" spans="1:28" ht="15.75" customHeight="1">
      <c r="A628" s="776"/>
      <c r="B628" s="776"/>
      <c r="C628" s="776"/>
      <c r="D628" s="776"/>
      <c r="E628" s="777"/>
      <c r="F628" s="776"/>
      <c r="G628" s="777"/>
      <c r="H628" s="776"/>
      <c r="I628" s="777"/>
      <c r="J628" s="777"/>
      <c r="K628" s="786"/>
      <c r="L628" s="777"/>
      <c r="M628" s="785"/>
      <c r="N628" s="785"/>
      <c r="O628" s="785"/>
      <c r="P628" s="785"/>
      <c r="Q628" s="785"/>
      <c r="R628" s="785"/>
      <c r="S628" s="776"/>
      <c r="T628" s="776"/>
      <c r="U628" s="776"/>
      <c r="V628" s="776"/>
      <c r="W628" s="776"/>
      <c r="X628" s="776"/>
      <c r="Y628" s="785"/>
      <c r="Z628" s="776"/>
      <c r="AA628" s="776"/>
      <c r="AB628" s="776"/>
    </row>
    <row r="629" spans="1:28" ht="15.75" customHeight="1">
      <c r="A629" s="776"/>
      <c r="B629" s="776"/>
      <c r="C629" s="776"/>
      <c r="D629" s="776"/>
      <c r="E629" s="777"/>
      <c r="F629" s="776"/>
      <c r="G629" s="777"/>
      <c r="H629" s="776"/>
      <c r="I629" s="777"/>
      <c r="J629" s="777"/>
      <c r="K629" s="786"/>
      <c r="L629" s="777"/>
      <c r="M629" s="785"/>
      <c r="N629" s="785"/>
      <c r="O629" s="785"/>
      <c r="P629" s="785"/>
      <c r="Q629" s="785"/>
      <c r="R629" s="785"/>
      <c r="S629" s="776"/>
      <c r="T629" s="776"/>
      <c r="U629" s="776"/>
      <c r="V629" s="776"/>
      <c r="W629" s="776"/>
      <c r="X629" s="776"/>
      <c r="Y629" s="785"/>
      <c r="Z629" s="776"/>
      <c r="AA629" s="776"/>
      <c r="AB629" s="776"/>
    </row>
    <row r="630" spans="1:28" ht="15.75" customHeight="1">
      <c r="A630" s="776"/>
      <c r="B630" s="776"/>
      <c r="C630" s="776"/>
      <c r="D630" s="776"/>
      <c r="E630" s="777"/>
      <c r="F630" s="776"/>
      <c r="G630" s="777"/>
      <c r="H630" s="776"/>
      <c r="I630" s="777"/>
      <c r="J630" s="777"/>
      <c r="K630" s="786"/>
      <c r="L630" s="777"/>
      <c r="M630" s="785"/>
      <c r="N630" s="785"/>
      <c r="O630" s="785"/>
      <c r="P630" s="785"/>
      <c r="Q630" s="785"/>
      <c r="R630" s="785"/>
      <c r="S630" s="776"/>
      <c r="T630" s="776"/>
      <c r="U630" s="776"/>
      <c r="V630" s="776"/>
      <c r="W630" s="776"/>
      <c r="X630" s="776"/>
      <c r="Y630" s="785"/>
      <c r="Z630" s="776"/>
      <c r="AA630" s="776"/>
      <c r="AB630" s="776"/>
    </row>
    <row r="631" spans="1:28" ht="15.75" customHeight="1">
      <c r="A631" s="776"/>
      <c r="B631" s="776"/>
      <c r="C631" s="776"/>
      <c r="D631" s="776"/>
      <c r="E631" s="777"/>
      <c r="F631" s="776"/>
      <c r="G631" s="777"/>
      <c r="H631" s="776"/>
      <c r="I631" s="777"/>
      <c r="J631" s="777"/>
      <c r="K631" s="786"/>
      <c r="L631" s="777"/>
      <c r="M631" s="785"/>
      <c r="N631" s="785"/>
      <c r="O631" s="785"/>
      <c r="P631" s="785"/>
      <c r="Q631" s="785"/>
      <c r="R631" s="785"/>
      <c r="S631" s="776"/>
      <c r="T631" s="776"/>
      <c r="U631" s="776"/>
      <c r="V631" s="776"/>
      <c r="W631" s="776"/>
      <c r="X631" s="776"/>
      <c r="Y631" s="785"/>
      <c r="Z631" s="776"/>
      <c r="AA631" s="776"/>
      <c r="AB631" s="776"/>
    </row>
    <row r="632" spans="1:28" ht="15.75" customHeight="1">
      <c r="A632" s="776"/>
      <c r="B632" s="776"/>
      <c r="C632" s="776"/>
      <c r="D632" s="776"/>
      <c r="E632" s="777"/>
      <c r="F632" s="776"/>
      <c r="G632" s="777"/>
      <c r="H632" s="776"/>
      <c r="I632" s="777"/>
      <c r="J632" s="777"/>
      <c r="K632" s="786"/>
      <c r="L632" s="777"/>
      <c r="M632" s="785"/>
      <c r="N632" s="785"/>
      <c r="O632" s="785"/>
      <c r="P632" s="785"/>
      <c r="Q632" s="785"/>
      <c r="R632" s="785"/>
      <c r="S632" s="776"/>
      <c r="T632" s="776"/>
      <c r="U632" s="776"/>
      <c r="V632" s="776"/>
      <c r="W632" s="776"/>
      <c r="X632" s="776"/>
      <c r="Y632" s="785"/>
      <c r="Z632" s="776"/>
      <c r="AA632" s="776"/>
      <c r="AB632" s="776"/>
    </row>
    <row r="633" spans="1:28" ht="15.75" customHeight="1">
      <c r="A633" s="776"/>
      <c r="B633" s="776"/>
      <c r="C633" s="776"/>
      <c r="D633" s="776"/>
      <c r="E633" s="777"/>
      <c r="F633" s="776"/>
      <c r="G633" s="777"/>
      <c r="H633" s="776"/>
      <c r="I633" s="777"/>
      <c r="J633" s="777"/>
      <c r="K633" s="786"/>
      <c r="L633" s="777"/>
      <c r="M633" s="785"/>
      <c r="N633" s="785"/>
      <c r="O633" s="785"/>
      <c r="P633" s="785"/>
      <c r="Q633" s="785"/>
      <c r="R633" s="785"/>
      <c r="S633" s="776"/>
      <c r="T633" s="776"/>
      <c r="U633" s="776"/>
      <c r="V633" s="776"/>
      <c r="W633" s="776"/>
      <c r="X633" s="776"/>
      <c r="Y633" s="785"/>
      <c r="Z633" s="776"/>
      <c r="AA633" s="776"/>
      <c r="AB633" s="776"/>
    </row>
    <row r="634" spans="1:28" ht="15.75" customHeight="1">
      <c r="A634" s="776"/>
      <c r="B634" s="776"/>
      <c r="C634" s="776"/>
      <c r="D634" s="776"/>
      <c r="E634" s="777"/>
      <c r="F634" s="776"/>
      <c r="G634" s="777"/>
      <c r="H634" s="776"/>
      <c r="I634" s="777"/>
      <c r="J634" s="777"/>
      <c r="K634" s="786"/>
      <c r="L634" s="777"/>
      <c r="M634" s="785"/>
      <c r="N634" s="785"/>
      <c r="O634" s="785"/>
      <c r="P634" s="785"/>
      <c r="Q634" s="785"/>
      <c r="R634" s="785"/>
      <c r="S634" s="776"/>
      <c r="T634" s="776"/>
      <c r="U634" s="776"/>
      <c r="V634" s="776"/>
      <c r="W634" s="776"/>
      <c r="X634" s="776"/>
      <c r="Y634" s="785"/>
      <c r="Z634" s="776"/>
      <c r="AA634" s="776"/>
      <c r="AB634" s="776"/>
    </row>
    <row r="635" spans="1:28" ht="15.75" customHeight="1">
      <c r="A635" s="776"/>
      <c r="B635" s="776"/>
      <c r="C635" s="776"/>
      <c r="D635" s="776"/>
      <c r="E635" s="777"/>
      <c r="F635" s="776"/>
      <c r="G635" s="777"/>
      <c r="H635" s="776"/>
      <c r="I635" s="777"/>
      <c r="J635" s="777"/>
      <c r="K635" s="786"/>
      <c r="L635" s="777"/>
      <c r="M635" s="785"/>
      <c r="N635" s="785"/>
      <c r="O635" s="785"/>
      <c r="P635" s="785"/>
      <c r="Q635" s="785"/>
      <c r="R635" s="785"/>
      <c r="S635" s="776"/>
      <c r="T635" s="776"/>
      <c r="U635" s="776"/>
      <c r="V635" s="776"/>
      <c r="W635" s="776"/>
      <c r="X635" s="776"/>
      <c r="Y635" s="785"/>
      <c r="Z635" s="776"/>
      <c r="AA635" s="776"/>
      <c r="AB635" s="776"/>
    </row>
    <row r="636" spans="1:28" ht="15.75" customHeight="1">
      <c r="A636" s="776"/>
      <c r="B636" s="776"/>
      <c r="C636" s="776"/>
      <c r="D636" s="776"/>
      <c r="E636" s="777"/>
      <c r="F636" s="776"/>
      <c r="G636" s="777"/>
      <c r="H636" s="776"/>
      <c r="I636" s="777"/>
      <c r="J636" s="777"/>
      <c r="K636" s="786"/>
      <c r="L636" s="777"/>
      <c r="M636" s="785"/>
      <c r="N636" s="785"/>
      <c r="O636" s="785"/>
      <c r="P636" s="785"/>
      <c r="Q636" s="785"/>
      <c r="R636" s="785"/>
      <c r="S636" s="776"/>
      <c r="T636" s="776"/>
      <c r="U636" s="776"/>
      <c r="V636" s="776"/>
      <c r="W636" s="776"/>
      <c r="X636" s="776"/>
      <c r="Y636" s="785"/>
      <c r="Z636" s="776"/>
      <c r="AA636" s="776"/>
      <c r="AB636" s="776"/>
    </row>
    <row r="637" spans="1:28" ht="15.75" customHeight="1">
      <c r="A637" s="776"/>
      <c r="B637" s="776"/>
      <c r="C637" s="776"/>
      <c r="D637" s="776"/>
      <c r="E637" s="777"/>
      <c r="F637" s="776"/>
      <c r="G637" s="777"/>
      <c r="H637" s="776"/>
      <c r="I637" s="777"/>
      <c r="J637" s="777"/>
      <c r="K637" s="786"/>
      <c r="L637" s="777"/>
      <c r="M637" s="785"/>
      <c r="N637" s="785"/>
      <c r="O637" s="785"/>
      <c r="P637" s="785"/>
      <c r="Q637" s="785"/>
      <c r="R637" s="785"/>
      <c r="S637" s="776"/>
      <c r="T637" s="776"/>
      <c r="U637" s="776"/>
      <c r="V637" s="776"/>
      <c r="W637" s="776"/>
      <c r="X637" s="776"/>
      <c r="Y637" s="785"/>
      <c r="Z637" s="776"/>
      <c r="AA637" s="776"/>
      <c r="AB637" s="776"/>
    </row>
    <row r="638" spans="1:28" ht="15.75" customHeight="1">
      <c r="A638" s="776"/>
      <c r="B638" s="776"/>
      <c r="C638" s="776"/>
      <c r="D638" s="776"/>
      <c r="E638" s="777"/>
      <c r="F638" s="776"/>
      <c r="G638" s="777"/>
      <c r="H638" s="776"/>
      <c r="I638" s="777"/>
      <c r="J638" s="777"/>
      <c r="K638" s="786"/>
      <c r="L638" s="777"/>
      <c r="M638" s="785"/>
      <c r="N638" s="785"/>
      <c r="O638" s="785"/>
      <c r="P638" s="785"/>
      <c r="Q638" s="785"/>
      <c r="R638" s="785"/>
      <c r="S638" s="776"/>
      <c r="T638" s="776"/>
      <c r="U638" s="776"/>
      <c r="V638" s="776"/>
      <c r="W638" s="776"/>
      <c r="X638" s="776"/>
      <c r="Y638" s="785"/>
      <c r="Z638" s="776"/>
      <c r="AA638" s="776"/>
      <c r="AB638" s="776"/>
    </row>
    <row r="639" spans="1:28" ht="15.75" customHeight="1">
      <c r="A639" s="776"/>
      <c r="B639" s="776"/>
      <c r="C639" s="776"/>
      <c r="D639" s="776"/>
      <c r="E639" s="777"/>
      <c r="F639" s="776"/>
      <c r="G639" s="777"/>
      <c r="H639" s="776"/>
      <c r="I639" s="777"/>
      <c r="J639" s="777"/>
      <c r="K639" s="786"/>
      <c r="L639" s="777"/>
      <c r="M639" s="785"/>
      <c r="N639" s="785"/>
      <c r="O639" s="785"/>
      <c r="P639" s="785"/>
      <c r="Q639" s="785"/>
      <c r="R639" s="785"/>
      <c r="S639" s="776"/>
      <c r="T639" s="776"/>
      <c r="U639" s="776"/>
      <c r="V639" s="776"/>
      <c r="W639" s="776"/>
      <c r="X639" s="776"/>
      <c r="Y639" s="785"/>
      <c r="Z639" s="776"/>
      <c r="AA639" s="776"/>
      <c r="AB639" s="776"/>
    </row>
    <row r="640" spans="1:28" ht="15.75" customHeight="1">
      <c r="A640" s="776"/>
      <c r="B640" s="776"/>
      <c r="C640" s="776"/>
      <c r="D640" s="776"/>
      <c r="E640" s="777"/>
      <c r="F640" s="776"/>
      <c r="G640" s="777"/>
      <c r="H640" s="776"/>
      <c r="I640" s="777"/>
      <c r="J640" s="777"/>
      <c r="K640" s="786"/>
      <c r="L640" s="777"/>
      <c r="M640" s="785"/>
      <c r="N640" s="785"/>
      <c r="O640" s="785"/>
      <c r="P640" s="785"/>
      <c r="Q640" s="785"/>
      <c r="R640" s="785"/>
      <c r="S640" s="776"/>
      <c r="T640" s="776"/>
      <c r="U640" s="776"/>
      <c r="V640" s="776"/>
      <c r="W640" s="776"/>
      <c r="X640" s="776"/>
      <c r="Y640" s="785"/>
      <c r="Z640" s="776"/>
      <c r="AA640" s="776"/>
      <c r="AB640" s="776"/>
    </row>
    <row r="641" spans="1:28" ht="15.75" customHeight="1">
      <c r="A641" s="776"/>
      <c r="B641" s="776"/>
      <c r="C641" s="776"/>
      <c r="D641" s="776"/>
      <c r="E641" s="777"/>
      <c r="F641" s="776"/>
      <c r="G641" s="777"/>
      <c r="H641" s="776"/>
      <c r="I641" s="777"/>
      <c r="J641" s="777"/>
      <c r="K641" s="786"/>
      <c r="L641" s="777"/>
      <c r="M641" s="785"/>
      <c r="N641" s="785"/>
      <c r="O641" s="785"/>
      <c r="P641" s="785"/>
      <c r="Q641" s="785"/>
      <c r="R641" s="785"/>
      <c r="S641" s="776"/>
      <c r="T641" s="776"/>
      <c r="U641" s="776"/>
      <c r="V641" s="776"/>
      <c r="W641" s="776"/>
      <c r="X641" s="776"/>
      <c r="Y641" s="785"/>
      <c r="Z641" s="776"/>
      <c r="AA641" s="776"/>
      <c r="AB641" s="776"/>
    </row>
    <row r="642" spans="1:28" ht="15.75" customHeight="1">
      <c r="A642" s="776"/>
      <c r="B642" s="776"/>
      <c r="C642" s="776"/>
      <c r="D642" s="776"/>
      <c r="E642" s="777"/>
      <c r="F642" s="776"/>
      <c r="G642" s="777"/>
      <c r="H642" s="776"/>
      <c r="I642" s="777"/>
      <c r="J642" s="777"/>
      <c r="K642" s="786"/>
      <c r="L642" s="777"/>
      <c r="M642" s="785"/>
      <c r="N642" s="785"/>
      <c r="O642" s="785"/>
      <c r="P642" s="785"/>
      <c r="Q642" s="785"/>
      <c r="R642" s="785"/>
      <c r="S642" s="776"/>
      <c r="T642" s="776"/>
      <c r="U642" s="776"/>
      <c r="V642" s="776"/>
      <c r="W642" s="776"/>
      <c r="X642" s="776"/>
      <c r="Y642" s="785"/>
      <c r="Z642" s="776"/>
      <c r="AA642" s="776"/>
      <c r="AB642" s="776"/>
    </row>
    <row r="643" spans="1:28" ht="15.75" customHeight="1">
      <c r="A643" s="776"/>
      <c r="B643" s="776"/>
      <c r="C643" s="776"/>
      <c r="D643" s="776"/>
      <c r="E643" s="777"/>
      <c r="F643" s="776"/>
      <c r="G643" s="777"/>
      <c r="H643" s="776"/>
      <c r="I643" s="777"/>
      <c r="J643" s="777"/>
      <c r="K643" s="786"/>
      <c r="L643" s="777"/>
      <c r="M643" s="785"/>
      <c r="N643" s="785"/>
      <c r="O643" s="785"/>
      <c r="P643" s="785"/>
      <c r="Q643" s="785"/>
      <c r="R643" s="785"/>
      <c r="S643" s="776"/>
      <c r="T643" s="776"/>
      <c r="U643" s="776"/>
      <c r="V643" s="776"/>
      <c r="W643" s="776"/>
      <c r="X643" s="776"/>
      <c r="Y643" s="785"/>
      <c r="Z643" s="776"/>
      <c r="AA643" s="776"/>
      <c r="AB643" s="776"/>
    </row>
    <row r="644" spans="1:28" ht="15.75" customHeight="1">
      <c r="A644" s="776"/>
      <c r="B644" s="776"/>
      <c r="C644" s="776"/>
      <c r="D644" s="776"/>
      <c r="E644" s="777"/>
      <c r="F644" s="776"/>
      <c r="G644" s="777"/>
      <c r="H644" s="776"/>
      <c r="I644" s="777"/>
      <c r="J644" s="777"/>
      <c r="K644" s="786"/>
      <c r="L644" s="777"/>
      <c r="M644" s="785"/>
      <c r="N644" s="785"/>
      <c r="O644" s="785"/>
      <c r="P644" s="785"/>
      <c r="Q644" s="785"/>
      <c r="R644" s="785"/>
      <c r="S644" s="776"/>
      <c r="T644" s="776"/>
      <c r="U644" s="776"/>
      <c r="V644" s="776"/>
      <c r="W644" s="776"/>
      <c r="X644" s="776"/>
      <c r="Y644" s="785"/>
      <c r="Z644" s="776"/>
      <c r="AA644" s="776"/>
      <c r="AB644" s="776"/>
    </row>
    <row r="645" spans="1:28" ht="15.75" customHeight="1">
      <c r="A645" s="776"/>
      <c r="B645" s="776"/>
      <c r="C645" s="776"/>
      <c r="D645" s="776"/>
      <c r="E645" s="777"/>
      <c r="F645" s="776"/>
      <c r="G645" s="777"/>
      <c r="H645" s="776"/>
      <c r="I645" s="777"/>
      <c r="J645" s="777"/>
      <c r="K645" s="786"/>
      <c r="L645" s="777"/>
      <c r="M645" s="785"/>
      <c r="N645" s="785"/>
      <c r="O645" s="785"/>
      <c r="P645" s="785"/>
      <c r="Q645" s="785"/>
      <c r="R645" s="785"/>
      <c r="S645" s="776"/>
      <c r="T645" s="776"/>
      <c r="U645" s="776"/>
      <c r="V645" s="776"/>
      <c r="W645" s="776"/>
      <c r="X645" s="776"/>
      <c r="Y645" s="785"/>
      <c r="Z645" s="776"/>
      <c r="AA645" s="776"/>
      <c r="AB645" s="776"/>
    </row>
    <row r="646" spans="1:28" ht="15.75" customHeight="1">
      <c r="A646" s="776"/>
      <c r="B646" s="776"/>
      <c r="C646" s="776"/>
      <c r="D646" s="776"/>
      <c r="E646" s="777"/>
      <c r="F646" s="776"/>
      <c r="G646" s="777"/>
      <c r="H646" s="776"/>
      <c r="I646" s="777"/>
      <c r="J646" s="777"/>
      <c r="K646" s="786"/>
      <c r="L646" s="777"/>
      <c r="M646" s="785"/>
      <c r="N646" s="785"/>
      <c r="O646" s="785"/>
      <c r="P646" s="785"/>
      <c r="Q646" s="785"/>
      <c r="R646" s="785"/>
      <c r="S646" s="776"/>
      <c r="T646" s="776"/>
      <c r="U646" s="776"/>
      <c r="V646" s="776"/>
      <c r="W646" s="776"/>
      <c r="X646" s="776"/>
      <c r="Y646" s="785"/>
      <c r="Z646" s="776"/>
      <c r="AA646" s="776"/>
      <c r="AB646" s="776"/>
    </row>
    <row r="647" spans="1:28" ht="15.75" customHeight="1">
      <c r="A647" s="776"/>
      <c r="B647" s="776"/>
      <c r="C647" s="776"/>
      <c r="D647" s="776"/>
      <c r="E647" s="777"/>
      <c r="F647" s="776"/>
      <c r="G647" s="777"/>
      <c r="H647" s="776"/>
      <c r="I647" s="777"/>
      <c r="J647" s="777"/>
      <c r="K647" s="786"/>
      <c r="L647" s="777"/>
      <c r="M647" s="785"/>
      <c r="N647" s="785"/>
      <c r="O647" s="785"/>
      <c r="P647" s="785"/>
      <c r="Q647" s="785"/>
      <c r="R647" s="785"/>
      <c r="S647" s="776"/>
      <c r="T647" s="776"/>
      <c r="U647" s="776"/>
      <c r="V647" s="776"/>
      <c r="W647" s="776"/>
      <c r="X647" s="776"/>
      <c r="Y647" s="785"/>
      <c r="Z647" s="776"/>
      <c r="AA647" s="776"/>
      <c r="AB647" s="776"/>
    </row>
    <row r="648" spans="1:28" ht="15.75" customHeight="1">
      <c r="A648" s="776"/>
      <c r="B648" s="776"/>
      <c r="C648" s="776"/>
      <c r="D648" s="776"/>
      <c r="E648" s="777"/>
      <c r="F648" s="776"/>
      <c r="G648" s="777"/>
      <c r="H648" s="776"/>
      <c r="I648" s="777"/>
      <c r="J648" s="777"/>
      <c r="K648" s="786"/>
      <c r="L648" s="777"/>
      <c r="M648" s="785"/>
      <c r="N648" s="785"/>
      <c r="O648" s="785"/>
      <c r="P648" s="785"/>
      <c r="Q648" s="785"/>
      <c r="R648" s="785"/>
      <c r="S648" s="776"/>
      <c r="T648" s="776"/>
      <c r="U648" s="776"/>
      <c r="V648" s="776"/>
      <c r="W648" s="776"/>
      <c r="X648" s="776"/>
      <c r="Y648" s="785"/>
      <c r="Z648" s="776"/>
      <c r="AA648" s="776"/>
      <c r="AB648" s="776"/>
    </row>
    <row r="649" spans="1:28" ht="15.75" customHeight="1">
      <c r="A649" s="776"/>
      <c r="B649" s="776"/>
      <c r="C649" s="776"/>
      <c r="D649" s="776"/>
      <c r="E649" s="777"/>
      <c r="F649" s="776"/>
      <c r="G649" s="777"/>
      <c r="H649" s="776"/>
      <c r="I649" s="777"/>
      <c r="J649" s="777"/>
      <c r="K649" s="786"/>
      <c r="L649" s="777"/>
      <c r="M649" s="785"/>
      <c r="N649" s="785"/>
      <c r="O649" s="785"/>
      <c r="P649" s="785"/>
      <c r="Q649" s="785"/>
      <c r="R649" s="785"/>
      <c r="S649" s="776"/>
      <c r="T649" s="776"/>
      <c r="U649" s="776"/>
      <c r="V649" s="776"/>
      <c r="W649" s="776"/>
      <c r="X649" s="776"/>
      <c r="Y649" s="785"/>
      <c r="Z649" s="776"/>
      <c r="AA649" s="776"/>
      <c r="AB649" s="776"/>
    </row>
    <row r="650" spans="1:28" ht="15.75" customHeight="1">
      <c r="A650" s="776"/>
      <c r="B650" s="776"/>
      <c r="C650" s="776"/>
      <c r="D650" s="776"/>
      <c r="E650" s="777"/>
      <c r="F650" s="776"/>
      <c r="G650" s="777"/>
      <c r="H650" s="776"/>
      <c r="I650" s="777"/>
      <c r="J650" s="777"/>
      <c r="K650" s="786"/>
      <c r="L650" s="777"/>
      <c r="M650" s="785"/>
      <c r="N650" s="785"/>
      <c r="O650" s="785"/>
      <c r="P650" s="785"/>
      <c r="Q650" s="785"/>
      <c r="R650" s="785"/>
      <c r="S650" s="776"/>
      <c r="T650" s="776"/>
      <c r="U650" s="776"/>
      <c r="V650" s="776"/>
      <c r="W650" s="776"/>
      <c r="X650" s="776"/>
      <c r="Y650" s="785"/>
      <c r="Z650" s="776"/>
      <c r="AA650" s="776"/>
      <c r="AB650" s="776"/>
    </row>
    <row r="651" spans="1:28" ht="15.75" customHeight="1">
      <c r="A651" s="776"/>
      <c r="B651" s="776"/>
      <c r="C651" s="776"/>
      <c r="D651" s="776"/>
      <c r="E651" s="777"/>
      <c r="F651" s="776"/>
      <c r="G651" s="777"/>
      <c r="H651" s="776"/>
      <c r="I651" s="777"/>
      <c r="J651" s="777"/>
      <c r="K651" s="786"/>
      <c r="L651" s="777"/>
      <c r="M651" s="785"/>
      <c r="N651" s="785"/>
      <c r="O651" s="785"/>
      <c r="P651" s="785"/>
      <c r="Q651" s="785"/>
      <c r="R651" s="785"/>
      <c r="S651" s="776"/>
      <c r="T651" s="776"/>
      <c r="U651" s="776"/>
      <c r="V651" s="776"/>
      <c r="W651" s="776"/>
      <c r="X651" s="776"/>
      <c r="Y651" s="785"/>
      <c r="Z651" s="776"/>
      <c r="AA651" s="776"/>
      <c r="AB651" s="776"/>
    </row>
    <row r="652" spans="1:28" ht="15.75" customHeight="1">
      <c r="A652" s="776"/>
      <c r="B652" s="776"/>
      <c r="C652" s="776"/>
      <c r="D652" s="776"/>
      <c r="E652" s="777"/>
      <c r="F652" s="776"/>
      <c r="G652" s="777"/>
      <c r="H652" s="776"/>
      <c r="I652" s="777"/>
      <c r="J652" s="777"/>
      <c r="K652" s="786"/>
      <c r="L652" s="777"/>
      <c r="M652" s="785"/>
      <c r="N652" s="785"/>
      <c r="O652" s="785"/>
      <c r="P652" s="785"/>
      <c r="Q652" s="785"/>
      <c r="R652" s="785"/>
      <c r="S652" s="776"/>
      <c r="T652" s="776"/>
      <c r="U652" s="776"/>
      <c r="V652" s="776"/>
      <c r="W652" s="776"/>
      <c r="X652" s="776"/>
      <c r="Y652" s="785"/>
      <c r="Z652" s="776"/>
      <c r="AA652" s="776"/>
      <c r="AB652" s="776"/>
    </row>
    <row r="653" spans="1:28" ht="15.75" customHeight="1">
      <c r="A653" s="776"/>
      <c r="B653" s="776"/>
      <c r="C653" s="776"/>
      <c r="D653" s="776"/>
      <c r="E653" s="777"/>
      <c r="F653" s="776"/>
      <c r="G653" s="777"/>
      <c r="H653" s="776"/>
      <c r="I653" s="777"/>
      <c r="J653" s="777"/>
      <c r="K653" s="786"/>
      <c r="L653" s="777"/>
      <c r="M653" s="785"/>
      <c r="N653" s="785"/>
      <c r="O653" s="785"/>
      <c r="P653" s="785"/>
      <c r="Q653" s="785"/>
      <c r="R653" s="785"/>
      <c r="S653" s="776"/>
      <c r="T653" s="776"/>
      <c r="U653" s="776"/>
      <c r="V653" s="776"/>
      <c r="W653" s="776"/>
      <c r="X653" s="776"/>
      <c r="Y653" s="785"/>
      <c r="Z653" s="776"/>
      <c r="AA653" s="776"/>
      <c r="AB653" s="776"/>
    </row>
    <row r="654" spans="1:28" ht="15.75" customHeight="1">
      <c r="A654" s="776"/>
      <c r="B654" s="776"/>
      <c r="C654" s="776"/>
      <c r="D654" s="776"/>
      <c r="E654" s="777"/>
      <c r="F654" s="776"/>
      <c r="G654" s="777"/>
      <c r="H654" s="776"/>
      <c r="I654" s="777"/>
      <c r="J654" s="777"/>
      <c r="K654" s="786"/>
      <c r="L654" s="777"/>
      <c r="M654" s="785"/>
      <c r="N654" s="785"/>
      <c r="O654" s="785"/>
      <c r="P654" s="785"/>
      <c r="Q654" s="785"/>
      <c r="R654" s="785"/>
      <c r="S654" s="776"/>
      <c r="T654" s="776"/>
      <c r="U654" s="776"/>
      <c r="V654" s="776"/>
      <c r="W654" s="776"/>
      <c r="X654" s="776"/>
      <c r="Y654" s="785"/>
      <c r="Z654" s="776"/>
      <c r="AA654" s="776"/>
      <c r="AB654" s="776"/>
    </row>
    <row r="655" spans="1:28" ht="15.75" customHeight="1">
      <c r="A655" s="776"/>
      <c r="B655" s="776"/>
      <c r="C655" s="776"/>
      <c r="D655" s="776"/>
      <c r="E655" s="777"/>
      <c r="F655" s="776"/>
      <c r="G655" s="777"/>
      <c r="H655" s="776"/>
      <c r="I655" s="777"/>
      <c r="J655" s="777"/>
      <c r="K655" s="786"/>
      <c r="L655" s="777"/>
      <c r="M655" s="785"/>
      <c r="N655" s="785"/>
      <c r="O655" s="785"/>
      <c r="P655" s="785"/>
      <c r="Q655" s="785"/>
      <c r="R655" s="785"/>
      <c r="S655" s="776"/>
      <c r="T655" s="776"/>
      <c r="U655" s="776"/>
      <c r="V655" s="776"/>
      <c r="W655" s="776"/>
      <c r="X655" s="776"/>
      <c r="Y655" s="785"/>
      <c r="Z655" s="776"/>
      <c r="AA655" s="776"/>
      <c r="AB655" s="776"/>
    </row>
    <row r="656" spans="1:28" ht="15.75" customHeight="1">
      <c r="A656" s="776"/>
      <c r="B656" s="776"/>
      <c r="C656" s="776"/>
      <c r="D656" s="776"/>
      <c r="E656" s="777"/>
      <c r="F656" s="776"/>
      <c r="G656" s="777"/>
      <c r="H656" s="776"/>
      <c r="I656" s="777"/>
      <c r="J656" s="777"/>
      <c r="K656" s="786"/>
      <c r="L656" s="777"/>
      <c r="M656" s="785"/>
      <c r="N656" s="785"/>
      <c r="O656" s="785"/>
      <c r="P656" s="785"/>
      <c r="Q656" s="785"/>
      <c r="R656" s="785"/>
      <c r="S656" s="776"/>
      <c r="T656" s="776"/>
      <c r="U656" s="776"/>
      <c r="V656" s="776"/>
      <c r="W656" s="776"/>
      <c r="X656" s="776"/>
      <c r="Y656" s="785"/>
      <c r="Z656" s="776"/>
      <c r="AA656" s="776"/>
      <c r="AB656" s="776"/>
    </row>
    <row r="657" spans="1:28" ht="15.75" customHeight="1">
      <c r="A657" s="776"/>
      <c r="B657" s="776"/>
      <c r="C657" s="776"/>
      <c r="D657" s="776"/>
      <c r="E657" s="777"/>
      <c r="F657" s="776"/>
      <c r="G657" s="777"/>
      <c r="H657" s="776"/>
      <c r="I657" s="777"/>
      <c r="J657" s="777"/>
      <c r="K657" s="786"/>
      <c r="L657" s="777"/>
      <c r="M657" s="785"/>
      <c r="N657" s="785"/>
      <c r="O657" s="785"/>
      <c r="P657" s="785"/>
      <c r="Q657" s="785"/>
      <c r="R657" s="785"/>
      <c r="S657" s="776"/>
      <c r="T657" s="776"/>
      <c r="U657" s="776"/>
      <c r="V657" s="776"/>
      <c r="W657" s="776"/>
      <c r="X657" s="776"/>
      <c r="Y657" s="785"/>
      <c r="Z657" s="776"/>
      <c r="AA657" s="776"/>
      <c r="AB657" s="776"/>
    </row>
    <row r="658" spans="1:28" ht="15.75" customHeight="1">
      <c r="A658" s="776"/>
      <c r="B658" s="776"/>
      <c r="C658" s="776"/>
      <c r="D658" s="776"/>
      <c r="E658" s="777"/>
      <c r="F658" s="776"/>
      <c r="G658" s="777"/>
      <c r="H658" s="776"/>
      <c r="I658" s="777"/>
      <c r="J658" s="777"/>
      <c r="K658" s="786"/>
      <c r="L658" s="777"/>
      <c r="M658" s="785"/>
      <c r="N658" s="785"/>
      <c r="O658" s="785"/>
      <c r="P658" s="785"/>
      <c r="Q658" s="785"/>
      <c r="R658" s="785"/>
      <c r="S658" s="776"/>
      <c r="T658" s="776"/>
      <c r="U658" s="776"/>
      <c r="V658" s="776"/>
      <c r="W658" s="776"/>
      <c r="X658" s="776"/>
      <c r="Y658" s="785"/>
      <c r="Z658" s="776"/>
      <c r="AA658" s="776"/>
      <c r="AB658" s="776"/>
    </row>
    <row r="659" spans="1:28" ht="15.75" customHeight="1">
      <c r="A659" s="776"/>
      <c r="B659" s="776"/>
      <c r="C659" s="776"/>
      <c r="D659" s="776"/>
      <c r="E659" s="777"/>
      <c r="F659" s="776"/>
      <c r="G659" s="777"/>
      <c r="H659" s="776"/>
      <c r="I659" s="777"/>
      <c r="J659" s="777"/>
      <c r="K659" s="786"/>
      <c r="L659" s="777"/>
      <c r="M659" s="785"/>
      <c r="N659" s="785"/>
      <c r="O659" s="785"/>
      <c r="P659" s="785"/>
      <c r="Q659" s="785"/>
      <c r="R659" s="785"/>
      <c r="S659" s="776"/>
      <c r="T659" s="776"/>
      <c r="U659" s="776"/>
      <c r="V659" s="776"/>
      <c r="W659" s="776"/>
      <c r="X659" s="776"/>
      <c r="Y659" s="785"/>
      <c r="Z659" s="776"/>
      <c r="AA659" s="776"/>
      <c r="AB659" s="776"/>
    </row>
    <row r="660" spans="1:28" ht="15.75" customHeight="1">
      <c r="A660" s="776"/>
      <c r="B660" s="776"/>
      <c r="C660" s="776"/>
      <c r="D660" s="776"/>
      <c r="E660" s="777"/>
      <c r="F660" s="776"/>
      <c r="G660" s="777"/>
      <c r="H660" s="776"/>
      <c r="I660" s="777"/>
      <c r="J660" s="777"/>
      <c r="K660" s="786"/>
      <c r="L660" s="777"/>
      <c r="M660" s="785"/>
      <c r="N660" s="785"/>
      <c r="O660" s="785"/>
      <c r="P660" s="785"/>
      <c r="Q660" s="785"/>
      <c r="R660" s="785"/>
      <c r="S660" s="776"/>
      <c r="T660" s="776"/>
      <c r="U660" s="776"/>
      <c r="V660" s="776"/>
      <c r="W660" s="776"/>
      <c r="X660" s="776"/>
      <c r="Y660" s="785"/>
      <c r="Z660" s="776"/>
      <c r="AA660" s="776"/>
      <c r="AB660" s="776"/>
    </row>
    <row r="661" spans="1:28" ht="15.75" customHeight="1">
      <c r="A661" s="776"/>
      <c r="B661" s="776"/>
      <c r="C661" s="776"/>
      <c r="D661" s="776"/>
      <c r="E661" s="777"/>
      <c r="F661" s="776"/>
      <c r="G661" s="777"/>
      <c r="H661" s="776"/>
      <c r="I661" s="777"/>
      <c r="J661" s="777"/>
      <c r="K661" s="786"/>
      <c r="L661" s="777"/>
      <c r="M661" s="785"/>
      <c r="N661" s="785"/>
      <c r="O661" s="785"/>
      <c r="P661" s="785"/>
      <c r="Q661" s="785"/>
      <c r="R661" s="785"/>
      <c r="S661" s="776"/>
      <c r="T661" s="776"/>
      <c r="U661" s="776"/>
      <c r="V661" s="776"/>
      <c r="W661" s="776"/>
      <c r="X661" s="776"/>
      <c r="Y661" s="785"/>
      <c r="Z661" s="776"/>
      <c r="AA661" s="776"/>
      <c r="AB661" s="776"/>
    </row>
    <row r="662" spans="1:28" ht="15.75" customHeight="1">
      <c r="A662" s="776"/>
      <c r="B662" s="776"/>
      <c r="C662" s="776"/>
      <c r="D662" s="776"/>
      <c r="E662" s="777"/>
      <c r="F662" s="776"/>
      <c r="G662" s="777"/>
      <c r="H662" s="776"/>
      <c r="I662" s="777"/>
      <c r="J662" s="777"/>
      <c r="K662" s="786"/>
      <c r="L662" s="777"/>
      <c r="M662" s="785"/>
      <c r="N662" s="785"/>
      <c r="O662" s="785"/>
      <c r="P662" s="785"/>
      <c r="Q662" s="785"/>
      <c r="R662" s="785"/>
      <c r="S662" s="776"/>
      <c r="T662" s="776"/>
      <c r="U662" s="776"/>
      <c r="V662" s="776"/>
      <c r="W662" s="776"/>
      <c r="X662" s="776"/>
      <c r="Y662" s="785"/>
      <c r="Z662" s="776"/>
      <c r="AA662" s="776"/>
      <c r="AB662" s="776"/>
    </row>
    <row r="663" spans="1:28" ht="15.75" customHeight="1">
      <c r="A663" s="776"/>
      <c r="B663" s="776"/>
      <c r="C663" s="776"/>
      <c r="D663" s="776"/>
      <c r="E663" s="777"/>
      <c r="F663" s="776"/>
      <c r="G663" s="777"/>
      <c r="H663" s="776"/>
      <c r="I663" s="777"/>
      <c r="J663" s="777"/>
      <c r="K663" s="786"/>
      <c r="L663" s="777"/>
      <c r="M663" s="785"/>
      <c r="N663" s="785"/>
      <c r="O663" s="785"/>
      <c r="P663" s="785"/>
      <c r="Q663" s="785"/>
      <c r="R663" s="785"/>
      <c r="S663" s="776"/>
      <c r="T663" s="776"/>
      <c r="U663" s="776"/>
      <c r="V663" s="776"/>
      <c r="W663" s="776"/>
      <c r="X663" s="776"/>
      <c r="Y663" s="785"/>
      <c r="Z663" s="776"/>
      <c r="AA663" s="776"/>
      <c r="AB663" s="776"/>
    </row>
    <row r="664" spans="1:28" ht="15.75" customHeight="1">
      <c r="A664" s="776"/>
      <c r="B664" s="776"/>
      <c r="C664" s="776"/>
      <c r="D664" s="776"/>
      <c r="E664" s="777"/>
      <c r="F664" s="776"/>
      <c r="G664" s="777"/>
      <c r="H664" s="776"/>
      <c r="I664" s="777"/>
      <c r="J664" s="777"/>
      <c r="K664" s="786"/>
      <c r="L664" s="777"/>
      <c r="M664" s="785"/>
      <c r="N664" s="785"/>
      <c r="O664" s="785"/>
      <c r="P664" s="785"/>
      <c r="Q664" s="785"/>
      <c r="R664" s="785"/>
      <c r="S664" s="776"/>
      <c r="T664" s="776"/>
      <c r="U664" s="776"/>
      <c r="V664" s="776"/>
      <c r="W664" s="776"/>
      <c r="X664" s="776"/>
      <c r="Y664" s="785"/>
      <c r="Z664" s="776"/>
      <c r="AA664" s="776"/>
      <c r="AB664" s="776"/>
    </row>
    <row r="665" spans="1:28" ht="15.75" customHeight="1">
      <c r="A665" s="776"/>
      <c r="B665" s="776"/>
      <c r="C665" s="776"/>
      <c r="D665" s="776"/>
      <c r="E665" s="777"/>
      <c r="F665" s="776"/>
      <c r="G665" s="777"/>
      <c r="H665" s="776"/>
      <c r="I665" s="777"/>
      <c r="J665" s="777"/>
      <c r="K665" s="786"/>
      <c r="L665" s="777"/>
      <c r="M665" s="785"/>
      <c r="N665" s="785"/>
      <c r="O665" s="785"/>
      <c r="P665" s="785"/>
      <c r="Q665" s="785"/>
      <c r="R665" s="785"/>
      <c r="S665" s="776"/>
      <c r="T665" s="776"/>
      <c r="U665" s="776"/>
      <c r="V665" s="776"/>
      <c r="W665" s="776"/>
      <c r="X665" s="776"/>
      <c r="Y665" s="785"/>
      <c r="Z665" s="776"/>
      <c r="AA665" s="776"/>
      <c r="AB665" s="776"/>
    </row>
    <row r="666" spans="1:28" ht="15.75" customHeight="1">
      <c r="A666" s="776"/>
      <c r="B666" s="776"/>
      <c r="C666" s="776"/>
      <c r="D666" s="776"/>
      <c r="E666" s="777"/>
      <c r="F666" s="776"/>
      <c r="G666" s="777"/>
      <c r="H666" s="776"/>
      <c r="I666" s="777"/>
      <c r="J666" s="777"/>
      <c r="K666" s="786"/>
      <c r="L666" s="777"/>
      <c r="M666" s="785"/>
      <c r="N666" s="785"/>
      <c r="O666" s="785"/>
      <c r="P666" s="785"/>
      <c r="Q666" s="785"/>
      <c r="R666" s="785"/>
      <c r="S666" s="776"/>
      <c r="T666" s="776"/>
      <c r="U666" s="776"/>
      <c r="V666" s="776"/>
      <c r="W666" s="776"/>
      <c r="X666" s="776"/>
      <c r="Y666" s="785"/>
      <c r="Z666" s="776"/>
      <c r="AA666" s="776"/>
      <c r="AB666" s="776"/>
    </row>
    <row r="667" spans="1:28" ht="15.75" customHeight="1">
      <c r="A667" s="776"/>
      <c r="B667" s="776"/>
      <c r="C667" s="776"/>
      <c r="D667" s="776"/>
      <c r="E667" s="777"/>
      <c r="F667" s="776"/>
      <c r="G667" s="777"/>
      <c r="H667" s="776"/>
      <c r="I667" s="777"/>
      <c r="J667" s="777"/>
      <c r="K667" s="786"/>
      <c r="L667" s="777"/>
      <c r="M667" s="785"/>
      <c r="N667" s="785"/>
      <c r="O667" s="785"/>
      <c r="P667" s="785"/>
      <c r="Q667" s="785"/>
      <c r="R667" s="785"/>
      <c r="S667" s="776"/>
      <c r="T667" s="776"/>
      <c r="U667" s="776"/>
      <c r="V667" s="776"/>
      <c r="W667" s="776"/>
      <c r="X667" s="776"/>
      <c r="Y667" s="785"/>
      <c r="Z667" s="776"/>
      <c r="AA667" s="776"/>
      <c r="AB667" s="776"/>
    </row>
    <row r="668" spans="1:28" ht="15.75" customHeight="1">
      <c r="A668" s="776"/>
      <c r="B668" s="776"/>
      <c r="C668" s="776"/>
      <c r="D668" s="776"/>
      <c r="E668" s="777"/>
      <c r="F668" s="776"/>
      <c r="G668" s="777"/>
      <c r="H668" s="776"/>
      <c r="I668" s="777"/>
      <c r="J668" s="777"/>
      <c r="K668" s="786"/>
      <c r="L668" s="777"/>
      <c r="M668" s="785"/>
      <c r="N668" s="785"/>
      <c r="O668" s="785"/>
      <c r="P668" s="785"/>
      <c r="Q668" s="785"/>
      <c r="R668" s="785"/>
      <c r="S668" s="776"/>
      <c r="T668" s="776"/>
      <c r="U668" s="776"/>
      <c r="V668" s="776"/>
      <c r="W668" s="776"/>
      <c r="X668" s="776"/>
      <c r="Y668" s="785"/>
      <c r="Z668" s="776"/>
      <c r="AA668" s="776"/>
      <c r="AB668" s="776"/>
    </row>
    <row r="669" spans="1:28" ht="15.75" customHeight="1">
      <c r="A669" s="776"/>
      <c r="B669" s="776"/>
      <c r="C669" s="776"/>
      <c r="D669" s="776"/>
      <c r="E669" s="777"/>
      <c r="F669" s="776"/>
      <c r="G669" s="777"/>
      <c r="H669" s="776"/>
      <c r="I669" s="777"/>
      <c r="J669" s="777"/>
      <c r="K669" s="786"/>
      <c r="L669" s="777"/>
      <c r="M669" s="785"/>
      <c r="N669" s="785"/>
      <c r="O669" s="785"/>
      <c r="P669" s="785"/>
      <c r="Q669" s="785"/>
      <c r="R669" s="785"/>
      <c r="S669" s="776"/>
      <c r="T669" s="776"/>
      <c r="U669" s="776"/>
      <c r="V669" s="776"/>
      <c r="W669" s="776"/>
      <c r="X669" s="776"/>
      <c r="Y669" s="785"/>
      <c r="Z669" s="776"/>
      <c r="AA669" s="776"/>
      <c r="AB669" s="776"/>
    </row>
    <row r="670" spans="1:28" ht="15.75" customHeight="1">
      <c r="A670" s="776"/>
      <c r="B670" s="776"/>
      <c r="C670" s="776"/>
      <c r="D670" s="776"/>
      <c r="E670" s="777"/>
      <c r="F670" s="776"/>
      <c r="G670" s="777"/>
      <c r="H670" s="776"/>
      <c r="I670" s="777"/>
      <c r="J670" s="777"/>
      <c r="K670" s="786"/>
      <c r="L670" s="777"/>
      <c r="M670" s="785"/>
      <c r="N670" s="785"/>
      <c r="O670" s="785"/>
      <c r="P670" s="785"/>
      <c r="Q670" s="785"/>
      <c r="R670" s="785"/>
      <c r="S670" s="776"/>
      <c r="T670" s="776"/>
      <c r="U670" s="776"/>
      <c r="V670" s="776"/>
      <c r="W670" s="776"/>
      <c r="X670" s="776"/>
      <c r="Y670" s="785"/>
      <c r="Z670" s="776"/>
      <c r="AA670" s="776"/>
      <c r="AB670" s="776"/>
    </row>
    <row r="671" spans="1:28" ht="15.75" customHeight="1">
      <c r="A671" s="776"/>
      <c r="B671" s="776"/>
      <c r="C671" s="776"/>
      <c r="D671" s="776"/>
      <c r="E671" s="777"/>
      <c r="F671" s="776"/>
      <c r="G671" s="777"/>
      <c r="H671" s="776"/>
      <c r="I671" s="777"/>
      <c r="J671" s="777"/>
      <c r="K671" s="786"/>
      <c r="L671" s="777"/>
      <c r="M671" s="785"/>
      <c r="N671" s="785"/>
      <c r="O671" s="785"/>
      <c r="P671" s="785"/>
      <c r="Q671" s="785"/>
      <c r="R671" s="785"/>
      <c r="S671" s="776"/>
      <c r="T671" s="776"/>
      <c r="U671" s="776"/>
      <c r="V671" s="776"/>
      <c r="W671" s="776"/>
      <c r="X671" s="776"/>
      <c r="Y671" s="785"/>
      <c r="Z671" s="776"/>
      <c r="AA671" s="776"/>
      <c r="AB671" s="776"/>
    </row>
    <row r="672" spans="1:28" ht="15.75" customHeight="1">
      <c r="A672" s="776"/>
      <c r="B672" s="776"/>
      <c r="C672" s="776"/>
      <c r="D672" s="776"/>
      <c r="E672" s="777"/>
      <c r="F672" s="776"/>
      <c r="G672" s="777"/>
      <c r="H672" s="776"/>
      <c r="I672" s="777"/>
      <c r="J672" s="777"/>
      <c r="K672" s="786"/>
      <c r="L672" s="777"/>
      <c r="M672" s="785"/>
      <c r="N672" s="785"/>
      <c r="O672" s="785"/>
      <c r="P672" s="785"/>
      <c r="Q672" s="785"/>
      <c r="R672" s="785"/>
      <c r="S672" s="776"/>
      <c r="T672" s="776"/>
      <c r="U672" s="776"/>
      <c r="V672" s="776"/>
      <c r="W672" s="776"/>
      <c r="X672" s="776"/>
      <c r="Y672" s="785"/>
      <c r="Z672" s="776"/>
      <c r="AA672" s="776"/>
      <c r="AB672" s="776"/>
    </row>
    <row r="673" spans="1:28" ht="15.75" customHeight="1">
      <c r="A673" s="776"/>
      <c r="B673" s="776"/>
      <c r="C673" s="776"/>
      <c r="D673" s="776"/>
      <c r="E673" s="777"/>
      <c r="F673" s="776"/>
      <c r="G673" s="777"/>
      <c r="H673" s="776"/>
      <c r="I673" s="777"/>
      <c r="J673" s="777"/>
      <c r="K673" s="786"/>
      <c r="L673" s="777"/>
      <c r="M673" s="785"/>
      <c r="N673" s="785"/>
      <c r="O673" s="785"/>
      <c r="P673" s="785"/>
      <c r="Q673" s="785"/>
      <c r="R673" s="785"/>
      <c r="S673" s="776"/>
      <c r="T673" s="776"/>
      <c r="U673" s="776"/>
      <c r="V673" s="776"/>
      <c r="W673" s="776"/>
      <c r="X673" s="776"/>
      <c r="Y673" s="785"/>
      <c r="Z673" s="776"/>
      <c r="AA673" s="776"/>
      <c r="AB673" s="776"/>
    </row>
    <row r="674" spans="1:28" ht="15.75" customHeight="1">
      <c r="A674" s="776"/>
      <c r="B674" s="776"/>
      <c r="C674" s="776"/>
      <c r="D674" s="776"/>
      <c r="E674" s="777"/>
      <c r="F674" s="776"/>
      <c r="G674" s="777"/>
      <c r="H674" s="776"/>
      <c r="I674" s="777"/>
      <c r="J674" s="777"/>
      <c r="K674" s="786"/>
      <c r="L674" s="777"/>
      <c r="M674" s="785"/>
      <c r="N674" s="785"/>
      <c r="O674" s="785"/>
      <c r="P674" s="785"/>
      <c r="Q674" s="785"/>
      <c r="R674" s="785"/>
      <c r="S674" s="776"/>
      <c r="T674" s="776"/>
      <c r="U674" s="776"/>
      <c r="V674" s="776"/>
      <c r="W674" s="776"/>
      <c r="X674" s="776"/>
      <c r="Y674" s="785"/>
      <c r="Z674" s="776"/>
      <c r="AA674" s="776"/>
      <c r="AB674" s="776"/>
    </row>
    <row r="675" spans="1:28" ht="15.75" customHeight="1">
      <c r="A675" s="776"/>
      <c r="B675" s="776"/>
      <c r="C675" s="776"/>
      <c r="D675" s="776"/>
      <c r="E675" s="777"/>
      <c r="F675" s="776"/>
      <c r="G675" s="777"/>
      <c r="H675" s="776"/>
      <c r="I675" s="777"/>
      <c r="J675" s="777"/>
      <c r="K675" s="786"/>
      <c r="L675" s="777"/>
      <c r="M675" s="785"/>
      <c r="N675" s="785"/>
      <c r="O675" s="785"/>
      <c r="P675" s="785"/>
      <c r="Q675" s="785"/>
      <c r="R675" s="785"/>
      <c r="S675" s="776"/>
      <c r="T675" s="776"/>
      <c r="U675" s="776"/>
      <c r="V675" s="776"/>
      <c r="W675" s="776"/>
      <c r="X675" s="776"/>
      <c r="Y675" s="785"/>
      <c r="Z675" s="776"/>
      <c r="AA675" s="776"/>
      <c r="AB675" s="776"/>
    </row>
    <row r="676" spans="1:28" ht="15.75" customHeight="1">
      <c r="A676" s="776"/>
      <c r="B676" s="776"/>
      <c r="C676" s="776"/>
      <c r="D676" s="776"/>
      <c r="E676" s="777"/>
      <c r="F676" s="776"/>
      <c r="G676" s="777"/>
      <c r="H676" s="776"/>
      <c r="I676" s="777"/>
      <c r="J676" s="777"/>
      <c r="K676" s="786"/>
      <c r="L676" s="777"/>
      <c r="M676" s="785"/>
      <c r="N676" s="785"/>
      <c r="O676" s="785"/>
      <c r="P676" s="785"/>
      <c r="Q676" s="785"/>
      <c r="R676" s="785"/>
      <c r="S676" s="776"/>
      <c r="T676" s="776"/>
      <c r="U676" s="776"/>
      <c r="V676" s="776"/>
      <c r="W676" s="776"/>
      <c r="X676" s="776"/>
      <c r="Y676" s="785"/>
      <c r="Z676" s="776"/>
      <c r="AA676" s="776"/>
      <c r="AB676" s="776"/>
    </row>
    <row r="677" spans="1:28" ht="15.75" customHeight="1">
      <c r="A677" s="776"/>
      <c r="B677" s="776"/>
      <c r="C677" s="776"/>
      <c r="D677" s="776"/>
      <c r="E677" s="777"/>
      <c r="F677" s="776"/>
      <c r="G677" s="777"/>
      <c r="H677" s="776"/>
      <c r="I677" s="777"/>
      <c r="J677" s="777"/>
      <c r="K677" s="786"/>
      <c r="L677" s="777"/>
      <c r="M677" s="785"/>
      <c r="N677" s="785"/>
      <c r="O677" s="785"/>
      <c r="P677" s="785"/>
      <c r="Q677" s="785"/>
      <c r="R677" s="785"/>
      <c r="S677" s="776"/>
      <c r="T677" s="776"/>
      <c r="U677" s="776"/>
      <c r="V677" s="776"/>
      <c r="W677" s="776"/>
      <c r="X677" s="776"/>
      <c r="Y677" s="785"/>
      <c r="Z677" s="776"/>
      <c r="AA677" s="776"/>
      <c r="AB677" s="776"/>
    </row>
    <row r="678" spans="1:28" ht="15.75" customHeight="1">
      <c r="A678" s="776"/>
      <c r="B678" s="776"/>
      <c r="C678" s="776"/>
      <c r="D678" s="776"/>
      <c r="E678" s="777"/>
      <c r="F678" s="776"/>
      <c r="G678" s="777"/>
      <c r="H678" s="776"/>
      <c r="I678" s="777"/>
      <c r="J678" s="777"/>
      <c r="K678" s="786"/>
      <c r="L678" s="777"/>
      <c r="M678" s="785"/>
      <c r="N678" s="785"/>
      <c r="O678" s="785"/>
      <c r="P678" s="785"/>
      <c r="Q678" s="785"/>
      <c r="R678" s="785"/>
      <c r="S678" s="776"/>
      <c r="T678" s="776"/>
      <c r="U678" s="776"/>
      <c r="V678" s="776"/>
      <c r="W678" s="776"/>
      <c r="X678" s="776"/>
      <c r="Y678" s="785"/>
      <c r="Z678" s="776"/>
      <c r="AA678" s="776"/>
      <c r="AB678" s="776"/>
    </row>
    <row r="679" spans="1:28" ht="15.75" customHeight="1">
      <c r="A679" s="776"/>
      <c r="B679" s="776"/>
      <c r="C679" s="776"/>
      <c r="D679" s="776"/>
      <c r="E679" s="777"/>
      <c r="F679" s="776"/>
      <c r="G679" s="777"/>
      <c r="H679" s="776"/>
      <c r="I679" s="777"/>
      <c r="J679" s="777"/>
      <c r="K679" s="786"/>
      <c r="L679" s="777"/>
      <c r="M679" s="785"/>
      <c r="N679" s="785"/>
      <c r="O679" s="785"/>
      <c r="P679" s="785"/>
      <c r="Q679" s="785"/>
      <c r="R679" s="785"/>
      <c r="S679" s="776"/>
      <c r="T679" s="776"/>
      <c r="U679" s="776"/>
      <c r="V679" s="776"/>
      <c r="W679" s="776"/>
      <c r="X679" s="776"/>
      <c r="Y679" s="785"/>
      <c r="Z679" s="776"/>
      <c r="AA679" s="776"/>
      <c r="AB679" s="776"/>
    </row>
    <row r="680" spans="1:28" ht="15.75" customHeight="1">
      <c r="A680" s="776"/>
      <c r="B680" s="776"/>
      <c r="C680" s="776"/>
      <c r="D680" s="776"/>
      <c r="E680" s="777"/>
      <c r="F680" s="776"/>
      <c r="G680" s="777"/>
      <c r="H680" s="776"/>
      <c r="I680" s="777"/>
      <c r="J680" s="777"/>
      <c r="K680" s="786"/>
      <c r="L680" s="777"/>
      <c r="M680" s="785"/>
      <c r="N680" s="785"/>
      <c r="O680" s="785"/>
      <c r="P680" s="785"/>
      <c r="Q680" s="785"/>
      <c r="R680" s="785"/>
      <c r="S680" s="776"/>
      <c r="T680" s="776"/>
      <c r="U680" s="776"/>
      <c r="V680" s="776"/>
      <c r="W680" s="776"/>
      <c r="X680" s="776"/>
      <c r="Y680" s="785"/>
      <c r="Z680" s="776"/>
      <c r="AA680" s="776"/>
      <c r="AB680" s="776"/>
    </row>
    <row r="681" spans="1:28" ht="15.75" customHeight="1">
      <c r="A681" s="776"/>
      <c r="B681" s="776"/>
      <c r="C681" s="776"/>
      <c r="D681" s="776"/>
      <c r="E681" s="777"/>
      <c r="F681" s="776"/>
      <c r="G681" s="777"/>
      <c r="H681" s="776"/>
      <c r="I681" s="777"/>
      <c r="J681" s="777"/>
      <c r="K681" s="786"/>
      <c r="L681" s="777"/>
      <c r="M681" s="785"/>
      <c r="N681" s="785"/>
      <c r="O681" s="785"/>
      <c r="P681" s="785"/>
      <c r="Q681" s="785"/>
      <c r="R681" s="785"/>
      <c r="S681" s="776"/>
      <c r="T681" s="776"/>
      <c r="U681" s="776"/>
      <c r="V681" s="776"/>
      <c r="W681" s="776"/>
      <c r="X681" s="776"/>
      <c r="Y681" s="785"/>
      <c r="Z681" s="776"/>
      <c r="AA681" s="776"/>
      <c r="AB681" s="776"/>
    </row>
    <row r="682" spans="1:28" ht="15.75" customHeight="1">
      <c r="A682" s="776"/>
      <c r="B682" s="776"/>
      <c r="C682" s="776"/>
      <c r="D682" s="776"/>
      <c r="E682" s="777"/>
      <c r="F682" s="776"/>
      <c r="G682" s="777"/>
      <c r="H682" s="776"/>
      <c r="I682" s="777"/>
      <c r="J682" s="777"/>
      <c r="K682" s="786"/>
      <c r="L682" s="777"/>
      <c r="M682" s="785"/>
      <c r="N682" s="785"/>
      <c r="O682" s="785"/>
      <c r="P682" s="785"/>
      <c r="Q682" s="785"/>
      <c r="R682" s="785"/>
      <c r="S682" s="776"/>
      <c r="T682" s="776"/>
      <c r="U682" s="776"/>
      <c r="V682" s="776"/>
      <c r="W682" s="776"/>
      <c r="X682" s="776"/>
      <c r="Y682" s="785"/>
      <c r="Z682" s="776"/>
      <c r="AA682" s="776"/>
      <c r="AB682" s="776"/>
    </row>
    <row r="683" spans="1:28" ht="15.75" customHeight="1">
      <c r="A683" s="776"/>
      <c r="B683" s="776"/>
      <c r="C683" s="776"/>
      <c r="D683" s="776"/>
      <c r="E683" s="777"/>
      <c r="F683" s="776"/>
      <c r="G683" s="777"/>
      <c r="H683" s="776"/>
      <c r="I683" s="777"/>
      <c r="J683" s="777"/>
      <c r="K683" s="786"/>
      <c r="L683" s="777"/>
      <c r="M683" s="785"/>
      <c r="N683" s="785"/>
      <c r="O683" s="785"/>
      <c r="P683" s="785"/>
      <c r="Q683" s="785"/>
      <c r="R683" s="785"/>
      <c r="S683" s="776"/>
      <c r="T683" s="776"/>
      <c r="U683" s="776"/>
      <c r="V683" s="776"/>
      <c r="W683" s="776"/>
      <c r="X683" s="776"/>
      <c r="Y683" s="785"/>
      <c r="Z683" s="776"/>
      <c r="AA683" s="776"/>
      <c r="AB683" s="776"/>
    </row>
    <row r="684" spans="1:28" ht="15.75" customHeight="1">
      <c r="A684" s="776"/>
      <c r="B684" s="776"/>
      <c r="C684" s="776"/>
      <c r="D684" s="776"/>
      <c r="E684" s="777"/>
      <c r="F684" s="776"/>
      <c r="G684" s="777"/>
      <c r="H684" s="776"/>
      <c r="I684" s="777"/>
      <c r="J684" s="777"/>
      <c r="K684" s="786"/>
      <c r="L684" s="777"/>
      <c r="M684" s="785"/>
      <c r="N684" s="785"/>
      <c r="O684" s="785"/>
      <c r="P684" s="785"/>
      <c r="Q684" s="785"/>
      <c r="R684" s="785"/>
      <c r="S684" s="776"/>
      <c r="T684" s="776"/>
      <c r="U684" s="776"/>
      <c r="V684" s="776"/>
      <c r="W684" s="776"/>
      <c r="X684" s="776"/>
      <c r="Y684" s="785"/>
      <c r="Z684" s="776"/>
      <c r="AA684" s="776"/>
      <c r="AB684" s="776"/>
    </row>
    <row r="685" spans="1:28" ht="15.75" customHeight="1">
      <c r="A685" s="776"/>
      <c r="B685" s="776"/>
      <c r="C685" s="776"/>
      <c r="D685" s="776"/>
      <c r="E685" s="777"/>
      <c r="F685" s="776"/>
      <c r="G685" s="777"/>
      <c r="H685" s="776"/>
      <c r="I685" s="777"/>
      <c r="J685" s="777"/>
      <c r="K685" s="786"/>
      <c r="L685" s="777"/>
      <c r="M685" s="785"/>
      <c r="N685" s="785"/>
      <c r="O685" s="785"/>
      <c r="P685" s="785"/>
      <c r="Q685" s="785"/>
      <c r="R685" s="785"/>
      <c r="S685" s="776"/>
      <c r="T685" s="776"/>
      <c r="U685" s="776"/>
      <c r="V685" s="776"/>
      <c r="W685" s="776"/>
      <c r="X685" s="776"/>
      <c r="Y685" s="785"/>
      <c r="Z685" s="776"/>
      <c r="AA685" s="776"/>
      <c r="AB685" s="776"/>
    </row>
    <row r="686" spans="1:28" ht="15.75" customHeight="1">
      <c r="A686" s="776"/>
      <c r="B686" s="776"/>
      <c r="C686" s="776"/>
      <c r="D686" s="776"/>
      <c r="E686" s="777"/>
      <c r="F686" s="776"/>
      <c r="G686" s="777"/>
      <c r="H686" s="776"/>
      <c r="I686" s="777"/>
      <c r="J686" s="777"/>
      <c r="K686" s="786"/>
      <c r="L686" s="777"/>
      <c r="M686" s="785"/>
      <c r="N686" s="785"/>
      <c r="O686" s="785"/>
      <c r="P686" s="785"/>
      <c r="Q686" s="785"/>
      <c r="R686" s="785"/>
      <c r="S686" s="776"/>
      <c r="T686" s="776"/>
      <c r="U686" s="776"/>
      <c r="V686" s="776"/>
      <c r="W686" s="776"/>
      <c r="X686" s="776"/>
      <c r="Y686" s="785"/>
      <c r="Z686" s="776"/>
      <c r="AA686" s="776"/>
      <c r="AB686" s="776"/>
    </row>
    <row r="687" spans="1:28" ht="15.75" customHeight="1">
      <c r="A687" s="776"/>
      <c r="B687" s="776"/>
      <c r="C687" s="776"/>
      <c r="D687" s="776"/>
      <c r="E687" s="777"/>
      <c r="F687" s="776"/>
      <c r="G687" s="777"/>
      <c r="H687" s="776"/>
      <c r="I687" s="777"/>
      <c r="J687" s="777"/>
      <c r="K687" s="786"/>
      <c r="L687" s="777"/>
      <c r="M687" s="785"/>
      <c r="N687" s="785"/>
      <c r="O687" s="785"/>
      <c r="P687" s="785"/>
      <c r="Q687" s="785"/>
      <c r="R687" s="785"/>
      <c r="S687" s="776"/>
      <c r="T687" s="776"/>
      <c r="U687" s="776"/>
      <c r="V687" s="776"/>
      <c r="W687" s="776"/>
      <c r="X687" s="776"/>
      <c r="Y687" s="785"/>
      <c r="Z687" s="776"/>
      <c r="AA687" s="776"/>
      <c r="AB687" s="776"/>
    </row>
    <row r="688" spans="1:28" ht="15.75" customHeight="1">
      <c r="A688" s="776"/>
      <c r="B688" s="776"/>
      <c r="C688" s="776"/>
      <c r="D688" s="776"/>
      <c r="E688" s="777"/>
      <c r="F688" s="776"/>
      <c r="G688" s="777"/>
      <c r="H688" s="776"/>
      <c r="I688" s="777"/>
      <c r="J688" s="777"/>
      <c r="K688" s="786"/>
      <c r="L688" s="777"/>
      <c r="M688" s="785"/>
      <c r="N688" s="785"/>
      <c r="O688" s="785"/>
      <c r="P688" s="785"/>
      <c r="Q688" s="785"/>
      <c r="R688" s="785"/>
      <c r="S688" s="776"/>
      <c r="T688" s="776"/>
      <c r="U688" s="776"/>
      <c r="V688" s="776"/>
      <c r="W688" s="776"/>
      <c r="X688" s="776"/>
      <c r="Y688" s="785"/>
      <c r="Z688" s="776"/>
      <c r="AA688" s="776"/>
      <c r="AB688" s="776"/>
    </row>
    <row r="689" spans="1:28" ht="15.75" customHeight="1">
      <c r="A689" s="776"/>
      <c r="B689" s="776"/>
      <c r="C689" s="776"/>
      <c r="D689" s="776"/>
      <c r="E689" s="777"/>
      <c r="F689" s="776"/>
      <c r="G689" s="777"/>
      <c r="H689" s="776"/>
      <c r="I689" s="777"/>
      <c r="J689" s="777"/>
      <c r="K689" s="786"/>
      <c r="L689" s="777"/>
      <c r="M689" s="785"/>
      <c r="N689" s="785"/>
      <c r="O689" s="785"/>
      <c r="P689" s="785"/>
      <c r="Q689" s="785"/>
      <c r="R689" s="785"/>
      <c r="S689" s="776"/>
      <c r="T689" s="776"/>
      <c r="U689" s="776"/>
      <c r="V689" s="776"/>
      <c r="W689" s="776"/>
      <c r="X689" s="776"/>
      <c r="Y689" s="785"/>
      <c r="Z689" s="776"/>
      <c r="AA689" s="776"/>
      <c r="AB689" s="776"/>
    </row>
    <row r="690" spans="1:28" ht="15.75" customHeight="1">
      <c r="A690" s="776"/>
      <c r="B690" s="776"/>
      <c r="C690" s="776"/>
      <c r="D690" s="776"/>
      <c r="E690" s="777"/>
      <c r="F690" s="776"/>
      <c r="G690" s="777"/>
      <c r="H690" s="776"/>
      <c r="I690" s="777"/>
      <c r="J690" s="777"/>
      <c r="K690" s="786"/>
      <c r="L690" s="777"/>
      <c r="M690" s="785"/>
      <c r="N690" s="785"/>
      <c r="O690" s="785"/>
      <c r="P690" s="785"/>
      <c r="Q690" s="785"/>
      <c r="R690" s="785"/>
      <c r="S690" s="776"/>
      <c r="T690" s="776"/>
      <c r="U690" s="776"/>
      <c r="V690" s="776"/>
      <c r="W690" s="776"/>
      <c r="X690" s="776"/>
      <c r="Y690" s="785"/>
      <c r="Z690" s="776"/>
      <c r="AA690" s="776"/>
      <c r="AB690" s="776"/>
    </row>
    <row r="691" spans="1:28" ht="15.75" customHeight="1">
      <c r="A691" s="776"/>
      <c r="B691" s="776"/>
      <c r="C691" s="776"/>
      <c r="D691" s="776"/>
      <c r="E691" s="777"/>
      <c r="F691" s="776"/>
      <c r="G691" s="777"/>
      <c r="H691" s="776"/>
      <c r="I691" s="777"/>
      <c r="J691" s="777"/>
      <c r="K691" s="786"/>
      <c r="L691" s="777"/>
      <c r="M691" s="785"/>
      <c r="N691" s="785"/>
      <c r="O691" s="785"/>
      <c r="P691" s="785"/>
      <c r="Q691" s="785"/>
      <c r="R691" s="785"/>
      <c r="S691" s="776"/>
      <c r="T691" s="776"/>
      <c r="U691" s="776"/>
      <c r="V691" s="776"/>
      <c r="W691" s="776"/>
      <c r="X691" s="776"/>
      <c r="Y691" s="785"/>
      <c r="Z691" s="776"/>
      <c r="AA691" s="776"/>
      <c r="AB691" s="776"/>
    </row>
    <row r="692" spans="1:28" ht="15.75" customHeight="1">
      <c r="A692" s="776"/>
      <c r="B692" s="776"/>
      <c r="C692" s="776"/>
      <c r="D692" s="776"/>
      <c r="E692" s="777"/>
      <c r="F692" s="776"/>
      <c r="G692" s="777"/>
      <c r="H692" s="776"/>
      <c r="I692" s="777"/>
      <c r="J692" s="777"/>
      <c r="K692" s="786"/>
      <c r="L692" s="777"/>
      <c r="M692" s="785"/>
      <c r="N692" s="785"/>
      <c r="O692" s="785"/>
      <c r="P692" s="785"/>
      <c r="Q692" s="785"/>
      <c r="R692" s="785"/>
      <c r="S692" s="776"/>
      <c r="T692" s="776"/>
      <c r="U692" s="776"/>
      <c r="V692" s="776"/>
      <c r="W692" s="776"/>
      <c r="X692" s="776"/>
      <c r="Y692" s="785"/>
      <c r="Z692" s="776"/>
      <c r="AA692" s="776"/>
      <c r="AB692" s="776"/>
    </row>
    <row r="693" spans="1:28" ht="15.75" customHeight="1">
      <c r="A693" s="776"/>
      <c r="B693" s="776"/>
      <c r="C693" s="776"/>
      <c r="D693" s="776"/>
      <c r="E693" s="777"/>
      <c r="F693" s="776"/>
      <c r="G693" s="777"/>
      <c r="H693" s="776"/>
      <c r="I693" s="777"/>
      <c r="J693" s="777"/>
      <c r="K693" s="786"/>
      <c r="L693" s="777"/>
      <c r="M693" s="785"/>
      <c r="N693" s="785"/>
      <c r="O693" s="785"/>
      <c r="P693" s="785"/>
      <c r="Q693" s="785"/>
      <c r="R693" s="785"/>
      <c r="S693" s="776"/>
      <c r="T693" s="776"/>
      <c r="U693" s="776"/>
      <c r="V693" s="776"/>
      <c r="W693" s="776"/>
      <c r="X693" s="776"/>
      <c r="Y693" s="785"/>
      <c r="Z693" s="776"/>
      <c r="AA693" s="776"/>
      <c r="AB693" s="776"/>
    </row>
    <row r="694" spans="1:28" ht="15.75" customHeight="1">
      <c r="A694" s="776"/>
      <c r="B694" s="776"/>
      <c r="C694" s="776"/>
      <c r="D694" s="776"/>
      <c r="E694" s="777"/>
      <c r="F694" s="776"/>
      <c r="G694" s="777"/>
      <c r="H694" s="776"/>
      <c r="I694" s="777"/>
      <c r="J694" s="777"/>
      <c r="K694" s="786"/>
      <c r="L694" s="777"/>
      <c r="M694" s="785"/>
      <c r="N694" s="785"/>
      <c r="O694" s="785"/>
      <c r="P694" s="785"/>
      <c r="Q694" s="785"/>
      <c r="R694" s="785"/>
      <c r="S694" s="776"/>
      <c r="T694" s="776"/>
      <c r="U694" s="776"/>
      <c r="V694" s="776"/>
      <c r="W694" s="776"/>
      <c r="X694" s="776"/>
      <c r="Y694" s="785"/>
      <c r="Z694" s="776"/>
      <c r="AA694" s="776"/>
      <c r="AB694" s="776"/>
    </row>
    <row r="695" spans="1:28" ht="15.75" customHeight="1">
      <c r="A695" s="776"/>
      <c r="B695" s="776"/>
      <c r="C695" s="776"/>
      <c r="D695" s="776"/>
      <c r="E695" s="777"/>
      <c r="F695" s="776"/>
      <c r="G695" s="777"/>
      <c r="H695" s="776"/>
      <c r="I695" s="777"/>
      <c r="J695" s="777"/>
      <c r="K695" s="786"/>
      <c r="L695" s="777"/>
      <c r="M695" s="785"/>
      <c r="N695" s="785"/>
      <c r="O695" s="785"/>
      <c r="P695" s="785"/>
      <c r="Q695" s="785"/>
      <c r="R695" s="785"/>
      <c r="S695" s="776"/>
      <c r="T695" s="776"/>
      <c r="U695" s="776"/>
      <c r="V695" s="776"/>
      <c r="W695" s="776"/>
      <c r="X695" s="776"/>
      <c r="Y695" s="785"/>
      <c r="Z695" s="776"/>
      <c r="AA695" s="776"/>
      <c r="AB695" s="776"/>
    </row>
    <row r="696" spans="1:28" ht="15.75" customHeight="1">
      <c r="A696" s="776"/>
      <c r="B696" s="776"/>
      <c r="C696" s="776"/>
      <c r="D696" s="776"/>
      <c r="E696" s="777"/>
      <c r="F696" s="776"/>
      <c r="G696" s="777"/>
      <c r="H696" s="776"/>
      <c r="I696" s="777"/>
      <c r="J696" s="777"/>
      <c r="K696" s="786"/>
      <c r="L696" s="777"/>
      <c r="M696" s="785"/>
      <c r="N696" s="785"/>
      <c r="O696" s="785"/>
      <c r="P696" s="785"/>
      <c r="Q696" s="785"/>
      <c r="R696" s="785"/>
      <c r="S696" s="776"/>
      <c r="T696" s="776"/>
      <c r="U696" s="776"/>
      <c r="V696" s="776"/>
      <c r="W696" s="776"/>
      <c r="X696" s="776"/>
      <c r="Y696" s="785"/>
      <c r="Z696" s="776"/>
      <c r="AA696" s="776"/>
      <c r="AB696" s="776"/>
    </row>
    <row r="697" spans="1:28" ht="15.75" customHeight="1">
      <c r="A697" s="776"/>
      <c r="B697" s="776"/>
      <c r="C697" s="776"/>
      <c r="D697" s="776"/>
      <c r="E697" s="777"/>
      <c r="F697" s="776"/>
      <c r="G697" s="777"/>
      <c r="H697" s="776"/>
      <c r="I697" s="777"/>
      <c r="J697" s="777"/>
      <c r="K697" s="786"/>
      <c r="L697" s="777"/>
      <c r="M697" s="785"/>
      <c r="N697" s="785"/>
      <c r="O697" s="785"/>
      <c r="P697" s="785"/>
      <c r="Q697" s="785"/>
      <c r="R697" s="785"/>
      <c r="S697" s="776"/>
      <c r="T697" s="776"/>
      <c r="U697" s="776"/>
      <c r="V697" s="776"/>
      <c r="W697" s="776"/>
      <c r="X697" s="776"/>
      <c r="Y697" s="785"/>
      <c r="Z697" s="776"/>
      <c r="AA697" s="776"/>
      <c r="AB697" s="776"/>
    </row>
    <row r="698" spans="1:28" ht="15.75" customHeight="1">
      <c r="A698" s="776"/>
      <c r="B698" s="776"/>
      <c r="C698" s="776"/>
      <c r="D698" s="776"/>
      <c r="E698" s="777"/>
      <c r="F698" s="776"/>
      <c r="G698" s="777"/>
      <c r="H698" s="776"/>
      <c r="I698" s="777"/>
      <c r="J698" s="777"/>
      <c r="K698" s="786"/>
      <c r="L698" s="777"/>
      <c r="M698" s="785"/>
      <c r="N698" s="785"/>
      <c r="O698" s="785"/>
      <c r="P698" s="785"/>
      <c r="Q698" s="785"/>
      <c r="R698" s="785"/>
      <c r="S698" s="776"/>
      <c r="T698" s="776"/>
      <c r="U698" s="776"/>
      <c r="V698" s="776"/>
      <c r="W698" s="776"/>
      <c r="X698" s="776"/>
      <c r="Y698" s="785"/>
      <c r="Z698" s="776"/>
      <c r="AA698" s="776"/>
      <c r="AB698" s="776"/>
    </row>
    <row r="699" spans="1:28" ht="15.75" customHeight="1">
      <c r="A699" s="776"/>
      <c r="B699" s="776"/>
      <c r="C699" s="776"/>
      <c r="D699" s="776"/>
      <c r="E699" s="777"/>
      <c r="F699" s="776"/>
      <c r="G699" s="777"/>
      <c r="H699" s="776"/>
      <c r="I699" s="777"/>
      <c r="J699" s="777"/>
      <c r="K699" s="786"/>
      <c r="L699" s="777"/>
      <c r="M699" s="785"/>
      <c r="N699" s="785"/>
      <c r="O699" s="785"/>
      <c r="P699" s="785"/>
      <c r="Q699" s="785"/>
      <c r="R699" s="785"/>
      <c r="S699" s="776"/>
      <c r="T699" s="776"/>
      <c r="U699" s="776"/>
      <c r="V699" s="776"/>
      <c r="W699" s="776"/>
      <c r="X699" s="776"/>
      <c r="Y699" s="785"/>
      <c r="Z699" s="776"/>
      <c r="AA699" s="776"/>
      <c r="AB699" s="776"/>
    </row>
    <row r="700" spans="1:28" ht="15.75" customHeight="1">
      <c r="A700" s="776"/>
      <c r="B700" s="776"/>
      <c r="C700" s="776"/>
      <c r="D700" s="776"/>
      <c r="E700" s="777"/>
      <c r="F700" s="776"/>
      <c r="G700" s="777"/>
      <c r="H700" s="776"/>
      <c r="I700" s="777"/>
      <c r="J700" s="777"/>
      <c r="K700" s="786"/>
      <c r="L700" s="777"/>
      <c r="M700" s="785"/>
      <c r="N700" s="785"/>
      <c r="O700" s="785"/>
      <c r="P700" s="785"/>
      <c r="Q700" s="785"/>
      <c r="R700" s="785"/>
      <c r="S700" s="776"/>
      <c r="T700" s="776"/>
      <c r="U700" s="776"/>
      <c r="V700" s="776"/>
      <c r="W700" s="776"/>
      <c r="X700" s="776"/>
      <c r="Y700" s="785"/>
      <c r="Z700" s="776"/>
      <c r="AA700" s="776"/>
      <c r="AB700" s="776"/>
    </row>
    <row r="701" spans="1:28" ht="15.75" customHeight="1">
      <c r="A701" s="776"/>
      <c r="B701" s="776"/>
      <c r="C701" s="776"/>
      <c r="D701" s="776"/>
      <c r="E701" s="777"/>
      <c r="F701" s="776"/>
      <c r="G701" s="777"/>
      <c r="H701" s="776"/>
      <c r="I701" s="777"/>
      <c r="J701" s="777"/>
      <c r="K701" s="786"/>
      <c r="L701" s="777"/>
      <c r="M701" s="785"/>
      <c r="N701" s="785"/>
      <c r="O701" s="785"/>
      <c r="P701" s="785"/>
      <c r="Q701" s="785"/>
      <c r="R701" s="785"/>
      <c r="S701" s="776"/>
      <c r="T701" s="776"/>
      <c r="U701" s="776"/>
      <c r="V701" s="776"/>
      <c r="W701" s="776"/>
      <c r="X701" s="776"/>
      <c r="Y701" s="785"/>
      <c r="Z701" s="776"/>
      <c r="AA701" s="776"/>
      <c r="AB701" s="776"/>
    </row>
    <row r="702" spans="1:28" ht="15.75" customHeight="1">
      <c r="A702" s="776"/>
      <c r="B702" s="776"/>
      <c r="C702" s="776"/>
      <c r="D702" s="776"/>
      <c r="E702" s="777"/>
      <c r="F702" s="776"/>
      <c r="G702" s="777"/>
      <c r="H702" s="776"/>
      <c r="I702" s="777"/>
      <c r="J702" s="777"/>
      <c r="K702" s="786"/>
      <c r="L702" s="777"/>
      <c r="M702" s="785"/>
      <c r="N702" s="785"/>
      <c r="O702" s="785"/>
      <c r="P702" s="785"/>
      <c r="Q702" s="785"/>
      <c r="R702" s="785"/>
      <c r="S702" s="776"/>
      <c r="T702" s="776"/>
      <c r="U702" s="776"/>
      <c r="V702" s="776"/>
      <c r="W702" s="776"/>
      <c r="X702" s="776"/>
      <c r="Y702" s="785"/>
      <c r="Z702" s="776"/>
      <c r="AA702" s="776"/>
      <c r="AB702" s="776"/>
    </row>
    <row r="703" spans="1:28" ht="15.75" customHeight="1">
      <c r="A703" s="776"/>
      <c r="B703" s="776"/>
      <c r="C703" s="776"/>
      <c r="D703" s="776"/>
      <c r="E703" s="777"/>
      <c r="F703" s="776"/>
      <c r="G703" s="777"/>
      <c r="H703" s="776"/>
      <c r="I703" s="777"/>
      <c r="J703" s="777"/>
      <c r="K703" s="786"/>
      <c r="L703" s="777"/>
      <c r="M703" s="785"/>
      <c r="N703" s="785"/>
      <c r="O703" s="785"/>
      <c r="P703" s="785"/>
      <c r="Q703" s="785"/>
      <c r="R703" s="785"/>
      <c r="S703" s="776"/>
      <c r="T703" s="776"/>
      <c r="U703" s="776"/>
      <c r="V703" s="776"/>
      <c r="W703" s="776"/>
      <c r="X703" s="776"/>
      <c r="Y703" s="785"/>
      <c r="Z703" s="776"/>
      <c r="AA703" s="776"/>
      <c r="AB703" s="776"/>
    </row>
    <row r="704" spans="1:28" ht="15.75" customHeight="1">
      <c r="A704" s="776"/>
      <c r="B704" s="776"/>
      <c r="C704" s="776"/>
      <c r="D704" s="776"/>
      <c r="E704" s="777"/>
      <c r="F704" s="776"/>
      <c r="G704" s="777"/>
      <c r="H704" s="776"/>
      <c r="I704" s="777"/>
      <c r="J704" s="777"/>
      <c r="K704" s="786"/>
      <c r="L704" s="777"/>
      <c r="M704" s="785"/>
      <c r="N704" s="785"/>
      <c r="O704" s="785"/>
      <c r="P704" s="785"/>
      <c r="Q704" s="785"/>
      <c r="R704" s="785"/>
      <c r="S704" s="776"/>
      <c r="T704" s="776"/>
      <c r="U704" s="776"/>
      <c r="V704" s="776"/>
      <c r="W704" s="776"/>
      <c r="X704" s="776"/>
      <c r="Y704" s="785"/>
      <c r="Z704" s="776"/>
      <c r="AA704" s="776"/>
      <c r="AB704" s="776"/>
    </row>
    <row r="705" spans="1:28" ht="15.75" customHeight="1">
      <c r="A705" s="776"/>
      <c r="B705" s="776"/>
      <c r="C705" s="776"/>
      <c r="D705" s="776"/>
      <c r="E705" s="777"/>
      <c r="F705" s="776"/>
      <c r="G705" s="777"/>
      <c r="H705" s="776"/>
      <c r="I705" s="777"/>
      <c r="J705" s="777"/>
      <c r="K705" s="786"/>
      <c r="L705" s="777"/>
      <c r="M705" s="785"/>
      <c r="N705" s="785"/>
      <c r="O705" s="785"/>
      <c r="P705" s="785"/>
      <c r="Q705" s="785"/>
      <c r="R705" s="785"/>
      <c r="S705" s="776"/>
      <c r="T705" s="776"/>
      <c r="U705" s="776"/>
      <c r="V705" s="776"/>
      <c r="W705" s="776"/>
      <c r="X705" s="776"/>
      <c r="Y705" s="785"/>
      <c r="Z705" s="776"/>
      <c r="AA705" s="776"/>
      <c r="AB705" s="776"/>
    </row>
    <row r="706" spans="1:28" ht="15.75" customHeight="1">
      <c r="A706" s="776"/>
      <c r="B706" s="776"/>
      <c r="C706" s="776"/>
      <c r="D706" s="776"/>
      <c r="E706" s="777"/>
      <c r="F706" s="776"/>
      <c r="G706" s="777"/>
      <c r="H706" s="776"/>
      <c r="I706" s="777"/>
      <c r="J706" s="777"/>
      <c r="K706" s="786"/>
      <c r="L706" s="777"/>
      <c r="M706" s="785"/>
      <c r="N706" s="785"/>
      <c r="O706" s="785"/>
      <c r="P706" s="785"/>
      <c r="Q706" s="785"/>
      <c r="R706" s="785"/>
      <c r="S706" s="776"/>
      <c r="T706" s="776"/>
      <c r="U706" s="776"/>
      <c r="V706" s="776"/>
      <c r="W706" s="776"/>
      <c r="X706" s="776"/>
      <c r="Y706" s="785"/>
      <c r="Z706" s="776"/>
      <c r="AA706" s="776"/>
      <c r="AB706" s="776"/>
    </row>
    <row r="707" spans="1:28" ht="15.75" customHeight="1">
      <c r="A707" s="776"/>
      <c r="B707" s="776"/>
      <c r="C707" s="776"/>
      <c r="D707" s="776"/>
      <c r="E707" s="777"/>
      <c r="F707" s="776"/>
      <c r="G707" s="777"/>
      <c r="H707" s="776"/>
      <c r="I707" s="777"/>
      <c r="J707" s="777"/>
      <c r="K707" s="786"/>
      <c r="L707" s="777"/>
      <c r="M707" s="785"/>
      <c r="N707" s="785"/>
      <c r="O707" s="785"/>
      <c r="P707" s="785"/>
      <c r="Q707" s="785"/>
      <c r="R707" s="785"/>
      <c r="S707" s="776"/>
      <c r="T707" s="776"/>
      <c r="U707" s="776"/>
      <c r="V707" s="776"/>
      <c r="W707" s="776"/>
      <c r="X707" s="776"/>
      <c r="Y707" s="785"/>
      <c r="Z707" s="776"/>
      <c r="AA707" s="776"/>
      <c r="AB707" s="776"/>
    </row>
    <row r="708" spans="1:28" ht="15.75" customHeight="1">
      <c r="A708" s="776"/>
      <c r="B708" s="776"/>
      <c r="C708" s="776"/>
      <c r="D708" s="776"/>
      <c r="E708" s="777"/>
      <c r="F708" s="776"/>
      <c r="G708" s="777"/>
      <c r="H708" s="776"/>
      <c r="I708" s="777"/>
      <c r="J708" s="777"/>
      <c r="K708" s="786"/>
      <c r="L708" s="777"/>
      <c r="M708" s="785"/>
      <c r="N708" s="785"/>
      <c r="O708" s="785"/>
      <c r="P708" s="785"/>
      <c r="Q708" s="785"/>
      <c r="R708" s="785"/>
      <c r="S708" s="776"/>
      <c r="T708" s="776"/>
      <c r="U708" s="776"/>
      <c r="V708" s="776"/>
      <c r="W708" s="776"/>
      <c r="X708" s="776"/>
      <c r="Y708" s="785"/>
      <c r="Z708" s="776"/>
      <c r="AA708" s="776"/>
      <c r="AB708" s="776"/>
    </row>
    <row r="709" spans="1:28" ht="15.75" customHeight="1">
      <c r="A709" s="776"/>
      <c r="B709" s="776"/>
      <c r="C709" s="776"/>
      <c r="D709" s="776"/>
      <c r="E709" s="777"/>
      <c r="F709" s="776"/>
      <c r="G709" s="777"/>
      <c r="H709" s="776"/>
      <c r="I709" s="777"/>
      <c r="J709" s="777"/>
      <c r="K709" s="786"/>
      <c r="L709" s="777"/>
      <c r="M709" s="785"/>
      <c r="N709" s="785"/>
      <c r="O709" s="785"/>
      <c r="P709" s="785"/>
      <c r="Q709" s="785"/>
      <c r="R709" s="785"/>
      <c r="S709" s="776"/>
      <c r="T709" s="776"/>
      <c r="U709" s="776"/>
      <c r="V709" s="776"/>
      <c r="W709" s="776"/>
      <c r="X709" s="776"/>
      <c r="Y709" s="785"/>
      <c r="Z709" s="776"/>
      <c r="AA709" s="776"/>
      <c r="AB709" s="776"/>
    </row>
    <row r="710" spans="1:28" ht="15.75" customHeight="1">
      <c r="A710" s="776"/>
      <c r="B710" s="776"/>
      <c r="C710" s="776"/>
      <c r="D710" s="776"/>
      <c r="E710" s="777"/>
      <c r="F710" s="776"/>
      <c r="G710" s="777"/>
      <c r="H710" s="776"/>
      <c r="I710" s="777"/>
      <c r="J710" s="777"/>
      <c r="K710" s="786"/>
      <c r="L710" s="777"/>
      <c r="M710" s="785"/>
      <c r="N710" s="785"/>
      <c r="O710" s="785"/>
      <c r="P710" s="785"/>
      <c r="Q710" s="785"/>
      <c r="R710" s="785"/>
      <c r="S710" s="776"/>
      <c r="T710" s="776"/>
      <c r="U710" s="776"/>
      <c r="V710" s="776"/>
      <c r="W710" s="776"/>
      <c r="X710" s="776"/>
      <c r="Y710" s="785"/>
      <c r="Z710" s="776"/>
      <c r="AA710" s="776"/>
      <c r="AB710" s="776"/>
    </row>
    <row r="711" spans="1:28" ht="15.75" customHeight="1">
      <c r="A711" s="776"/>
      <c r="B711" s="776"/>
      <c r="C711" s="776"/>
      <c r="D711" s="776"/>
      <c r="E711" s="777"/>
      <c r="F711" s="776"/>
      <c r="G711" s="777"/>
      <c r="H711" s="776"/>
      <c r="I711" s="777"/>
      <c r="J711" s="777"/>
      <c r="K711" s="786"/>
      <c r="L711" s="777"/>
      <c r="M711" s="785"/>
      <c r="N711" s="785"/>
      <c r="O711" s="785"/>
      <c r="P711" s="785"/>
      <c r="Q711" s="785"/>
      <c r="R711" s="785"/>
      <c r="S711" s="776"/>
      <c r="T711" s="776"/>
      <c r="U711" s="776"/>
      <c r="V711" s="776"/>
      <c r="W711" s="776"/>
      <c r="X711" s="776"/>
      <c r="Y711" s="785"/>
      <c r="Z711" s="776"/>
      <c r="AA711" s="776"/>
      <c r="AB711" s="776"/>
    </row>
    <row r="712" spans="1:28" ht="15.75" customHeight="1">
      <c r="A712" s="776"/>
      <c r="B712" s="776"/>
      <c r="C712" s="776"/>
      <c r="D712" s="776"/>
      <c r="E712" s="777"/>
      <c r="F712" s="776"/>
      <c r="G712" s="777"/>
      <c r="H712" s="776"/>
      <c r="I712" s="777"/>
      <c r="J712" s="777"/>
      <c r="K712" s="786"/>
      <c r="L712" s="777"/>
      <c r="M712" s="785"/>
      <c r="N712" s="785"/>
      <c r="O712" s="785"/>
      <c r="P712" s="785"/>
      <c r="Q712" s="785"/>
      <c r="R712" s="785"/>
      <c r="S712" s="776"/>
      <c r="T712" s="776"/>
      <c r="U712" s="776"/>
      <c r="V712" s="776"/>
      <c r="W712" s="776"/>
      <c r="X712" s="776"/>
      <c r="Y712" s="785"/>
      <c r="Z712" s="776"/>
      <c r="AA712" s="776"/>
      <c r="AB712" s="776"/>
    </row>
    <row r="713" spans="1:28" ht="15.75" customHeight="1">
      <c r="A713" s="776"/>
      <c r="B713" s="776"/>
      <c r="C713" s="776"/>
      <c r="D713" s="776"/>
      <c r="E713" s="777"/>
      <c r="F713" s="776"/>
      <c r="G713" s="777"/>
      <c r="H713" s="776"/>
      <c r="I713" s="777"/>
      <c r="J713" s="777"/>
      <c r="K713" s="786"/>
      <c r="L713" s="777"/>
      <c r="M713" s="785"/>
      <c r="N713" s="785"/>
      <c r="O713" s="785"/>
      <c r="P713" s="785"/>
      <c r="Q713" s="785"/>
      <c r="R713" s="785"/>
      <c r="S713" s="776"/>
      <c r="T713" s="776"/>
      <c r="U713" s="776"/>
      <c r="V713" s="776"/>
      <c r="W713" s="776"/>
      <c r="X713" s="776"/>
      <c r="Y713" s="785"/>
      <c r="Z713" s="776"/>
      <c r="AA713" s="776"/>
      <c r="AB713" s="776"/>
    </row>
    <row r="714" spans="1:28" ht="15.75" customHeight="1">
      <c r="A714" s="776"/>
      <c r="B714" s="776"/>
      <c r="C714" s="776"/>
      <c r="D714" s="776"/>
      <c r="E714" s="777"/>
      <c r="F714" s="776"/>
      <c r="G714" s="777"/>
      <c r="H714" s="776"/>
      <c r="I714" s="777"/>
      <c r="J714" s="777"/>
      <c r="K714" s="786"/>
      <c r="L714" s="777"/>
      <c r="M714" s="785"/>
      <c r="N714" s="785"/>
      <c r="O714" s="785"/>
      <c r="P714" s="785"/>
      <c r="Q714" s="785"/>
      <c r="R714" s="785"/>
      <c r="S714" s="776"/>
      <c r="T714" s="776"/>
      <c r="U714" s="776"/>
      <c r="V714" s="776"/>
      <c r="W714" s="776"/>
      <c r="X714" s="776"/>
      <c r="Y714" s="785"/>
      <c r="Z714" s="776"/>
      <c r="AA714" s="776"/>
      <c r="AB714" s="776"/>
    </row>
    <row r="715" spans="1:28" ht="15.75" customHeight="1">
      <c r="A715" s="776"/>
      <c r="B715" s="776"/>
      <c r="C715" s="776"/>
      <c r="D715" s="776"/>
      <c r="E715" s="777"/>
      <c r="F715" s="776"/>
      <c r="G715" s="777"/>
      <c r="H715" s="776"/>
      <c r="I715" s="777"/>
      <c r="J715" s="777"/>
      <c r="K715" s="786"/>
      <c r="L715" s="777"/>
      <c r="M715" s="785"/>
      <c r="N715" s="785"/>
      <c r="O715" s="785"/>
      <c r="P715" s="785"/>
      <c r="Q715" s="785"/>
      <c r="R715" s="785"/>
      <c r="S715" s="776"/>
      <c r="T715" s="776"/>
      <c r="U715" s="776"/>
      <c r="V715" s="776"/>
      <c r="W715" s="776"/>
      <c r="X715" s="776"/>
      <c r="Y715" s="785"/>
      <c r="Z715" s="776"/>
      <c r="AA715" s="776"/>
      <c r="AB715" s="776"/>
    </row>
    <row r="716" spans="1:28" ht="15.75" customHeight="1">
      <c r="A716" s="776"/>
      <c r="B716" s="776"/>
      <c r="C716" s="776"/>
      <c r="D716" s="776"/>
      <c r="E716" s="777"/>
      <c r="F716" s="776"/>
      <c r="G716" s="777"/>
      <c r="H716" s="776"/>
      <c r="I716" s="777"/>
      <c r="J716" s="777"/>
      <c r="K716" s="786"/>
      <c r="L716" s="777"/>
      <c r="M716" s="785"/>
      <c r="N716" s="785"/>
      <c r="O716" s="785"/>
      <c r="P716" s="785"/>
      <c r="Q716" s="785"/>
      <c r="R716" s="785"/>
      <c r="S716" s="776"/>
      <c r="T716" s="776"/>
      <c r="U716" s="776"/>
      <c r="V716" s="776"/>
      <c r="W716" s="776"/>
      <c r="X716" s="776"/>
      <c r="Y716" s="785"/>
      <c r="Z716" s="776"/>
      <c r="AA716" s="776"/>
      <c r="AB716" s="776"/>
    </row>
    <row r="717" spans="1:28" ht="15.75" customHeight="1">
      <c r="A717" s="776"/>
      <c r="B717" s="776"/>
      <c r="C717" s="776"/>
      <c r="D717" s="776"/>
      <c r="E717" s="777"/>
      <c r="F717" s="776"/>
      <c r="G717" s="777"/>
      <c r="H717" s="776"/>
      <c r="I717" s="777"/>
      <c r="J717" s="777"/>
      <c r="K717" s="786"/>
      <c r="L717" s="777"/>
      <c r="M717" s="785"/>
      <c r="N717" s="785"/>
      <c r="O717" s="785"/>
      <c r="P717" s="785"/>
      <c r="Q717" s="785"/>
      <c r="R717" s="785"/>
      <c r="S717" s="776"/>
      <c r="T717" s="776"/>
      <c r="U717" s="776"/>
      <c r="V717" s="776"/>
      <c r="W717" s="776"/>
      <c r="X717" s="776"/>
      <c r="Y717" s="785"/>
      <c r="Z717" s="776"/>
      <c r="AA717" s="776"/>
      <c r="AB717" s="776"/>
    </row>
    <row r="718" spans="1:28" ht="15.75" customHeight="1">
      <c r="A718" s="776"/>
      <c r="B718" s="776"/>
      <c r="C718" s="776"/>
      <c r="D718" s="776"/>
      <c r="E718" s="777"/>
      <c r="F718" s="776"/>
      <c r="G718" s="777"/>
      <c r="H718" s="776"/>
      <c r="I718" s="777"/>
      <c r="J718" s="777"/>
      <c r="K718" s="786"/>
      <c r="L718" s="777"/>
      <c r="M718" s="785"/>
      <c r="N718" s="785"/>
      <c r="O718" s="785"/>
      <c r="P718" s="785"/>
      <c r="Q718" s="785"/>
      <c r="R718" s="785"/>
      <c r="S718" s="776"/>
      <c r="T718" s="776"/>
      <c r="U718" s="776"/>
      <c r="V718" s="776"/>
      <c r="W718" s="776"/>
      <c r="X718" s="776"/>
      <c r="Y718" s="785"/>
      <c r="Z718" s="776"/>
      <c r="AA718" s="776"/>
      <c r="AB718" s="776"/>
    </row>
    <row r="719" spans="1:28" ht="15.75" customHeight="1">
      <c r="A719" s="776"/>
      <c r="B719" s="776"/>
      <c r="C719" s="776"/>
      <c r="D719" s="776"/>
      <c r="E719" s="777"/>
      <c r="F719" s="776"/>
      <c r="G719" s="777"/>
      <c r="H719" s="776"/>
      <c r="I719" s="777"/>
      <c r="J719" s="777"/>
      <c r="K719" s="786"/>
      <c r="L719" s="777"/>
      <c r="M719" s="785"/>
      <c r="N719" s="785"/>
      <c r="O719" s="785"/>
      <c r="P719" s="785"/>
      <c r="Q719" s="785"/>
      <c r="R719" s="785"/>
      <c r="S719" s="776"/>
      <c r="T719" s="776"/>
      <c r="U719" s="776"/>
      <c r="V719" s="776"/>
      <c r="W719" s="776"/>
      <c r="X719" s="776"/>
      <c r="Y719" s="785"/>
      <c r="Z719" s="776"/>
      <c r="AA719" s="776"/>
      <c r="AB719" s="776"/>
    </row>
    <row r="720" spans="1:28" ht="15.75" customHeight="1">
      <c r="A720" s="776"/>
      <c r="B720" s="776"/>
      <c r="C720" s="776"/>
      <c r="D720" s="776"/>
      <c r="E720" s="777"/>
      <c r="F720" s="776"/>
      <c r="G720" s="777"/>
      <c r="H720" s="776"/>
      <c r="I720" s="777"/>
      <c r="J720" s="777"/>
      <c r="K720" s="786"/>
      <c r="L720" s="777"/>
      <c r="M720" s="785"/>
      <c r="N720" s="785"/>
      <c r="O720" s="785"/>
      <c r="P720" s="785"/>
      <c r="Q720" s="785"/>
      <c r="R720" s="785"/>
      <c r="S720" s="776"/>
      <c r="T720" s="776"/>
      <c r="U720" s="776"/>
      <c r="V720" s="776"/>
      <c r="W720" s="776"/>
      <c r="X720" s="776"/>
      <c r="Y720" s="785"/>
      <c r="Z720" s="776"/>
      <c r="AA720" s="776"/>
      <c r="AB720" s="776"/>
    </row>
    <row r="721" spans="1:28" ht="15.75" customHeight="1">
      <c r="A721" s="776"/>
      <c r="B721" s="776"/>
      <c r="C721" s="776"/>
      <c r="D721" s="776"/>
      <c r="E721" s="777"/>
      <c r="F721" s="776"/>
      <c r="G721" s="777"/>
      <c r="H721" s="776"/>
      <c r="I721" s="777"/>
      <c r="J721" s="777"/>
      <c r="K721" s="786"/>
      <c r="L721" s="777"/>
      <c r="M721" s="785"/>
      <c r="N721" s="785"/>
      <c r="O721" s="785"/>
      <c r="P721" s="785"/>
      <c r="Q721" s="785"/>
      <c r="R721" s="785"/>
      <c r="S721" s="776"/>
      <c r="T721" s="776"/>
      <c r="U721" s="776"/>
      <c r="V721" s="776"/>
      <c r="W721" s="776"/>
      <c r="X721" s="776"/>
      <c r="Y721" s="785"/>
      <c r="Z721" s="776"/>
      <c r="AA721" s="776"/>
      <c r="AB721" s="776"/>
    </row>
    <row r="722" spans="1:28" ht="15.75" customHeight="1">
      <c r="A722" s="776"/>
      <c r="B722" s="776"/>
      <c r="C722" s="776"/>
      <c r="D722" s="776"/>
      <c r="E722" s="777"/>
      <c r="F722" s="776"/>
      <c r="G722" s="777"/>
      <c r="H722" s="776"/>
      <c r="I722" s="777"/>
      <c r="J722" s="777"/>
      <c r="K722" s="786"/>
      <c r="L722" s="777"/>
      <c r="M722" s="785"/>
      <c r="N722" s="785"/>
      <c r="O722" s="785"/>
      <c r="P722" s="785"/>
      <c r="Q722" s="785"/>
      <c r="R722" s="785"/>
      <c r="S722" s="776"/>
      <c r="T722" s="776"/>
      <c r="U722" s="776"/>
      <c r="V722" s="776"/>
      <c r="W722" s="776"/>
      <c r="X722" s="776"/>
      <c r="Y722" s="785"/>
      <c r="Z722" s="776"/>
      <c r="AA722" s="776"/>
      <c r="AB722" s="776"/>
    </row>
    <row r="723" spans="1:28" ht="15.75" customHeight="1">
      <c r="A723" s="776"/>
      <c r="B723" s="776"/>
      <c r="C723" s="776"/>
      <c r="D723" s="776"/>
      <c r="E723" s="777"/>
      <c r="F723" s="776"/>
      <c r="G723" s="777"/>
      <c r="H723" s="776"/>
      <c r="I723" s="777"/>
      <c r="J723" s="777"/>
      <c r="K723" s="786"/>
      <c r="L723" s="777"/>
      <c r="M723" s="785"/>
      <c r="N723" s="785"/>
      <c r="O723" s="785"/>
      <c r="P723" s="785"/>
      <c r="Q723" s="785"/>
      <c r="R723" s="785"/>
      <c r="S723" s="776"/>
      <c r="T723" s="776"/>
      <c r="U723" s="776"/>
      <c r="V723" s="776"/>
      <c r="W723" s="776"/>
      <c r="X723" s="776"/>
      <c r="Y723" s="785"/>
      <c r="Z723" s="776"/>
      <c r="AA723" s="776"/>
      <c r="AB723" s="776"/>
    </row>
    <row r="724" spans="1:28" ht="15.75" customHeight="1">
      <c r="A724" s="776"/>
      <c r="B724" s="776"/>
      <c r="C724" s="776"/>
      <c r="D724" s="776"/>
      <c r="E724" s="777"/>
      <c r="F724" s="776"/>
      <c r="G724" s="777"/>
      <c r="H724" s="776"/>
      <c r="I724" s="777"/>
      <c r="J724" s="777"/>
      <c r="K724" s="786"/>
      <c r="L724" s="777"/>
      <c r="M724" s="785"/>
      <c r="N724" s="785"/>
      <c r="O724" s="785"/>
      <c r="P724" s="785"/>
      <c r="Q724" s="785"/>
      <c r="R724" s="785"/>
      <c r="S724" s="776"/>
      <c r="T724" s="776"/>
      <c r="U724" s="776"/>
      <c r="V724" s="776"/>
      <c r="W724" s="776"/>
      <c r="X724" s="776"/>
      <c r="Y724" s="785"/>
      <c r="Z724" s="776"/>
      <c r="AA724" s="776"/>
      <c r="AB724" s="776"/>
    </row>
    <row r="725" spans="1:28" ht="15.75" customHeight="1">
      <c r="A725" s="776"/>
      <c r="B725" s="776"/>
      <c r="C725" s="776"/>
      <c r="D725" s="776"/>
      <c r="E725" s="777"/>
      <c r="F725" s="776"/>
      <c r="G725" s="777"/>
      <c r="H725" s="776"/>
      <c r="I725" s="777"/>
      <c r="J725" s="777"/>
      <c r="K725" s="786"/>
      <c r="L725" s="777"/>
      <c r="M725" s="785"/>
      <c r="N725" s="785"/>
      <c r="O725" s="785"/>
      <c r="P725" s="785"/>
      <c r="Q725" s="785"/>
      <c r="R725" s="785"/>
      <c r="S725" s="776"/>
      <c r="T725" s="776"/>
      <c r="U725" s="776"/>
      <c r="V725" s="776"/>
      <c r="W725" s="776"/>
      <c r="X725" s="776"/>
      <c r="Y725" s="785"/>
      <c r="Z725" s="776"/>
      <c r="AA725" s="776"/>
      <c r="AB725" s="776"/>
    </row>
    <row r="726" spans="1:28" ht="15.75" customHeight="1">
      <c r="A726" s="776"/>
      <c r="B726" s="776"/>
      <c r="C726" s="776"/>
      <c r="D726" s="776"/>
      <c r="E726" s="777"/>
      <c r="F726" s="776"/>
      <c r="G726" s="777"/>
      <c r="H726" s="776"/>
      <c r="I726" s="777"/>
      <c r="J726" s="777"/>
      <c r="K726" s="786"/>
      <c r="L726" s="777"/>
      <c r="M726" s="785"/>
      <c r="N726" s="785"/>
      <c r="O726" s="785"/>
      <c r="P726" s="785"/>
      <c r="Q726" s="785"/>
      <c r="R726" s="785"/>
      <c r="S726" s="776"/>
      <c r="T726" s="776"/>
      <c r="U726" s="776"/>
      <c r="V726" s="776"/>
      <c r="W726" s="776"/>
      <c r="X726" s="776"/>
      <c r="Y726" s="785"/>
      <c r="Z726" s="776"/>
      <c r="AA726" s="776"/>
      <c r="AB726" s="776"/>
    </row>
    <row r="727" spans="1:28" ht="15.75" customHeight="1">
      <c r="A727" s="776"/>
      <c r="B727" s="776"/>
      <c r="C727" s="776"/>
      <c r="D727" s="776"/>
      <c r="E727" s="777"/>
      <c r="F727" s="776"/>
      <c r="G727" s="777"/>
      <c r="H727" s="776"/>
      <c r="I727" s="777"/>
      <c r="J727" s="777"/>
      <c r="K727" s="786"/>
      <c r="L727" s="777"/>
      <c r="M727" s="785"/>
      <c r="N727" s="785"/>
      <c r="O727" s="785"/>
      <c r="P727" s="785"/>
      <c r="Q727" s="785"/>
      <c r="R727" s="785"/>
      <c r="S727" s="776"/>
      <c r="T727" s="776"/>
      <c r="U727" s="776"/>
      <c r="V727" s="776"/>
      <c r="W727" s="776"/>
      <c r="X727" s="776"/>
      <c r="Y727" s="785"/>
      <c r="Z727" s="776"/>
      <c r="AA727" s="776"/>
      <c r="AB727" s="776"/>
    </row>
    <row r="728" spans="1:28" ht="15.75" customHeight="1">
      <c r="A728" s="776"/>
      <c r="B728" s="776"/>
      <c r="C728" s="776"/>
      <c r="D728" s="776"/>
      <c r="E728" s="777"/>
      <c r="F728" s="776"/>
      <c r="G728" s="777"/>
      <c r="H728" s="776"/>
      <c r="I728" s="777"/>
      <c r="J728" s="777"/>
      <c r="K728" s="786"/>
      <c r="L728" s="777"/>
      <c r="M728" s="785"/>
      <c r="N728" s="785"/>
      <c r="O728" s="785"/>
      <c r="P728" s="785"/>
      <c r="Q728" s="785"/>
      <c r="R728" s="785"/>
      <c r="S728" s="776"/>
      <c r="T728" s="776"/>
      <c r="U728" s="776"/>
      <c r="V728" s="776"/>
      <c r="W728" s="776"/>
      <c r="X728" s="776"/>
      <c r="Y728" s="785"/>
      <c r="Z728" s="776"/>
      <c r="AA728" s="776"/>
      <c r="AB728" s="776"/>
    </row>
    <row r="729" spans="1:28" ht="15.75" customHeight="1">
      <c r="A729" s="776"/>
      <c r="B729" s="776"/>
      <c r="C729" s="776"/>
      <c r="D729" s="776"/>
      <c r="E729" s="777"/>
      <c r="F729" s="776"/>
      <c r="G729" s="777"/>
      <c r="H729" s="776"/>
      <c r="I729" s="777"/>
      <c r="J729" s="777"/>
      <c r="K729" s="786"/>
      <c r="L729" s="777"/>
      <c r="M729" s="785"/>
      <c r="N729" s="785"/>
      <c r="O729" s="785"/>
      <c r="P729" s="785"/>
      <c r="Q729" s="785"/>
      <c r="R729" s="785"/>
      <c r="S729" s="776"/>
      <c r="T729" s="776"/>
      <c r="U729" s="776"/>
      <c r="V729" s="776"/>
      <c r="W729" s="776"/>
      <c r="X729" s="776"/>
      <c r="Y729" s="785"/>
      <c r="Z729" s="776"/>
      <c r="AA729" s="776"/>
      <c r="AB729" s="776"/>
    </row>
    <row r="730" spans="1:28" ht="15.75" customHeight="1">
      <c r="A730" s="776"/>
      <c r="B730" s="776"/>
      <c r="C730" s="776"/>
      <c r="D730" s="776"/>
      <c r="E730" s="777"/>
      <c r="F730" s="776"/>
      <c r="G730" s="777"/>
      <c r="H730" s="776"/>
      <c r="I730" s="777"/>
      <c r="J730" s="777"/>
      <c r="K730" s="786"/>
      <c r="L730" s="777"/>
      <c r="M730" s="785"/>
      <c r="N730" s="785"/>
      <c r="O730" s="785"/>
      <c r="P730" s="785"/>
      <c r="Q730" s="785"/>
      <c r="R730" s="785"/>
      <c r="S730" s="776"/>
      <c r="T730" s="776"/>
      <c r="U730" s="776"/>
      <c r="V730" s="776"/>
      <c r="W730" s="776"/>
      <c r="X730" s="776"/>
      <c r="Y730" s="785"/>
      <c r="Z730" s="776"/>
      <c r="AA730" s="776"/>
      <c r="AB730" s="776"/>
    </row>
    <row r="731" spans="1:28" ht="15.75" customHeight="1">
      <c r="A731" s="776"/>
      <c r="B731" s="776"/>
      <c r="C731" s="776"/>
      <c r="D731" s="776"/>
      <c r="E731" s="777"/>
      <c r="F731" s="776"/>
      <c r="G731" s="777"/>
      <c r="H731" s="776"/>
      <c r="I731" s="777"/>
      <c r="J731" s="777"/>
      <c r="K731" s="786"/>
      <c r="L731" s="777"/>
      <c r="M731" s="785"/>
      <c r="N731" s="785"/>
      <c r="O731" s="785"/>
      <c r="P731" s="785"/>
      <c r="Q731" s="785"/>
      <c r="R731" s="785"/>
      <c r="S731" s="776"/>
      <c r="T731" s="776"/>
      <c r="U731" s="776"/>
      <c r="V731" s="776"/>
      <c r="W731" s="776"/>
      <c r="X731" s="776"/>
      <c r="Y731" s="785"/>
      <c r="Z731" s="776"/>
      <c r="AA731" s="776"/>
      <c r="AB731" s="776"/>
    </row>
    <row r="732" spans="1:28" ht="15.75" customHeight="1">
      <c r="A732" s="776"/>
      <c r="B732" s="776"/>
      <c r="C732" s="776"/>
      <c r="D732" s="776"/>
      <c r="E732" s="777"/>
      <c r="F732" s="776"/>
      <c r="G732" s="777"/>
      <c r="H732" s="776"/>
      <c r="I732" s="777"/>
      <c r="J732" s="777"/>
      <c r="K732" s="786"/>
      <c r="L732" s="777"/>
      <c r="M732" s="785"/>
      <c r="N732" s="785"/>
      <c r="O732" s="785"/>
      <c r="P732" s="785"/>
      <c r="Q732" s="785"/>
      <c r="R732" s="785"/>
      <c r="S732" s="776"/>
      <c r="T732" s="776"/>
      <c r="U732" s="776"/>
      <c r="V732" s="776"/>
      <c r="W732" s="776"/>
      <c r="X732" s="776"/>
      <c r="Y732" s="785"/>
      <c r="Z732" s="776"/>
      <c r="AA732" s="776"/>
      <c r="AB732" s="776"/>
    </row>
    <row r="733" spans="1:28" ht="15.75" customHeight="1">
      <c r="A733" s="776"/>
      <c r="B733" s="776"/>
      <c r="C733" s="776"/>
      <c r="D733" s="776"/>
      <c r="E733" s="777"/>
      <c r="F733" s="776"/>
      <c r="G733" s="777"/>
      <c r="H733" s="776"/>
      <c r="I733" s="777"/>
      <c r="J733" s="777"/>
      <c r="K733" s="786"/>
      <c r="L733" s="777"/>
      <c r="M733" s="785"/>
      <c r="N733" s="785"/>
      <c r="O733" s="785"/>
      <c r="P733" s="785"/>
      <c r="Q733" s="785"/>
      <c r="R733" s="785"/>
      <c r="S733" s="776"/>
      <c r="T733" s="776"/>
      <c r="U733" s="776"/>
      <c r="V733" s="776"/>
      <c r="W733" s="776"/>
      <c r="X733" s="776"/>
      <c r="Y733" s="785"/>
      <c r="Z733" s="776"/>
      <c r="AA733" s="776"/>
      <c r="AB733" s="776"/>
    </row>
    <row r="734" spans="1:28" ht="15.75" customHeight="1">
      <c r="A734" s="776"/>
      <c r="B734" s="776"/>
      <c r="C734" s="776"/>
      <c r="D734" s="776"/>
      <c r="E734" s="777"/>
      <c r="F734" s="776"/>
      <c r="G734" s="777"/>
      <c r="H734" s="776"/>
      <c r="I734" s="777"/>
      <c r="J734" s="777"/>
      <c r="K734" s="786"/>
      <c r="L734" s="777"/>
      <c r="M734" s="785"/>
      <c r="N734" s="785"/>
      <c r="O734" s="785"/>
      <c r="P734" s="785"/>
      <c r="Q734" s="785"/>
      <c r="R734" s="785"/>
      <c r="S734" s="776"/>
      <c r="T734" s="776"/>
      <c r="U734" s="776"/>
      <c r="V734" s="776"/>
      <c r="W734" s="776"/>
      <c r="X734" s="776"/>
      <c r="Y734" s="785"/>
      <c r="Z734" s="776"/>
      <c r="AA734" s="776"/>
      <c r="AB734" s="776"/>
    </row>
    <row r="735" spans="1:28" ht="15.75" customHeight="1">
      <c r="A735" s="776"/>
      <c r="B735" s="776"/>
      <c r="C735" s="776"/>
      <c r="D735" s="776"/>
      <c r="E735" s="777"/>
      <c r="F735" s="776"/>
      <c r="G735" s="777"/>
      <c r="H735" s="776"/>
      <c r="I735" s="777"/>
      <c r="J735" s="777"/>
      <c r="K735" s="786"/>
      <c r="L735" s="777"/>
      <c r="M735" s="785"/>
      <c r="N735" s="785"/>
      <c r="O735" s="785"/>
      <c r="P735" s="785"/>
      <c r="Q735" s="785"/>
      <c r="R735" s="785"/>
      <c r="S735" s="776"/>
      <c r="T735" s="776"/>
      <c r="U735" s="776"/>
      <c r="V735" s="776"/>
      <c r="W735" s="776"/>
      <c r="X735" s="776"/>
      <c r="Y735" s="785"/>
      <c r="Z735" s="776"/>
      <c r="AA735" s="776"/>
      <c r="AB735" s="776"/>
    </row>
    <row r="736" spans="1:28" ht="15.75" customHeight="1">
      <c r="A736" s="776"/>
      <c r="B736" s="776"/>
      <c r="C736" s="776"/>
      <c r="D736" s="776"/>
      <c r="E736" s="777"/>
      <c r="F736" s="776"/>
      <c r="G736" s="777"/>
      <c r="H736" s="776"/>
      <c r="I736" s="777"/>
      <c r="J736" s="777"/>
      <c r="K736" s="786"/>
      <c r="L736" s="777"/>
      <c r="M736" s="785"/>
      <c r="N736" s="785"/>
      <c r="O736" s="785"/>
      <c r="P736" s="785"/>
      <c r="Q736" s="785"/>
      <c r="R736" s="785"/>
      <c r="S736" s="776"/>
      <c r="T736" s="776"/>
      <c r="U736" s="776"/>
      <c r="V736" s="776"/>
      <c r="W736" s="776"/>
      <c r="X736" s="776"/>
      <c r="Y736" s="785"/>
      <c r="Z736" s="776"/>
      <c r="AA736" s="776"/>
      <c r="AB736" s="776"/>
    </row>
    <row r="737" spans="1:28" ht="15.75" customHeight="1">
      <c r="A737" s="776"/>
      <c r="B737" s="776"/>
      <c r="C737" s="776"/>
      <c r="D737" s="776"/>
      <c r="E737" s="777"/>
      <c r="F737" s="776"/>
      <c r="G737" s="777"/>
      <c r="H737" s="776"/>
      <c r="I737" s="777"/>
      <c r="J737" s="777"/>
      <c r="K737" s="786"/>
      <c r="L737" s="777"/>
      <c r="M737" s="785"/>
      <c r="N737" s="785"/>
      <c r="O737" s="785"/>
      <c r="P737" s="785"/>
      <c r="Q737" s="785"/>
      <c r="R737" s="785"/>
      <c r="S737" s="776"/>
      <c r="T737" s="776"/>
      <c r="U737" s="776"/>
      <c r="V737" s="776"/>
      <c r="W737" s="776"/>
      <c r="X737" s="776"/>
      <c r="Y737" s="785"/>
      <c r="Z737" s="776"/>
      <c r="AA737" s="776"/>
      <c r="AB737" s="776"/>
    </row>
    <row r="738" spans="1:28" ht="15.75" customHeight="1">
      <c r="A738" s="776"/>
      <c r="B738" s="776"/>
      <c r="C738" s="776"/>
      <c r="D738" s="776"/>
      <c r="E738" s="777"/>
      <c r="F738" s="776"/>
      <c r="G738" s="777"/>
      <c r="H738" s="776"/>
      <c r="I738" s="777"/>
      <c r="J738" s="777"/>
      <c r="K738" s="786"/>
      <c r="L738" s="777"/>
      <c r="M738" s="785"/>
      <c r="N738" s="785"/>
      <c r="O738" s="785"/>
      <c r="P738" s="785"/>
      <c r="Q738" s="785"/>
      <c r="R738" s="785"/>
      <c r="S738" s="776"/>
      <c r="T738" s="776"/>
      <c r="U738" s="776"/>
      <c r="V738" s="776"/>
      <c r="W738" s="776"/>
      <c r="X738" s="776"/>
      <c r="Y738" s="785"/>
      <c r="Z738" s="776"/>
      <c r="AA738" s="776"/>
      <c r="AB738" s="776"/>
    </row>
    <row r="739" spans="1:28" ht="15.75" customHeight="1">
      <c r="A739" s="776"/>
      <c r="B739" s="776"/>
      <c r="C739" s="776"/>
      <c r="D739" s="776"/>
      <c r="E739" s="777"/>
      <c r="F739" s="776"/>
      <c r="G739" s="777"/>
      <c r="H739" s="776"/>
      <c r="I739" s="777"/>
      <c r="J739" s="777"/>
      <c r="K739" s="786"/>
      <c r="L739" s="777"/>
      <c r="M739" s="785"/>
      <c r="N739" s="785"/>
      <c r="O739" s="785"/>
      <c r="P739" s="785"/>
      <c r="Q739" s="785"/>
      <c r="R739" s="785"/>
      <c r="S739" s="776"/>
      <c r="T739" s="776"/>
      <c r="U739" s="776"/>
      <c r="V739" s="776"/>
      <c r="W739" s="776"/>
      <c r="X739" s="776"/>
      <c r="Y739" s="785"/>
      <c r="Z739" s="776"/>
      <c r="AA739" s="776"/>
      <c r="AB739" s="776"/>
    </row>
    <row r="740" spans="1:28" ht="15.75" customHeight="1">
      <c r="A740" s="776"/>
      <c r="B740" s="776"/>
      <c r="C740" s="776"/>
      <c r="D740" s="776"/>
      <c r="E740" s="777"/>
      <c r="F740" s="776"/>
      <c r="G740" s="777"/>
      <c r="H740" s="776"/>
      <c r="I740" s="777"/>
      <c r="J740" s="777"/>
      <c r="K740" s="786"/>
      <c r="L740" s="777"/>
      <c r="M740" s="785"/>
      <c r="N740" s="785"/>
      <c r="O740" s="785"/>
      <c r="P740" s="785"/>
      <c r="Q740" s="785"/>
      <c r="R740" s="785"/>
      <c r="S740" s="776"/>
      <c r="T740" s="776"/>
      <c r="U740" s="776"/>
      <c r="V740" s="776"/>
      <c r="W740" s="776"/>
      <c r="X740" s="776"/>
      <c r="Y740" s="785"/>
      <c r="Z740" s="776"/>
      <c r="AA740" s="776"/>
      <c r="AB740" s="776"/>
    </row>
    <row r="741" spans="1:28" ht="15.75" customHeight="1">
      <c r="A741" s="776"/>
      <c r="B741" s="776"/>
      <c r="C741" s="776"/>
      <c r="D741" s="776"/>
      <c r="E741" s="777"/>
      <c r="F741" s="776"/>
      <c r="G741" s="777"/>
      <c r="H741" s="776"/>
      <c r="I741" s="777"/>
      <c r="J741" s="777"/>
      <c r="K741" s="786"/>
      <c r="L741" s="777"/>
      <c r="M741" s="785"/>
      <c r="N741" s="785"/>
      <c r="O741" s="785"/>
      <c r="P741" s="785"/>
      <c r="Q741" s="785"/>
      <c r="R741" s="785"/>
      <c r="S741" s="776"/>
      <c r="T741" s="776"/>
      <c r="U741" s="776"/>
      <c r="V741" s="776"/>
      <c r="W741" s="776"/>
      <c r="X741" s="776"/>
      <c r="Y741" s="785"/>
      <c r="Z741" s="776"/>
      <c r="AA741" s="776"/>
      <c r="AB741" s="776"/>
    </row>
    <row r="742" spans="1:28" ht="15.75" customHeight="1">
      <c r="A742" s="776"/>
      <c r="B742" s="776"/>
      <c r="C742" s="776"/>
      <c r="D742" s="776"/>
      <c r="E742" s="777"/>
      <c r="F742" s="776"/>
      <c r="G742" s="777"/>
      <c r="H742" s="776"/>
      <c r="I742" s="777"/>
      <c r="J742" s="777"/>
      <c r="K742" s="786"/>
      <c r="L742" s="777"/>
      <c r="M742" s="785"/>
      <c r="N742" s="785"/>
      <c r="O742" s="785"/>
      <c r="P742" s="785"/>
      <c r="Q742" s="785"/>
      <c r="R742" s="785"/>
      <c r="S742" s="776"/>
      <c r="T742" s="776"/>
      <c r="U742" s="776"/>
      <c r="V742" s="776"/>
      <c r="W742" s="776"/>
      <c r="X742" s="776"/>
      <c r="Y742" s="785"/>
      <c r="Z742" s="776"/>
      <c r="AA742" s="776"/>
      <c r="AB742" s="776"/>
    </row>
    <row r="743" spans="1:28" ht="15.75" customHeight="1">
      <c r="A743" s="776"/>
      <c r="B743" s="776"/>
      <c r="C743" s="776"/>
      <c r="D743" s="776"/>
      <c r="E743" s="777"/>
      <c r="F743" s="776"/>
      <c r="G743" s="777"/>
      <c r="H743" s="776"/>
      <c r="I743" s="777"/>
      <c r="J743" s="777"/>
      <c r="K743" s="786"/>
      <c r="L743" s="777"/>
      <c r="M743" s="785"/>
      <c r="N743" s="785"/>
      <c r="O743" s="785"/>
      <c r="P743" s="785"/>
      <c r="Q743" s="785"/>
      <c r="R743" s="785"/>
      <c r="S743" s="776"/>
      <c r="T743" s="776"/>
      <c r="U743" s="776"/>
      <c r="V743" s="776"/>
      <c r="W743" s="776"/>
      <c r="X743" s="776"/>
      <c r="Y743" s="785"/>
      <c r="Z743" s="776"/>
      <c r="AA743" s="776"/>
      <c r="AB743" s="776"/>
    </row>
    <row r="744" spans="1:28" ht="15.75" customHeight="1">
      <c r="A744" s="776"/>
      <c r="B744" s="776"/>
      <c r="C744" s="776"/>
      <c r="D744" s="776"/>
      <c r="E744" s="777"/>
      <c r="F744" s="776"/>
      <c r="G744" s="777"/>
      <c r="H744" s="776"/>
      <c r="I744" s="777"/>
      <c r="J744" s="777"/>
      <c r="K744" s="786"/>
      <c r="L744" s="777"/>
      <c r="M744" s="785"/>
      <c r="N744" s="785"/>
      <c r="O744" s="785"/>
      <c r="P744" s="785"/>
      <c r="Q744" s="785"/>
      <c r="R744" s="785"/>
      <c r="S744" s="776"/>
      <c r="T744" s="776"/>
      <c r="U744" s="776"/>
      <c r="V744" s="776"/>
      <c r="W744" s="776"/>
      <c r="X744" s="776"/>
      <c r="Y744" s="785"/>
      <c r="Z744" s="776"/>
      <c r="AA744" s="776"/>
      <c r="AB744" s="776"/>
    </row>
    <row r="745" spans="1:28" ht="15.75" customHeight="1">
      <c r="A745" s="776"/>
      <c r="B745" s="776"/>
      <c r="C745" s="776"/>
      <c r="D745" s="776"/>
      <c r="E745" s="777"/>
      <c r="F745" s="776"/>
      <c r="G745" s="777"/>
      <c r="H745" s="776"/>
      <c r="I745" s="777"/>
      <c r="J745" s="777"/>
      <c r="K745" s="786"/>
      <c r="L745" s="777"/>
      <c r="M745" s="785"/>
      <c r="N745" s="785"/>
      <c r="O745" s="785"/>
      <c r="P745" s="785"/>
      <c r="Q745" s="785"/>
      <c r="R745" s="785"/>
      <c r="S745" s="776"/>
      <c r="T745" s="776"/>
      <c r="U745" s="776"/>
      <c r="V745" s="776"/>
      <c r="W745" s="776"/>
      <c r="X745" s="776"/>
      <c r="Y745" s="785"/>
      <c r="Z745" s="776"/>
      <c r="AA745" s="776"/>
      <c r="AB745" s="776"/>
    </row>
    <row r="746" spans="1:28" ht="15.75" customHeight="1">
      <c r="A746" s="776"/>
      <c r="B746" s="776"/>
      <c r="C746" s="776"/>
      <c r="D746" s="776"/>
      <c r="E746" s="777"/>
      <c r="F746" s="776"/>
      <c r="G746" s="777"/>
      <c r="H746" s="776"/>
      <c r="I746" s="777"/>
      <c r="J746" s="777"/>
      <c r="K746" s="786"/>
      <c r="L746" s="777"/>
      <c r="M746" s="785"/>
      <c r="N746" s="785"/>
      <c r="O746" s="785"/>
      <c r="P746" s="785"/>
      <c r="Q746" s="785"/>
      <c r="R746" s="785"/>
      <c r="S746" s="776"/>
      <c r="T746" s="776"/>
      <c r="U746" s="776"/>
      <c r="V746" s="776"/>
      <c r="W746" s="776"/>
      <c r="X746" s="776"/>
      <c r="Y746" s="785"/>
      <c r="Z746" s="776"/>
      <c r="AA746" s="776"/>
      <c r="AB746" s="776"/>
    </row>
    <row r="747" spans="1:28" ht="15.75" customHeight="1">
      <c r="A747" s="776"/>
      <c r="B747" s="776"/>
      <c r="C747" s="776"/>
      <c r="D747" s="776"/>
      <c r="E747" s="777"/>
      <c r="F747" s="776"/>
      <c r="G747" s="777"/>
      <c r="H747" s="776"/>
      <c r="I747" s="777"/>
      <c r="J747" s="777"/>
      <c r="K747" s="786"/>
      <c r="L747" s="777"/>
      <c r="M747" s="785"/>
      <c r="N747" s="785"/>
      <c r="O747" s="785"/>
      <c r="P747" s="785"/>
      <c r="Q747" s="785"/>
      <c r="R747" s="785"/>
      <c r="S747" s="776"/>
      <c r="T747" s="776"/>
      <c r="U747" s="776"/>
      <c r="V747" s="776"/>
      <c r="W747" s="776"/>
      <c r="X747" s="776"/>
      <c r="Y747" s="785"/>
      <c r="Z747" s="776"/>
      <c r="AA747" s="776"/>
      <c r="AB747" s="776"/>
    </row>
    <row r="748" spans="1:28" ht="15.75" customHeight="1">
      <c r="A748" s="776"/>
      <c r="B748" s="776"/>
      <c r="C748" s="776"/>
      <c r="D748" s="776"/>
      <c r="E748" s="777"/>
      <c r="F748" s="776"/>
      <c r="G748" s="777"/>
      <c r="H748" s="776"/>
      <c r="I748" s="777"/>
      <c r="J748" s="777"/>
      <c r="K748" s="786"/>
      <c r="L748" s="777"/>
      <c r="M748" s="785"/>
      <c r="N748" s="785"/>
      <c r="O748" s="785"/>
      <c r="P748" s="785"/>
      <c r="Q748" s="785"/>
      <c r="R748" s="785"/>
      <c r="S748" s="776"/>
      <c r="T748" s="776"/>
      <c r="U748" s="776"/>
      <c r="V748" s="776"/>
      <c r="W748" s="776"/>
      <c r="X748" s="776"/>
      <c r="Y748" s="785"/>
      <c r="Z748" s="776"/>
      <c r="AA748" s="776"/>
      <c r="AB748" s="776"/>
    </row>
    <row r="749" spans="1:28" ht="15.75" customHeight="1">
      <c r="A749" s="776"/>
      <c r="B749" s="776"/>
      <c r="C749" s="776"/>
      <c r="D749" s="776"/>
      <c r="E749" s="777"/>
      <c r="F749" s="776"/>
      <c r="G749" s="777"/>
      <c r="H749" s="776"/>
      <c r="I749" s="777"/>
      <c r="J749" s="777"/>
      <c r="K749" s="786"/>
      <c r="L749" s="777"/>
      <c r="M749" s="785"/>
      <c r="N749" s="785"/>
      <c r="O749" s="785"/>
      <c r="P749" s="785"/>
      <c r="Q749" s="785"/>
      <c r="R749" s="785"/>
      <c r="S749" s="776"/>
      <c r="T749" s="776"/>
      <c r="U749" s="776"/>
      <c r="V749" s="776"/>
      <c r="W749" s="776"/>
      <c r="X749" s="776"/>
      <c r="Y749" s="785"/>
      <c r="Z749" s="776"/>
      <c r="AA749" s="776"/>
      <c r="AB749" s="776"/>
    </row>
    <row r="750" spans="1:28" ht="15.75" customHeight="1">
      <c r="A750" s="776"/>
      <c r="B750" s="776"/>
      <c r="C750" s="776"/>
      <c r="D750" s="776"/>
      <c r="E750" s="777"/>
      <c r="F750" s="776"/>
      <c r="G750" s="777"/>
      <c r="H750" s="776"/>
      <c r="I750" s="777"/>
      <c r="J750" s="777"/>
      <c r="K750" s="786"/>
      <c r="L750" s="777"/>
      <c r="M750" s="785"/>
      <c r="N750" s="785"/>
      <c r="O750" s="785"/>
      <c r="P750" s="785"/>
      <c r="Q750" s="785"/>
      <c r="R750" s="785"/>
      <c r="S750" s="776"/>
      <c r="T750" s="776"/>
      <c r="U750" s="776"/>
      <c r="V750" s="776"/>
      <c r="W750" s="776"/>
      <c r="X750" s="776"/>
      <c r="Y750" s="785"/>
      <c r="Z750" s="776"/>
      <c r="AA750" s="776"/>
      <c r="AB750" s="776"/>
    </row>
    <row r="751" spans="1:28" ht="15.75" customHeight="1">
      <c r="A751" s="776"/>
      <c r="B751" s="776"/>
      <c r="C751" s="776"/>
      <c r="D751" s="776"/>
      <c r="E751" s="777"/>
      <c r="F751" s="776"/>
      <c r="G751" s="777"/>
      <c r="H751" s="776"/>
      <c r="I751" s="777"/>
      <c r="J751" s="777"/>
      <c r="K751" s="786"/>
      <c r="L751" s="777"/>
      <c r="M751" s="785"/>
      <c r="N751" s="785"/>
      <c r="O751" s="785"/>
      <c r="P751" s="785"/>
      <c r="Q751" s="785"/>
      <c r="R751" s="785"/>
      <c r="S751" s="776"/>
      <c r="T751" s="776"/>
      <c r="U751" s="776"/>
      <c r="V751" s="776"/>
      <c r="W751" s="776"/>
      <c r="X751" s="776"/>
      <c r="Y751" s="785"/>
      <c r="Z751" s="776"/>
      <c r="AA751" s="776"/>
      <c r="AB751" s="776"/>
    </row>
    <row r="752" spans="1:28" ht="15.75" customHeight="1">
      <c r="A752" s="776"/>
      <c r="B752" s="776"/>
      <c r="C752" s="776"/>
      <c r="D752" s="776"/>
      <c r="E752" s="777"/>
      <c r="F752" s="776"/>
      <c r="G752" s="777"/>
      <c r="H752" s="776"/>
      <c r="I752" s="777"/>
      <c r="J752" s="777"/>
      <c r="K752" s="786"/>
      <c r="L752" s="777"/>
      <c r="M752" s="785"/>
      <c r="N752" s="785"/>
      <c r="O752" s="785"/>
      <c r="P752" s="785"/>
      <c r="Q752" s="785"/>
      <c r="R752" s="785"/>
      <c r="S752" s="776"/>
      <c r="T752" s="776"/>
      <c r="U752" s="776"/>
      <c r="V752" s="776"/>
      <c r="W752" s="776"/>
      <c r="X752" s="776"/>
      <c r="Y752" s="785"/>
      <c r="Z752" s="776"/>
      <c r="AA752" s="776"/>
      <c r="AB752" s="776"/>
    </row>
    <row r="753" spans="1:28" ht="15.75" customHeight="1">
      <c r="A753" s="776"/>
      <c r="B753" s="776"/>
      <c r="C753" s="776"/>
      <c r="D753" s="776"/>
      <c r="E753" s="777"/>
      <c r="F753" s="776"/>
      <c r="G753" s="777"/>
      <c r="H753" s="776"/>
      <c r="I753" s="777"/>
      <c r="J753" s="777"/>
      <c r="K753" s="786"/>
      <c r="L753" s="777"/>
      <c r="M753" s="785"/>
      <c r="N753" s="785"/>
      <c r="O753" s="785"/>
      <c r="P753" s="785"/>
      <c r="Q753" s="785"/>
      <c r="R753" s="785"/>
      <c r="S753" s="776"/>
      <c r="T753" s="776"/>
      <c r="U753" s="776"/>
      <c r="V753" s="776"/>
      <c r="W753" s="776"/>
      <c r="X753" s="776"/>
      <c r="Y753" s="785"/>
      <c r="Z753" s="776"/>
      <c r="AA753" s="776"/>
      <c r="AB753" s="776"/>
    </row>
    <row r="754" spans="1:28" ht="15.75" customHeight="1">
      <c r="A754" s="776"/>
      <c r="B754" s="776"/>
      <c r="C754" s="776"/>
      <c r="D754" s="776"/>
      <c r="E754" s="777"/>
      <c r="F754" s="776"/>
      <c r="G754" s="777"/>
      <c r="H754" s="776"/>
      <c r="I754" s="777"/>
      <c r="J754" s="777"/>
      <c r="K754" s="786"/>
      <c r="L754" s="777"/>
      <c r="M754" s="785"/>
      <c r="N754" s="785"/>
      <c r="O754" s="785"/>
      <c r="P754" s="785"/>
      <c r="Q754" s="785"/>
      <c r="R754" s="785"/>
      <c r="S754" s="776"/>
      <c r="T754" s="776"/>
      <c r="U754" s="776"/>
      <c r="V754" s="776"/>
      <c r="W754" s="776"/>
      <c r="X754" s="776"/>
      <c r="Y754" s="785"/>
      <c r="Z754" s="776"/>
      <c r="AA754" s="776"/>
      <c r="AB754" s="776"/>
    </row>
    <row r="755" spans="1:28" ht="15.75" customHeight="1">
      <c r="A755" s="776"/>
      <c r="B755" s="776"/>
      <c r="C755" s="776"/>
      <c r="D755" s="776"/>
      <c r="E755" s="777"/>
      <c r="F755" s="776"/>
      <c r="G755" s="777"/>
      <c r="H755" s="776"/>
      <c r="I755" s="777"/>
      <c r="J755" s="777"/>
      <c r="K755" s="786"/>
      <c r="L755" s="777"/>
      <c r="M755" s="785"/>
      <c r="N755" s="785"/>
      <c r="O755" s="785"/>
      <c r="P755" s="785"/>
      <c r="Q755" s="785"/>
      <c r="R755" s="785"/>
      <c r="S755" s="776"/>
      <c r="T755" s="776"/>
      <c r="U755" s="776"/>
      <c r="V755" s="776"/>
      <c r="W755" s="776"/>
      <c r="X755" s="776"/>
      <c r="Y755" s="785"/>
      <c r="Z755" s="776"/>
      <c r="AA755" s="776"/>
      <c r="AB755" s="776"/>
    </row>
    <row r="756" spans="1:28" ht="15.75" customHeight="1">
      <c r="A756" s="776"/>
      <c r="B756" s="776"/>
      <c r="C756" s="776"/>
      <c r="D756" s="776"/>
      <c r="E756" s="777"/>
      <c r="F756" s="776"/>
      <c r="G756" s="777"/>
      <c r="H756" s="776"/>
      <c r="I756" s="777"/>
      <c r="J756" s="777"/>
      <c r="K756" s="786"/>
      <c r="L756" s="777"/>
      <c r="M756" s="785"/>
      <c r="N756" s="785"/>
      <c r="O756" s="785"/>
      <c r="P756" s="785"/>
      <c r="Q756" s="785"/>
      <c r="R756" s="785"/>
      <c r="S756" s="776"/>
      <c r="T756" s="776"/>
      <c r="U756" s="776"/>
      <c r="V756" s="776"/>
      <c r="W756" s="776"/>
      <c r="X756" s="776"/>
      <c r="Y756" s="785"/>
      <c r="Z756" s="776"/>
      <c r="AA756" s="776"/>
      <c r="AB756" s="776"/>
    </row>
    <row r="757" spans="1:28" ht="15.75" customHeight="1">
      <c r="A757" s="776"/>
      <c r="B757" s="776"/>
      <c r="C757" s="776"/>
      <c r="D757" s="776"/>
      <c r="E757" s="777"/>
      <c r="F757" s="776"/>
      <c r="G757" s="777"/>
      <c r="H757" s="776"/>
      <c r="I757" s="777"/>
      <c r="J757" s="777"/>
      <c r="K757" s="786"/>
      <c r="L757" s="777"/>
      <c r="M757" s="785"/>
      <c r="N757" s="785"/>
      <c r="O757" s="785"/>
      <c r="P757" s="785"/>
      <c r="Q757" s="785"/>
      <c r="R757" s="785"/>
      <c r="S757" s="776"/>
      <c r="T757" s="776"/>
      <c r="U757" s="776"/>
      <c r="V757" s="776"/>
      <c r="W757" s="776"/>
      <c r="X757" s="776"/>
      <c r="Y757" s="785"/>
      <c r="Z757" s="776"/>
      <c r="AA757" s="776"/>
      <c r="AB757" s="776"/>
    </row>
    <row r="758" spans="1:28" ht="15.75" customHeight="1">
      <c r="A758" s="776"/>
      <c r="B758" s="776"/>
      <c r="C758" s="776"/>
      <c r="D758" s="776"/>
      <c r="E758" s="777"/>
      <c r="F758" s="776"/>
      <c r="G758" s="777"/>
      <c r="H758" s="776"/>
      <c r="I758" s="777"/>
      <c r="J758" s="777"/>
      <c r="K758" s="786"/>
      <c r="L758" s="777"/>
      <c r="M758" s="785"/>
      <c r="N758" s="785"/>
      <c r="O758" s="785"/>
      <c r="P758" s="785"/>
      <c r="Q758" s="785"/>
      <c r="R758" s="785"/>
      <c r="S758" s="776"/>
      <c r="T758" s="776"/>
      <c r="U758" s="776"/>
      <c r="V758" s="776"/>
      <c r="W758" s="776"/>
      <c r="X758" s="776"/>
      <c r="Y758" s="785"/>
      <c r="Z758" s="776"/>
      <c r="AA758" s="776"/>
      <c r="AB758" s="776"/>
    </row>
    <row r="759" spans="1:28" ht="15.75" customHeight="1">
      <c r="A759" s="776"/>
      <c r="B759" s="776"/>
      <c r="C759" s="776"/>
      <c r="D759" s="776"/>
      <c r="E759" s="777"/>
      <c r="F759" s="776"/>
      <c r="G759" s="777"/>
      <c r="H759" s="776"/>
      <c r="I759" s="777"/>
      <c r="J759" s="777"/>
      <c r="K759" s="786"/>
      <c r="L759" s="777"/>
      <c r="M759" s="785"/>
      <c r="N759" s="785"/>
      <c r="O759" s="785"/>
      <c r="P759" s="785"/>
      <c r="Q759" s="785"/>
      <c r="R759" s="785"/>
      <c r="S759" s="776"/>
      <c r="T759" s="776"/>
      <c r="U759" s="776"/>
      <c r="V759" s="776"/>
      <c r="W759" s="776"/>
      <c r="X759" s="776"/>
      <c r="Y759" s="785"/>
      <c r="Z759" s="776"/>
      <c r="AA759" s="776"/>
      <c r="AB759" s="776"/>
    </row>
    <row r="760" spans="1:28" ht="15.75" customHeight="1">
      <c r="A760" s="776"/>
      <c r="B760" s="776"/>
      <c r="C760" s="776"/>
      <c r="D760" s="776"/>
      <c r="E760" s="777"/>
      <c r="F760" s="776"/>
      <c r="G760" s="777"/>
      <c r="H760" s="776"/>
      <c r="I760" s="777"/>
      <c r="J760" s="777"/>
      <c r="K760" s="786"/>
      <c r="L760" s="777"/>
      <c r="M760" s="785"/>
      <c r="N760" s="785"/>
      <c r="O760" s="785"/>
      <c r="P760" s="785"/>
      <c r="Q760" s="785"/>
      <c r="R760" s="785"/>
      <c r="S760" s="776"/>
      <c r="T760" s="776"/>
      <c r="U760" s="776"/>
      <c r="V760" s="776"/>
      <c r="W760" s="776"/>
      <c r="X760" s="776"/>
      <c r="Y760" s="785"/>
      <c r="Z760" s="776"/>
      <c r="AA760" s="776"/>
      <c r="AB760" s="776"/>
    </row>
    <row r="761" spans="1:28" ht="15.75" customHeight="1">
      <c r="A761" s="776"/>
      <c r="B761" s="776"/>
      <c r="C761" s="776"/>
      <c r="D761" s="776"/>
      <c r="E761" s="777"/>
      <c r="F761" s="776"/>
      <c r="G761" s="777"/>
      <c r="H761" s="776"/>
      <c r="I761" s="777"/>
      <c r="J761" s="777"/>
      <c r="K761" s="786"/>
      <c r="L761" s="777"/>
      <c r="M761" s="785"/>
      <c r="N761" s="785"/>
      <c r="O761" s="785"/>
      <c r="P761" s="785"/>
      <c r="Q761" s="785"/>
      <c r="R761" s="785"/>
      <c r="S761" s="776"/>
      <c r="T761" s="776"/>
      <c r="U761" s="776"/>
      <c r="V761" s="776"/>
      <c r="W761" s="776"/>
      <c r="X761" s="776"/>
      <c r="Y761" s="785"/>
      <c r="Z761" s="776"/>
      <c r="AA761" s="776"/>
      <c r="AB761" s="776"/>
    </row>
    <row r="762" spans="1:28" ht="15.75" customHeight="1">
      <c r="A762" s="776"/>
      <c r="B762" s="776"/>
      <c r="C762" s="776"/>
      <c r="D762" s="776"/>
      <c r="E762" s="777"/>
      <c r="F762" s="776"/>
      <c r="G762" s="777"/>
      <c r="H762" s="776"/>
      <c r="I762" s="777"/>
      <c r="J762" s="777"/>
      <c r="K762" s="786"/>
      <c r="L762" s="777"/>
      <c r="M762" s="785"/>
      <c r="N762" s="785"/>
      <c r="O762" s="785"/>
      <c r="P762" s="785"/>
      <c r="Q762" s="785"/>
      <c r="R762" s="785"/>
      <c r="S762" s="776"/>
      <c r="T762" s="776"/>
      <c r="U762" s="776"/>
      <c r="V762" s="776"/>
      <c r="W762" s="776"/>
      <c r="X762" s="776"/>
      <c r="Y762" s="785"/>
      <c r="Z762" s="776"/>
      <c r="AA762" s="776"/>
      <c r="AB762" s="776"/>
    </row>
    <row r="763" spans="1:28" ht="15.75" customHeight="1">
      <c r="A763" s="776"/>
      <c r="B763" s="776"/>
      <c r="C763" s="776"/>
      <c r="D763" s="776"/>
      <c r="E763" s="777"/>
      <c r="F763" s="776"/>
      <c r="G763" s="777"/>
      <c r="H763" s="776"/>
      <c r="I763" s="777"/>
      <c r="J763" s="777"/>
      <c r="K763" s="786"/>
      <c r="L763" s="777"/>
      <c r="M763" s="785"/>
      <c r="N763" s="785"/>
      <c r="O763" s="785"/>
      <c r="P763" s="785"/>
      <c r="Q763" s="785"/>
      <c r="R763" s="785"/>
      <c r="S763" s="776"/>
      <c r="T763" s="776"/>
      <c r="U763" s="776"/>
      <c r="V763" s="776"/>
      <c r="W763" s="776"/>
      <c r="X763" s="776"/>
      <c r="Y763" s="785"/>
      <c r="Z763" s="776"/>
      <c r="AA763" s="776"/>
      <c r="AB763" s="776"/>
    </row>
    <row r="764" spans="1:28" ht="15.75" customHeight="1">
      <c r="A764" s="776"/>
      <c r="B764" s="776"/>
      <c r="C764" s="776"/>
      <c r="D764" s="776"/>
      <c r="E764" s="777"/>
      <c r="F764" s="776"/>
      <c r="G764" s="777"/>
      <c r="H764" s="776"/>
      <c r="I764" s="777"/>
      <c r="J764" s="777"/>
      <c r="K764" s="786"/>
      <c r="L764" s="777"/>
      <c r="M764" s="785"/>
      <c r="N764" s="785"/>
      <c r="O764" s="785"/>
      <c r="P764" s="785"/>
      <c r="Q764" s="785"/>
      <c r="R764" s="785"/>
      <c r="S764" s="776"/>
      <c r="T764" s="776"/>
      <c r="U764" s="776"/>
      <c r="V764" s="776"/>
      <c r="W764" s="776"/>
      <c r="X764" s="776"/>
      <c r="Y764" s="785"/>
      <c r="Z764" s="776"/>
      <c r="AA764" s="776"/>
      <c r="AB764" s="776"/>
    </row>
    <row r="765" spans="1:28" ht="15.75" customHeight="1">
      <c r="A765" s="776"/>
      <c r="B765" s="776"/>
      <c r="C765" s="776"/>
      <c r="D765" s="776"/>
      <c r="E765" s="777"/>
      <c r="F765" s="776"/>
      <c r="G765" s="777"/>
      <c r="H765" s="776"/>
      <c r="I765" s="777"/>
      <c r="J765" s="777"/>
      <c r="K765" s="786"/>
      <c r="L765" s="777"/>
      <c r="M765" s="785"/>
      <c r="N765" s="785"/>
      <c r="O765" s="785"/>
      <c r="P765" s="785"/>
      <c r="Q765" s="785"/>
      <c r="R765" s="785"/>
      <c r="S765" s="776"/>
      <c r="T765" s="776"/>
      <c r="U765" s="776"/>
      <c r="V765" s="776"/>
      <c r="W765" s="776"/>
      <c r="X765" s="776"/>
      <c r="Y765" s="785"/>
      <c r="Z765" s="776"/>
      <c r="AA765" s="776"/>
      <c r="AB765" s="776"/>
    </row>
    <row r="766" spans="1:28" ht="15.75" customHeight="1">
      <c r="A766" s="776"/>
      <c r="B766" s="776"/>
      <c r="C766" s="776"/>
      <c r="D766" s="776"/>
      <c r="E766" s="777"/>
      <c r="F766" s="776"/>
      <c r="G766" s="777"/>
      <c r="H766" s="776"/>
      <c r="I766" s="777"/>
      <c r="J766" s="777"/>
      <c r="K766" s="786"/>
      <c r="L766" s="777"/>
      <c r="M766" s="785"/>
      <c r="N766" s="785"/>
      <c r="O766" s="785"/>
      <c r="P766" s="785"/>
      <c r="Q766" s="785"/>
      <c r="R766" s="785"/>
      <c r="S766" s="776"/>
      <c r="T766" s="776"/>
      <c r="U766" s="776"/>
      <c r="V766" s="776"/>
      <c r="W766" s="776"/>
      <c r="X766" s="776"/>
      <c r="Y766" s="785"/>
      <c r="Z766" s="776"/>
      <c r="AA766" s="776"/>
      <c r="AB766" s="776"/>
    </row>
    <row r="767" spans="1:28" ht="15.75" customHeight="1">
      <c r="A767" s="776"/>
      <c r="B767" s="776"/>
      <c r="C767" s="776"/>
      <c r="D767" s="776"/>
      <c r="E767" s="777"/>
      <c r="F767" s="776"/>
      <c r="G767" s="777"/>
      <c r="H767" s="776"/>
      <c r="I767" s="777"/>
      <c r="J767" s="777"/>
      <c r="K767" s="786"/>
      <c r="L767" s="777"/>
      <c r="M767" s="785"/>
      <c r="N767" s="785"/>
      <c r="O767" s="785"/>
      <c r="P767" s="785"/>
      <c r="Q767" s="785"/>
      <c r="R767" s="785"/>
      <c r="S767" s="776"/>
      <c r="T767" s="776"/>
      <c r="U767" s="776"/>
      <c r="V767" s="776"/>
      <c r="W767" s="776"/>
      <c r="X767" s="776"/>
      <c r="Y767" s="785"/>
      <c r="Z767" s="776"/>
      <c r="AA767" s="776"/>
      <c r="AB767" s="776"/>
    </row>
    <row r="768" spans="1:28" ht="15.75" customHeight="1">
      <c r="A768" s="776"/>
      <c r="B768" s="776"/>
      <c r="C768" s="776"/>
      <c r="D768" s="776"/>
      <c r="E768" s="777"/>
      <c r="F768" s="776"/>
      <c r="G768" s="777"/>
      <c r="H768" s="776"/>
      <c r="I768" s="777"/>
      <c r="J768" s="777"/>
      <c r="K768" s="786"/>
      <c r="L768" s="777"/>
      <c r="M768" s="785"/>
      <c r="N768" s="785"/>
      <c r="O768" s="785"/>
      <c r="P768" s="785"/>
      <c r="Q768" s="785"/>
      <c r="R768" s="785"/>
      <c r="S768" s="776"/>
      <c r="T768" s="776"/>
      <c r="U768" s="776"/>
      <c r="V768" s="776"/>
      <c r="W768" s="776"/>
      <c r="X768" s="776"/>
      <c r="Y768" s="785"/>
      <c r="Z768" s="776"/>
      <c r="AA768" s="776"/>
      <c r="AB768" s="776"/>
    </row>
    <row r="769" spans="1:28" ht="15.75" customHeight="1">
      <c r="A769" s="776"/>
      <c r="B769" s="776"/>
      <c r="C769" s="776"/>
      <c r="D769" s="776"/>
      <c r="E769" s="777"/>
      <c r="F769" s="776"/>
      <c r="G769" s="777"/>
      <c r="H769" s="776"/>
      <c r="I769" s="777"/>
      <c r="J769" s="777"/>
      <c r="K769" s="786"/>
      <c r="L769" s="777"/>
      <c r="M769" s="785"/>
      <c r="N769" s="785"/>
      <c r="O769" s="785"/>
      <c r="P769" s="785"/>
      <c r="Q769" s="785"/>
      <c r="R769" s="785"/>
      <c r="S769" s="776"/>
      <c r="T769" s="776"/>
      <c r="U769" s="776"/>
      <c r="V769" s="776"/>
      <c r="W769" s="776"/>
      <c r="X769" s="776"/>
      <c r="Y769" s="785"/>
      <c r="Z769" s="776"/>
      <c r="AA769" s="776"/>
      <c r="AB769" s="776"/>
    </row>
    <row r="770" spans="1:28" ht="15.75" customHeight="1">
      <c r="A770" s="776"/>
      <c r="B770" s="776"/>
      <c r="C770" s="776"/>
      <c r="D770" s="776"/>
      <c r="E770" s="777"/>
      <c r="F770" s="776"/>
      <c r="G770" s="777"/>
      <c r="H770" s="776"/>
      <c r="I770" s="777"/>
      <c r="J770" s="777"/>
      <c r="K770" s="786"/>
      <c r="L770" s="777"/>
      <c r="M770" s="785"/>
      <c r="N770" s="785"/>
      <c r="O770" s="785"/>
      <c r="P770" s="785"/>
      <c r="Q770" s="785"/>
      <c r="R770" s="785"/>
      <c r="S770" s="776"/>
      <c r="T770" s="776"/>
      <c r="U770" s="776"/>
      <c r="V770" s="776"/>
      <c r="W770" s="776"/>
      <c r="X770" s="776"/>
      <c r="Y770" s="785"/>
      <c r="Z770" s="776"/>
      <c r="AA770" s="776"/>
      <c r="AB770" s="776"/>
    </row>
    <row r="771" spans="1:28" ht="15.75" customHeight="1">
      <c r="A771" s="776"/>
      <c r="B771" s="776"/>
      <c r="C771" s="776"/>
      <c r="D771" s="776"/>
      <c r="E771" s="777"/>
      <c r="F771" s="776"/>
      <c r="G771" s="777"/>
      <c r="H771" s="776"/>
      <c r="I771" s="777"/>
      <c r="J771" s="777"/>
      <c r="K771" s="786"/>
      <c r="L771" s="777"/>
      <c r="M771" s="785"/>
      <c r="N771" s="785"/>
      <c r="O771" s="785"/>
      <c r="P771" s="785"/>
      <c r="Q771" s="785"/>
      <c r="R771" s="785"/>
      <c r="S771" s="776"/>
      <c r="T771" s="776"/>
      <c r="U771" s="776"/>
      <c r="V771" s="776"/>
      <c r="W771" s="776"/>
      <c r="X771" s="776"/>
      <c r="Y771" s="785"/>
      <c r="Z771" s="776"/>
      <c r="AA771" s="776"/>
      <c r="AB771" s="776"/>
    </row>
    <row r="772" spans="1:28" ht="15.75" customHeight="1">
      <c r="A772" s="776"/>
      <c r="B772" s="776"/>
      <c r="C772" s="776"/>
      <c r="D772" s="776"/>
      <c r="E772" s="777"/>
      <c r="F772" s="776"/>
      <c r="G772" s="777"/>
      <c r="H772" s="776"/>
      <c r="I772" s="777"/>
      <c r="J772" s="777"/>
      <c r="K772" s="786"/>
      <c r="L772" s="777"/>
      <c r="M772" s="785"/>
      <c r="N772" s="785"/>
      <c r="O772" s="785"/>
      <c r="P772" s="785"/>
      <c r="Q772" s="785"/>
      <c r="R772" s="785"/>
      <c r="S772" s="776"/>
      <c r="T772" s="776"/>
      <c r="U772" s="776"/>
      <c r="V772" s="776"/>
      <c r="W772" s="776"/>
      <c r="X772" s="776"/>
      <c r="Y772" s="785"/>
      <c r="Z772" s="776"/>
      <c r="AA772" s="776"/>
      <c r="AB772" s="776"/>
    </row>
    <row r="773" spans="1:28" ht="15.75" customHeight="1">
      <c r="A773" s="776"/>
      <c r="B773" s="776"/>
      <c r="C773" s="776"/>
      <c r="D773" s="776"/>
      <c r="E773" s="777"/>
      <c r="F773" s="776"/>
      <c r="G773" s="777"/>
      <c r="H773" s="776"/>
      <c r="I773" s="777"/>
      <c r="J773" s="777"/>
      <c r="K773" s="786"/>
      <c r="L773" s="777"/>
      <c r="M773" s="785"/>
      <c r="N773" s="785"/>
      <c r="O773" s="785"/>
      <c r="P773" s="785"/>
      <c r="Q773" s="785"/>
      <c r="R773" s="785"/>
      <c r="S773" s="776"/>
      <c r="T773" s="776"/>
      <c r="U773" s="776"/>
      <c r="V773" s="776"/>
      <c r="W773" s="776"/>
      <c r="X773" s="776"/>
      <c r="Y773" s="785"/>
      <c r="Z773" s="776"/>
      <c r="AA773" s="776"/>
      <c r="AB773" s="776"/>
    </row>
    <row r="774" spans="1:28" ht="15.75" customHeight="1">
      <c r="A774" s="776"/>
      <c r="B774" s="776"/>
      <c r="C774" s="776"/>
      <c r="D774" s="776"/>
      <c r="E774" s="777"/>
      <c r="F774" s="776"/>
      <c r="G774" s="777"/>
      <c r="H774" s="776"/>
      <c r="I774" s="777"/>
      <c r="J774" s="777"/>
      <c r="K774" s="786"/>
      <c r="L774" s="777"/>
      <c r="M774" s="785"/>
      <c r="N774" s="785"/>
      <c r="O774" s="785"/>
      <c r="P774" s="785"/>
      <c r="Q774" s="785"/>
      <c r="R774" s="785"/>
      <c r="S774" s="776"/>
      <c r="T774" s="776"/>
      <c r="U774" s="776"/>
      <c r="V774" s="776"/>
      <c r="W774" s="776"/>
      <c r="X774" s="776"/>
      <c r="Y774" s="785"/>
      <c r="Z774" s="776"/>
      <c r="AA774" s="776"/>
      <c r="AB774" s="776"/>
    </row>
    <row r="775" spans="1:28" ht="15.75" customHeight="1">
      <c r="A775" s="776"/>
      <c r="B775" s="776"/>
      <c r="C775" s="776"/>
      <c r="D775" s="776"/>
      <c r="E775" s="777"/>
      <c r="F775" s="776"/>
      <c r="G775" s="777"/>
      <c r="H775" s="776"/>
      <c r="I775" s="777"/>
      <c r="J775" s="777"/>
      <c r="K775" s="786"/>
      <c r="L775" s="777"/>
      <c r="M775" s="785"/>
      <c r="N775" s="785"/>
      <c r="O775" s="785"/>
      <c r="P775" s="785"/>
      <c r="Q775" s="785"/>
      <c r="R775" s="785"/>
      <c r="S775" s="776"/>
      <c r="T775" s="776"/>
      <c r="U775" s="776"/>
      <c r="V775" s="776"/>
      <c r="W775" s="776"/>
      <c r="X775" s="776"/>
      <c r="Y775" s="785"/>
      <c r="Z775" s="776"/>
      <c r="AA775" s="776"/>
      <c r="AB775" s="776"/>
    </row>
    <row r="776" spans="1:28" ht="15.75" customHeight="1">
      <c r="A776" s="776"/>
      <c r="B776" s="776"/>
      <c r="C776" s="776"/>
      <c r="D776" s="776"/>
      <c r="E776" s="777"/>
      <c r="F776" s="776"/>
      <c r="G776" s="777"/>
      <c r="H776" s="776"/>
      <c r="I776" s="777"/>
      <c r="J776" s="777"/>
      <c r="K776" s="786"/>
      <c r="L776" s="777"/>
      <c r="M776" s="785"/>
      <c r="N776" s="785"/>
      <c r="O776" s="785"/>
      <c r="P776" s="785"/>
      <c r="Q776" s="785"/>
      <c r="R776" s="785"/>
      <c r="S776" s="776"/>
      <c r="T776" s="776"/>
      <c r="U776" s="776"/>
      <c r="V776" s="776"/>
      <c r="W776" s="776"/>
      <c r="X776" s="776"/>
      <c r="Y776" s="785"/>
      <c r="Z776" s="776"/>
      <c r="AA776" s="776"/>
      <c r="AB776" s="776"/>
    </row>
    <row r="777" spans="1:28" ht="15.75" customHeight="1">
      <c r="A777" s="776"/>
      <c r="B777" s="776"/>
      <c r="C777" s="776"/>
      <c r="D777" s="776"/>
      <c r="E777" s="777"/>
      <c r="F777" s="776"/>
      <c r="G777" s="777"/>
      <c r="H777" s="776"/>
      <c r="I777" s="777"/>
      <c r="J777" s="777"/>
      <c r="K777" s="786"/>
      <c r="L777" s="777"/>
      <c r="M777" s="785"/>
      <c r="N777" s="785"/>
      <c r="O777" s="785"/>
      <c r="P777" s="785"/>
      <c r="Q777" s="785"/>
      <c r="R777" s="785"/>
      <c r="S777" s="776"/>
      <c r="T777" s="776"/>
      <c r="U777" s="776"/>
      <c r="V777" s="776"/>
      <c r="W777" s="776"/>
      <c r="X777" s="776"/>
      <c r="Y777" s="785"/>
      <c r="Z777" s="776"/>
      <c r="AA777" s="776"/>
      <c r="AB777" s="776"/>
    </row>
    <row r="778" spans="1:28" ht="15.75" customHeight="1">
      <c r="A778" s="776"/>
      <c r="B778" s="776"/>
      <c r="C778" s="776"/>
      <c r="D778" s="776"/>
      <c r="E778" s="777"/>
      <c r="F778" s="776"/>
      <c r="G778" s="777"/>
      <c r="H778" s="776"/>
      <c r="I778" s="777"/>
      <c r="J778" s="777"/>
      <c r="K778" s="786"/>
      <c r="L778" s="777"/>
      <c r="M778" s="785"/>
      <c r="N778" s="785"/>
      <c r="O778" s="785"/>
      <c r="P778" s="785"/>
      <c r="Q778" s="785"/>
      <c r="R778" s="785"/>
      <c r="S778" s="776"/>
      <c r="T778" s="776"/>
      <c r="U778" s="776"/>
      <c r="V778" s="776"/>
      <c r="W778" s="776"/>
      <c r="X778" s="776"/>
      <c r="Y778" s="785"/>
      <c r="Z778" s="776"/>
      <c r="AA778" s="776"/>
      <c r="AB778" s="776"/>
    </row>
    <row r="779" spans="1:28" ht="15.75" customHeight="1">
      <c r="A779" s="776"/>
      <c r="B779" s="776"/>
      <c r="C779" s="776"/>
      <c r="D779" s="776"/>
      <c r="E779" s="777"/>
      <c r="F779" s="776"/>
      <c r="G779" s="777"/>
      <c r="H779" s="776"/>
      <c r="I779" s="777"/>
      <c r="J779" s="777"/>
      <c r="K779" s="786"/>
      <c r="L779" s="777"/>
      <c r="M779" s="785"/>
      <c r="N779" s="785"/>
      <c r="O779" s="785"/>
      <c r="P779" s="785"/>
      <c r="Q779" s="785"/>
      <c r="R779" s="785"/>
      <c r="S779" s="776"/>
      <c r="T779" s="776"/>
      <c r="U779" s="776"/>
      <c r="V779" s="776"/>
      <c r="W779" s="776"/>
      <c r="X779" s="776"/>
      <c r="Y779" s="785"/>
      <c r="Z779" s="776"/>
      <c r="AA779" s="776"/>
      <c r="AB779" s="776"/>
    </row>
    <row r="780" spans="1:28" ht="15.75" customHeight="1">
      <c r="A780" s="776"/>
      <c r="B780" s="776"/>
      <c r="C780" s="776"/>
      <c r="D780" s="776"/>
      <c r="E780" s="777"/>
      <c r="F780" s="776"/>
      <c r="G780" s="777"/>
      <c r="H780" s="776"/>
      <c r="I780" s="777"/>
      <c r="J780" s="777"/>
      <c r="K780" s="786"/>
      <c r="L780" s="777"/>
      <c r="M780" s="785"/>
      <c r="N780" s="785"/>
      <c r="O780" s="785"/>
      <c r="P780" s="785"/>
      <c r="Q780" s="785"/>
      <c r="R780" s="785"/>
      <c r="S780" s="776"/>
      <c r="T780" s="776"/>
      <c r="U780" s="776"/>
      <c r="V780" s="776"/>
      <c r="W780" s="776"/>
      <c r="X780" s="776"/>
      <c r="Y780" s="785"/>
      <c r="Z780" s="776"/>
      <c r="AA780" s="776"/>
      <c r="AB780" s="776"/>
    </row>
    <row r="781" spans="1:28" ht="15.75" customHeight="1">
      <c r="A781" s="776"/>
      <c r="B781" s="776"/>
      <c r="C781" s="776"/>
      <c r="D781" s="776"/>
      <c r="E781" s="777"/>
      <c r="F781" s="776"/>
      <c r="G781" s="777"/>
      <c r="H781" s="776"/>
      <c r="I781" s="777"/>
      <c r="J781" s="777"/>
      <c r="K781" s="786"/>
      <c r="L781" s="777"/>
      <c r="M781" s="785"/>
      <c r="N781" s="785"/>
      <c r="O781" s="785"/>
      <c r="P781" s="785"/>
      <c r="Q781" s="785"/>
      <c r="R781" s="785"/>
      <c r="S781" s="776"/>
      <c r="T781" s="776"/>
      <c r="U781" s="776"/>
      <c r="V781" s="776"/>
      <c r="W781" s="776"/>
      <c r="X781" s="776"/>
      <c r="Y781" s="785"/>
      <c r="Z781" s="776"/>
      <c r="AA781" s="776"/>
      <c r="AB781" s="776"/>
    </row>
    <row r="782" spans="1:28" ht="15.75" customHeight="1">
      <c r="A782" s="776"/>
      <c r="B782" s="776"/>
      <c r="C782" s="776"/>
      <c r="D782" s="776"/>
      <c r="E782" s="777"/>
      <c r="F782" s="776"/>
      <c r="G782" s="777"/>
      <c r="H782" s="776"/>
      <c r="I782" s="777"/>
      <c r="J782" s="777"/>
      <c r="K782" s="786"/>
      <c r="L782" s="777"/>
      <c r="M782" s="785"/>
      <c r="N782" s="785"/>
      <c r="O782" s="785"/>
      <c r="P782" s="785"/>
      <c r="Q782" s="785"/>
      <c r="R782" s="785"/>
      <c r="S782" s="776"/>
      <c r="T782" s="776"/>
      <c r="U782" s="776"/>
      <c r="V782" s="776"/>
      <c r="W782" s="776"/>
      <c r="X782" s="776"/>
      <c r="Y782" s="785"/>
      <c r="Z782" s="776"/>
      <c r="AA782" s="776"/>
      <c r="AB782" s="776"/>
    </row>
    <row r="783" spans="1:28" ht="15.75" customHeight="1">
      <c r="A783" s="776"/>
      <c r="B783" s="776"/>
      <c r="C783" s="776"/>
      <c r="D783" s="776"/>
      <c r="E783" s="777"/>
      <c r="F783" s="776"/>
      <c r="G783" s="777"/>
      <c r="H783" s="776"/>
      <c r="I783" s="777"/>
      <c r="J783" s="777"/>
      <c r="K783" s="786"/>
      <c r="L783" s="777"/>
      <c r="M783" s="785"/>
      <c r="N783" s="785"/>
      <c r="O783" s="785"/>
      <c r="P783" s="785"/>
      <c r="Q783" s="785"/>
      <c r="R783" s="785"/>
      <c r="S783" s="776"/>
      <c r="T783" s="776"/>
      <c r="U783" s="776"/>
      <c r="V783" s="776"/>
      <c r="W783" s="776"/>
      <c r="X783" s="776"/>
      <c r="Y783" s="785"/>
      <c r="Z783" s="776"/>
      <c r="AA783" s="776"/>
      <c r="AB783" s="776"/>
    </row>
    <row r="784" spans="1:28" ht="15.75" customHeight="1">
      <c r="A784" s="776"/>
      <c r="B784" s="776"/>
      <c r="C784" s="776"/>
      <c r="D784" s="776"/>
      <c r="E784" s="777"/>
      <c r="F784" s="776"/>
      <c r="G784" s="777"/>
      <c r="H784" s="776"/>
      <c r="I784" s="777"/>
      <c r="J784" s="777"/>
      <c r="K784" s="786"/>
      <c r="L784" s="777"/>
      <c r="M784" s="785"/>
      <c r="N784" s="785"/>
      <c r="O784" s="785"/>
      <c r="P784" s="785"/>
      <c r="Q784" s="785"/>
      <c r="R784" s="785"/>
      <c r="S784" s="776"/>
      <c r="T784" s="776"/>
      <c r="U784" s="776"/>
      <c r="V784" s="776"/>
      <c r="W784" s="776"/>
      <c r="X784" s="776"/>
      <c r="Y784" s="785"/>
      <c r="Z784" s="776"/>
      <c r="AA784" s="776"/>
      <c r="AB784" s="776"/>
    </row>
    <row r="785" spans="1:28" ht="15.75" customHeight="1">
      <c r="A785" s="776"/>
      <c r="B785" s="776"/>
      <c r="C785" s="776"/>
      <c r="D785" s="776"/>
      <c r="E785" s="777"/>
      <c r="F785" s="776"/>
      <c r="G785" s="777"/>
      <c r="H785" s="776"/>
      <c r="I785" s="777"/>
      <c r="J785" s="777"/>
      <c r="K785" s="786"/>
      <c r="L785" s="777"/>
      <c r="M785" s="785"/>
      <c r="N785" s="785"/>
      <c r="O785" s="785"/>
      <c r="P785" s="785"/>
      <c r="Q785" s="785"/>
      <c r="R785" s="785"/>
      <c r="S785" s="776"/>
      <c r="T785" s="776"/>
      <c r="U785" s="776"/>
      <c r="V785" s="776"/>
      <c r="W785" s="776"/>
      <c r="X785" s="776"/>
      <c r="Y785" s="785"/>
      <c r="Z785" s="776"/>
      <c r="AA785" s="776"/>
      <c r="AB785" s="776"/>
    </row>
    <row r="786" spans="1:28" ht="15.75" customHeight="1">
      <c r="A786" s="776"/>
      <c r="B786" s="776"/>
      <c r="C786" s="776"/>
      <c r="D786" s="776"/>
      <c r="E786" s="777"/>
      <c r="F786" s="776"/>
      <c r="G786" s="777"/>
      <c r="H786" s="776"/>
      <c r="I786" s="777"/>
      <c r="J786" s="777"/>
      <c r="K786" s="786"/>
      <c r="L786" s="777"/>
      <c r="M786" s="785"/>
      <c r="N786" s="785"/>
      <c r="O786" s="785"/>
      <c r="P786" s="785"/>
      <c r="Q786" s="785"/>
      <c r="R786" s="785"/>
      <c r="S786" s="776"/>
      <c r="T786" s="776"/>
      <c r="U786" s="776"/>
      <c r="V786" s="776"/>
      <c r="W786" s="776"/>
      <c r="X786" s="776"/>
      <c r="Y786" s="785"/>
      <c r="Z786" s="776"/>
      <c r="AA786" s="776"/>
      <c r="AB786" s="776"/>
    </row>
    <row r="787" spans="1:28" ht="15.75" customHeight="1">
      <c r="A787" s="776"/>
      <c r="B787" s="776"/>
      <c r="C787" s="776"/>
      <c r="D787" s="776"/>
      <c r="E787" s="777"/>
      <c r="F787" s="776"/>
      <c r="G787" s="777"/>
      <c r="H787" s="776"/>
      <c r="I787" s="777"/>
      <c r="J787" s="777"/>
      <c r="K787" s="786"/>
      <c r="L787" s="777"/>
      <c r="M787" s="785"/>
      <c r="N787" s="785"/>
      <c r="O787" s="785"/>
      <c r="P787" s="785"/>
      <c r="Q787" s="785"/>
      <c r="R787" s="785"/>
      <c r="S787" s="776"/>
      <c r="T787" s="776"/>
      <c r="U787" s="776"/>
      <c r="V787" s="776"/>
      <c r="W787" s="776"/>
      <c r="X787" s="776"/>
      <c r="Y787" s="785"/>
      <c r="Z787" s="776"/>
      <c r="AA787" s="776"/>
      <c r="AB787" s="776"/>
    </row>
    <row r="788" spans="1:28" ht="15.75" customHeight="1">
      <c r="A788" s="776"/>
      <c r="B788" s="776"/>
      <c r="C788" s="776"/>
      <c r="D788" s="776"/>
      <c r="E788" s="777"/>
      <c r="F788" s="776"/>
      <c r="G788" s="777"/>
      <c r="H788" s="776"/>
      <c r="I788" s="777"/>
      <c r="J788" s="777"/>
      <c r="K788" s="786"/>
      <c r="L788" s="777"/>
      <c r="M788" s="785"/>
      <c r="N788" s="785"/>
      <c r="O788" s="785"/>
      <c r="P788" s="785"/>
      <c r="Q788" s="785"/>
      <c r="R788" s="785"/>
      <c r="S788" s="776"/>
      <c r="T788" s="776"/>
      <c r="U788" s="776"/>
      <c r="V788" s="776"/>
      <c r="W788" s="776"/>
      <c r="X788" s="776"/>
      <c r="Y788" s="785"/>
      <c r="Z788" s="776"/>
      <c r="AA788" s="776"/>
      <c r="AB788" s="776"/>
    </row>
    <row r="789" spans="1:28" ht="15.75" customHeight="1">
      <c r="A789" s="776"/>
      <c r="B789" s="776"/>
      <c r="C789" s="776"/>
      <c r="D789" s="776"/>
      <c r="E789" s="777"/>
      <c r="F789" s="776"/>
      <c r="G789" s="777"/>
      <c r="H789" s="776"/>
      <c r="I789" s="777"/>
      <c r="J789" s="777"/>
      <c r="K789" s="786"/>
      <c r="L789" s="777"/>
      <c r="M789" s="785"/>
      <c r="N789" s="785"/>
      <c r="O789" s="785"/>
      <c r="P789" s="785"/>
      <c r="Q789" s="785"/>
      <c r="R789" s="785"/>
      <c r="S789" s="776"/>
      <c r="T789" s="776"/>
      <c r="U789" s="776"/>
      <c r="V789" s="776"/>
      <c r="W789" s="776"/>
      <c r="X789" s="776"/>
      <c r="Y789" s="785"/>
      <c r="Z789" s="776"/>
      <c r="AA789" s="776"/>
      <c r="AB789" s="776"/>
    </row>
    <row r="790" spans="1:28" ht="15.75" customHeight="1">
      <c r="A790" s="776"/>
      <c r="B790" s="776"/>
      <c r="C790" s="776"/>
      <c r="D790" s="776"/>
      <c r="E790" s="777"/>
      <c r="F790" s="776"/>
      <c r="G790" s="777"/>
      <c r="H790" s="776"/>
      <c r="I790" s="777"/>
      <c r="J790" s="777"/>
      <c r="K790" s="786"/>
      <c r="L790" s="777"/>
      <c r="M790" s="785"/>
      <c r="N790" s="785"/>
      <c r="O790" s="785"/>
      <c r="P790" s="785"/>
      <c r="Q790" s="785"/>
      <c r="R790" s="785"/>
      <c r="S790" s="776"/>
      <c r="T790" s="776"/>
      <c r="U790" s="776"/>
      <c r="V790" s="776"/>
      <c r="W790" s="776"/>
      <c r="X790" s="776"/>
      <c r="Y790" s="785"/>
      <c r="Z790" s="776"/>
      <c r="AA790" s="776"/>
      <c r="AB790" s="776"/>
    </row>
    <row r="791" spans="1:28" ht="15.75" customHeight="1">
      <c r="A791" s="776"/>
      <c r="B791" s="776"/>
      <c r="C791" s="776"/>
      <c r="D791" s="776"/>
      <c r="E791" s="777"/>
      <c r="F791" s="776"/>
      <c r="G791" s="777"/>
      <c r="H791" s="776"/>
      <c r="I791" s="777"/>
      <c r="J791" s="777"/>
      <c r="K791" s="786"/>
      <c r="L791" s="777"/>
      <c r="M791" s="785"/>
      <c r="N791" s="785"/>
      <c r="O791" s="785"/>
      <c r="P791" s="785"/>
      <c r="Q791" s="785"/>
      <c r="R791" s="785"/>
      <c r="S791" s="776"/>
      <c r="T791" s="776"/>
      <c r="U791" s="776"/>
      <c r="V791" s="776"/>
      <c r="W791" s="776"/>
      <c r="X791" s="776"/>
      <c r="Y791" s="785"/>
      <c r="Z791" s="776"/>
      <c r="AA791" s="776"/>
      <c r="AB791" s="776"/>
    </row>
    <row r="792" spans="1:28" ht="15.75" customHeight="1">
      <c r="A792" s="776"/>
      <c r="B792" s="776"/>
      <c r="C792" s="776"/>
      <c r="D792" s="776"/>
      <c r="E792" s="777"/>
      <c r="F792" s="776"/>
      <c r="G792" s="777"/>
      <c r="H792" s="776"/>
      <c r="I792" s="777"/>
      <c r="J792" s="777"/>
      <c r="K792" s="786"/>
      <c r="L792" s="777"/>
      <c r="M792" s="785"/>
      <c r="N792" s="785"/>
      <c r="O792" s="785"/>
      <c r="P792" s="785"/>
      <c r="Q792" s="785"/>
      <c r="R792" s="785"/>
      <c r="S792" s="776"/>
      <c r="T792" s="776"/>
      <c r="U792" s="776"/>
      <c r="V792" s="776"/>
      <c r="W792" s="776"/>
      <c r="X792" s="776"/>
      <c r="Y792" s="785"/>
      <c r="Z792" s="776"/>
      <c r="AA792" s="776"/>
      <c r="AB792" s="776"/>
    </row>
    <row r="793" spans="1:28" ht="15.75" customHeight="1">
      <c r="A793" s="776"/>
      <c r="B793" s="776"/>
      <c r="C793" s="776"/>
      <c r="D793" s="776"/>
      <c r="E793" s="777"/>
      <c r="F793" s="776"/>
      <c r="G793" s="777"/>
      <c r="H793" s="776"/>
      <c r="I793" s="777"/>
      <c r="J793" s="777"/>
      <c r="K793" s="786"/>
      <c r="L793" s="777"/>
      <c r="M793" s="785"/>
      <c r="N793" s="785"/>
      <c r="O793" s="785"/>
      <c r="P793" s="785"/>
      <c r="Q793" s="785"/>
      <c r="R793" s="785"/>
      <c r="S793" s="776"/>
      <c r="T793" s="776"/>
      <c r="U793" s="776"/>
      <c r="V793" s="776"/>
      <c r="W793" s="776"/>
      <c r="X793" s="776"/>
      <c r="Y793" s="785"/>
      <c r="Z793" s="776"/>
      <c r="AA793" s="776"/>
      <c r="AB793" s="776"/>
    </row>
    <row r="794" spans="1:28" ht="15.75" customHeight="1">
      <c r="A794" s="776"/>
      <c r="B794" s="776"/>
      <c r="C794" s="776"/>
      <c r="D794" s="776"/>
      <c r="E794" s="777"/>
      <c r="F794" s="776"/>
      <c r="G794" s="777"/>
      <c r="H794" s="776"/>
      <c r="I794" s="777"/>
      <c r="J794" s="777"/>
      <c r="K794" s="786"/>
      <c r="L794" s="777"/>
      <c r="M794" s="785"/>
      <c r="N794" s="785"/>
      <c r="O794" s="785"/>
      <c r="P794" s="785"/>
      <c r="Q794" s="785"/>
      <c r="R794" s="785"/>
      <c r="S794" s="776"/>
      <c r="T794" s="776"/>
      <c r="U794" s="776"/>
      <c r="V794" s="776"/>
      <c r="W794" s="776"/>
      <c r="X794" s="776"/>
      <c r="Y794" s="785"/>
      <c r="Z794" s="776"/>
      <c r="AA794" s="776"/>
      <c r="AB794" s="776"/>
    </row>
    <row r="795" spans="1:28" ht="15.75" customHeight="1">
      <c r="A795" s="776"/>
      <c r="B795" s="776"/>
      <c r="C795" s="776"/>
      <c r="D795" s="776"/>
      <c r="E795" s="777"/>
      <c r="F795" s="776"/>
      <c r="G795" s="777"/>
      <c r="H795" s="776"/>
      <c r="I795" s="777"/>
      <c r="J795" s="777"/>
      <c r="K795" s="786"/>
      <c r="L795" s="777"/>
      <c r="M795" s="785"/>
      <c r="N795" s="785"/>
      <c r="O795" s="785"/>
      <c r="P795" s="785"/>
      <c r="Q795" s="785"/>
      <c r="R795" s="785"/>
      <c r="S795" s="776"/>
      <c r="T795" s="776"/>
      <c r="U795" s="776"/>
      <c r="V795" s="776"/>
      <c r="W795" s="776"/>
      <c r="X795" s="776"/>
      <c r="Y795" s="785"/>
      <c r="Z795" s="776"/>
      <c r="AA795" s="776"/>
      <c r="AB795" s="776"/>
    </row>
    <row r="796" spans="1:28" ht="15.75" customHeight="1">
      <c r="A796" s="776"/>
      <c r="B796" s="776"/>
      <c r="C796" s="776"/>
      <c r="D796" s="776"/>
      <c r="E796" s="777"/>
      <c r="F796" s="776"/>
      <c r="G796" s="777"/>
      <c r="H796" s="776"/>
      <c r="I796" s="777"/>
      <c r="J796" s="777"/>
      <c r="K796" s="786"/>
      <c r="L796" s="777"/>
      <c r="M796" s="785"/>
      <c r="N796" s="785"/>
      <c r="O796" s="785"/>
      <c r="P796" s="785"/>
      <c r="Q796" s="785"/>
      <c r="R796" s="785"/>
      <c r="S796" s="776"/>
      <c r="T796" s="776"/>
      <c r="U796" s="776"/>
      <c r="V796" s="776"/>
      <c r="W796" s="776"/>
      <c r="X796" s="776"/>
      <c r="Y796" s="785"/>
      <c r="Z796" s="776"/>
      <c r="AA796" s="776"/>
      <c r="AB796" s="776"/>
    </row>
    <row r="797" spans="1:28" ht="15.75" customHeight="1">
      <c r="A797" s="776"/>
      <c r="B797" s="776"/>
      <c r="C797" s="776"/>
      <c r="D797" s="776"/>
      <c r="E797" s="777"/>
      <c r="F797" s="776"/>
      <c r="G797" s="777"/>
      <c r="H797" s="776"/>
      <c r="I797" s="777"/>
      <c r="J797" s="777"/>
      <c r="K797" s="786"/>
      <c r="L797" s="777"/>
      <c r="M797" s="785"/>
      <c r="N797" s="785"/>
      <c r="O797" s="785"/>
      <c r="P797" s="785"/>
      <c r="Q797" s="785"/>
      <c r="R797" s="785"/>
      <c r="S797" s="776"/>
      <c r="T797" s="776"/>
      <c r="U797" s="776"/>
      <c r="V797" s="776"/>
      <c r="W797" s="776"/>
      <c r="X797" s="776"/>
      <c r="Y797" s="785"/>
      <c r="Z797" s="776"/>
      <c r="AA797" s="776"/>
      <c r="AB797" s="776"/>
    </row>
    <row r="798" spans="1:28" ht="15.75" customHeight="1">
      <c r="A798" s="776"/>
      <c r="B798" s="776"/>
      <c r="C798" s="776"/>
      <c r="D798" s="776"/>
      <c r="E798" s="777"/>
      <c r="F798" s="776"/>
      <c r="G798" s="777"/>
      <c r="H798" s="776"/>
      <c r="I798" s="777"/>
      <c r="J798" s="777"/>
      <c r="K798" s="786"/>
      <c r="L798" s="777"/>
      <c r="M798" s="785"/>
      <c r="N798" s="785"/>
      <c r="O798" s="785"/>
      <c r="P798" s="785"/>
      <c r="Q798" s="785"/>
      <c r="R798" s="785"/>
      <c r="S798" s="776"/>
      <c r="T798" s="776"/>
      <c r="U798" s="776"/>
      <c r="V798" s="776"/>
      <c r="W798" s="776"/>
      <c r="X798" s="776"/>
      <c r="Y798" s="785"/>
      <c r="Z798" s="776"/>
      <c r="AA798" s="776"/>
      <c r="AB798" s="776"/>
    </row>
    <row r="799" spans="1:28" ht="15.75" customHeight="1">
      <c r="A799" s="776"/>
      <c r="B799" s="776"/>
      <c r="C799" s="776"/>
      <c r="D799" s="776"/>
      <c r="E799" s="777"/>
      <c r="F799" s="776"/>
      <c r="G799" s="777"/>
      <c r="H799" s="776"/>
      <c r="I799" s="777"/>
      <c r="J799" s="777"/>
      <c r="K799" s="786"/>
      <c r="L799" s="777"/>
      <c r="M799" s="785"/>
      <c r="N799" s="785"/>
      <c r="O799" s="785"/>
      <c r="P799" s="785"/>
      <c r="Q799" s="785"/>
      <c r="R799" s="785"/>
      <c r="S799" s="776"/>
      <c r="T799" s="776"/>
      <c r="U799" s="776"/>
      <c r="V799" s="776"/>
      <c r="W799" s="776"/>
      <c r="X799" s="776"/>
      <c r="Y799" s="785"/>
      <c r="Z799" s="776"/>
      <c r="AA799" s="776"/>
      <c r="AB799" s="776"/>
    </row>
    <row r="800" spans="1:28" ht="15.75" customHeight="1">
      <c r="A800" s="776"/>
      <c r="B800" s="776"/>
      <c r="C800" s="776"/>
      <c r="D800" s="776"/>
      <c r="E800" s="777"/>
      <c r="F800" s="776"/>
      <c r="G800" s="777"/>
      <c r="H800" s="776"/>
      <c r="I800" s="777"/>
      <c r="J800" s="777"/>
      <c r="K800" s="786"/>
      <c r="L800" s="777"/>
      <c r="M800" s="785"/>
      <c r="N800" s="785"/>
      <c r="O800" s="785"/>
      <c r="P800" s="785"/>
      <c r="Q800" s="785"/>
      <c r="R800" s="785"/>
      <c r="S800" s="776"/>
      <c r="T800" s="776"/>
      <c r="U800" s="776"/>
      <c r="V800" s="776"/>
      <c r="W800" s="776"/>
      <c r="X800" s="776"/>
      <c r="Y800" s="785"/>
      <c r="Z800" s="776"/>
      <c r="AA800" s="776"/>
      <c r="AB800" s="776"/>
    </row>
    <row r="801" spans="1:28" ht="15.75" customHeight="1">
      <c r="A801" s="776"/>
      <c r="B801" s="776"/>
      <c r="C801" s="776"/>
      <c r="D801" s="776"/>
      <c r="E801" s="777"/>
      <c r="F801" s="776"/>
      <c r="G801" s="777"/>
      <c r="H801" s="776"/>
      <c r="I801" s="777"/>
      <c r="J801" s="777"/>
      <c r="K801" s="786"/>
      <c r="L801" s="777"/>
      <c r="M801" s="785"/>
      <c r="N801" s="785"/>
      <c r="O801" s="785"/>
      <c r="P801" s="785"/>
      <c r="Q801" s="785"/>
      <c r="R801" s="785"/>
      <c r="S801" s="776"/>
      <c r="T801" s="776"/>
      <c r="U801" s="776"/>
      <c r="V801" s="776"/>
      <c r="W801" s="776"/>
      <c r="X801" s="776"/>
      <c r="Y801" s="785"/>
      <c r="Z801" s="776"/>
      <c r="AA801" s="776"/>
      <c r="AB801" s="776"/>
    </row>
    <row r="802" spans="1:28" ht="15.75" customHeight="1">
      <c r="A802" s="776"/>
      <c r="B802" s="776"/>
      <c r="C802" s="776"/>
      <c r="D802" s="776"/>
      <c r="E802" s="777"/>
      <c r="F802" s="776"/>
      <c r="G802" s="777"/>
      <c r="H802" s="776"/>
      <c r="I802" s="777"/>
      <c r="J802" s="777"/>
      <c r="K802" s="786"/>
      <c r="L802" s="777"/>
      <c r="M802" s="785"/>
      <c r="N802" s="785"/>
      <c r="O802" s="785"/>
      <c r="P802" s="785"/>
      <c r="Q802" s="785"/>
      <c r="R802" s="785"/>
      <c r="S802" s="776"/>
      <c r="T802" s="776"/>
      <c r="U802" s="776"/>
      <c r="V802" s="776"/>
      <c r="W802" s="776"/>
      <c r="X802" s="776"/>
      <c r="Y802" s="785"/>
      <c r="Z802" s="776"/>
      <c r="AA802" s="776"/>
      <c r="AB802" s="776"/>
    </row>
    <row r="803" spans="1:28" ht="15.75" customHeight="1">
      <c r="A803" s="776"/>
      <c r="B803" s="776"/>
      <c r="C803" s="776"/>
      <c r="D803" s="776"/>
      <c r="E803" s="777"/>
      <c r="F803" s="776"/>
      <c r="G803" s="777"/>
      <c r="H803" s="776"/>
      <c r="I803" s="777"/>
      <c r="J803" s="777"/>
      <c r="K803" s="786"/>
      <c r="L803" s="777"/>
      <c r="M803" s="785"/>
      <c r="N803" s="785"/>
      <c r="O803" s="785"/>
      <c r="P803" s="785"/>
      <c r="Q803" s="785"/>
      <c r="R803" s="785"/>
      <c r="S803" s="776"/>
      <c r="T803" s="776"/>
      <c r="U803" s="776"/>
      <c r="V803" s="776"/>
      <c r="W803" s="776"/>
      <c r="X803" s="776"/>
      <c r="Y803" s="785"/>
      <c r="Z803" s="776"/>
      <c r="AA803" s="776"/>
      <c r="AB803" s="776"/>
    </row>
    <row r="804" spans="1:28" ht="15.75" customHeight="1">
      <c r="A804" s="776"/>
      <c r="B804" s="776"/>
      <c r="C804" s="776"/>
      <c r="D804" s="776"/>
      <c r="E804" s="777"/>
      <c r="F804" s="776"/>
      <c r="G804" s="777"/>
      <c r="H804" s="776"/>
      <c r="I804" s="777"/>
      <c r="J804" s="777"/>
      <c r="K804" s="786"/>
      <c r="L804" s="777"/>
      <c r="M804" s="785"/>
      <c r="N804" s="785"/>
      <c r="O804" s="785"/>
      <c r="P804" s="785"/>
      <c r="Q804" s="785"/>
      <c r="R804" s="785"/>
      <c r="S804" s="776"/>
      <c r="T804" s="776"/>
      <c r="U804" s="776"/>
      <c r="V804" s="776"/>
      <c r="W804" s="776"/>
      <c r="X804" s="776"/>
      <c r="Y804" s="785"/>
      <c r="Z804" s="776"/>
      <c r="AA804" s="776"/>
      <c r="AB804" s="776"/>
    </row>
    <row r="805" spans="1:28" ht="15.75" customHeight="1">
      <c r="A805" s="776"/>
      <c r="B805" s="776"/>
      <c r="C805" s="776"/>
      <c r="D805" s="776"/>
      <c r="E805" s="777"/>
      <c r="F805" s="776"/>
      <c r="G805" s="777"/>
      <c r="H805" s="776"/>
      <c r="I805" s="777"/>
      <c r="J805" s="777"/>
      <c r="K805" s="786"/>
      <c r="L805" s="777"/>
      <c r="M805" s="785"/>
      <c r="N805" s="785"/>
      <c r="O805" s="785"/>
      <c r="P805" s="785"/>
      <c r="Q805" s="785"/>
      <c r="R805" s="785"/>
      <c r="S805" s="776"/>
      <c r="T805" s="776"/>
      <c r="U805" s="776"/>
      <c r="V805" s="776"/>
      <c r="W805" s="776"/>
      <c r="X805" s="776"/>
      <c r="Y805" s="785"/>
      <c r="Z805" s="776"/>
      <c r="AA805" s="776"/>
      <c r="AB805" s="776"/>
    </row>
    <row r="806" spans="1:28" ht="15.75" customHeight="1">
      <c r="A806" s="776"/>
      <c r="B806" s="776"/>
      <c r="C806" s="776"/>
      <c r="D806" s="776"/>
      <c r="E806" s="777"/>
      <c r="F806" s="776"/>
      <c r="G806" s="777"/>
      <c r="H806" s="776"/>
      <c r="I806" s="777"/>
      <c r="J806" s="777"/>
      <c r="K806" s="786"/>
      <c r="L806" s="777"/>
      <c r="M806" s="785"/>
      <c r="N806" s="785"/>
      <c r="O806" s="785"/>
      <c r="P806" s="785"/>
      <c r="Q806" s="785"/>
      <c r="R806" s="785"/>
      <c r="S806" s="776"/>
      <c r="T806" s="776"/>
      <c r="U806" s="776"/>
      <c r="V806" s="776"/>
      <c r="W806" s="776"/>
      <c r="X806" s="776"/>
      <c r="Y806" s="785"/>
      <c r="Z806" s="776"/>
      <c r="AA806" s="776"/>
      <c r="AB806" s="776"/>
    </row>
    <row r="807" spans="1:28" ht="15.75" customHeight="1">
      <c r="A807" s="776"/>
      <c r="B807" s="776"/>
      <c r="C807" s="776"/>
      <c r="D807" s="776"/>
      <c r="E807" s="777"/>
      <c r="F807" s="776"/>
      <c r="G807" s="777"/>
      <c r="H807" s="776"/>
      <c r="I807" s="777"/>
      <c r="J807" s="777"/>
      <c r="K807" s="786"/>
      <c r="L807" s="777"/>
      <c r="M807" s="785"/>
      <c r="N807" s="785"/>
      <c r="O807" s="785"/>
      <c r="P807" s="785"/>
      <c r="Q807" s="785"/>
      <c r="R807" s="785"/>
      <c r="S807" s="776"/>
      <c r="T807" s="776"/>
      <c r="U807" s="776"/>
      <c r="V807" s="776"/>
      <c r="W807" s="776"/>
      <c r="X807" s="776"/>
      <c r="Y807" s="785"/>
      <c r="Z807" s="776"/>
      <c r="AA807" s="776"/>
      <c r="AB807" s="776"/>
    </row>
    <row r="808" spans="1:28" ht="15.75" customHeight="1">
      <c r="A808" s="776"/>
      <c r="B808" s="776"/>
      <c r="C808" s="776"/>
      <c r="D808" s="776"/>
      <c r="E808" s="777"/>
      <c r="F808" s="776"/>
      <c r="G808" s="777"/>
      <c r="H808" s="776"/>
      <c r="I808" s="777"/>
      <c r="J808" s="777"/>
      <c r="K808" s="786"/>
      <c r="L808" s="777"/>
      <c r="M808" s="785"/>
      <c r="N808" s="785"/>
      <c r="O808" s="785"/>
      <c r="P808" s="785"/>
      <c r="Q808" s="785"/>
      <c r="R808" s="785"/>
      <c r="S808" s="776"/>
      <c r="T808" s="776"/>
      <c r="U808" s="776"/>
      <c r="V808" s="776"/>
      <c r="W808" s="776"/>
      <c r="X808" s="776"/>
      <c r="Y808" s="785"/>
      <c r="Z808" s="776"/>
      <c r="AA808" s="776"/>
      <c r="AB808" s="776"/>
    </row>
    <row r="809" spans="1:28" ht="15.75" customHeight="1">
      <c r="A809" s="776"/>
      <c r="B809" s="776"/>
      <c r="C809" s="776"/>
      <c r="D809" s="776"/>
      <c r="E809" s="777"/>
      <c r="F809" s="776"/>
      <c r="G809" s="777"/>
      <c r="H809" s="776"/>
      <c r="I809" s="777"/>
      <c r="J809" s="777"/>
      <c r="K809" s="786"/>
      <c r="L809" s="777"/>
      <c r="M809" s="785"/>
      <c r="N809" s="785"/>
      <c r="O809" s="785"/>
      <c r="P809" s="785"/>
      <c r="Q809" s="785"/>
      <c r="R809" s="785"/>
      <c r="S809" s="776"/>
      <c r="T809" s="776"/>
      <c r="U809" s="776"/>
      <c r="V809" s="776"/>
      <c r="W809" s="776"/>
      <c r="X809" s="776"/>
      <c r="Y809" s="785"/>
      <c r="Z809" s="776"/>
      <c r="AA809" s="776"/>
      <c r="AB809" s="776"/>
    </row>
    <row r="810" spans="1:28" ht="15.75" customHeight="1">
      <c r="A810" s="776"/>
      <c r="B810" s="776"/>
      <c r="C810" s="776"/>
      <c r="D810" s="776"/>
      <c r="E810" s="777"/>
      <c r="F810" s="776"/>
      <c r="G810" s="777"/>
      <c r="H810" s="776"/>
      <c r="I810" s="777"/>
      <c r="J810" s="777"/>
      <c r="K810" s="786"/>
      <c r="L810" s="777"/>
      <c r="M810" s="785"/>
      <c r="N810" s="785"/>
      <c r="O810" s="785"/>
      <c r="P810" s="785"/>
      <c r="Q810" s="785"/>
      <c r="R810" s="785"/>
      <c r="S810" s="776"/>
      <c r="T810" s="776"/>
      <c r="U810" s="776"/>
      <c r="V810" s="776"/>
      <c r="W810" s="776"/>
      <c r="X810" s="776"/>
      <c r="Y810" s="785"/>
      <c r="Z810" s="776"/>
      <c r="AA810" s="776"/>
      <c r="AB810" s="776"/>
    </row>
    <row r="811" spans="1:28" ht="15.75" customHeight="1">
      <c r="A811" s="776"/>
      <c r="B811" s="776"/>
      <c r="C811" s="776"/>
      <c r="D811" s="776"/>
      <c r="E811" s="777"/>
      <c r="F811" s="776"/>
      <c r="G811" s="777"/>
      <c r="H811" s="776"/>
      <c r="I811" s="777"/>
      <c r="J811" s="777"/>
      <c r="K811" s="786"/>
      <c r="L811" s="777"/>
      <c r="M811" s="785"/>
      <c r="N811" s="785"/>
      <c r="O811" s="785"/>
      <c r="P811" s="785"/>
      <c r="Q811" s="785"/>
      <c r="R811" s="785"/>
      <c r="S811" s="776"/>
      <c r="T811" s="776"/>
      <c r="U811" s="776"/>
      <c r="V811" s="776"/>
      <c r="W811" s="776"/>
      <c r="X811" s="776"/>
      <c r="Y811" s="785"/>
      <c r="Z811" s="776"/>
      <c r="AA811" s="776"/>
      <c r="AB811" s="776"/>
    </row>
    <row r="812" spans="1:28" ht="15.75" customHeight="1">
      <c r="A812" s="776"/>
      <c r="B812" s="776"/>
      <c r="C812" s="776"/>
      <c r="D812" s="776"/>
      <c r="E812" s="777"/>
      <c r="F812" s="776"/>
      <c r="G812" s="777"/>
      <c r="H812" s="776"/>
      <c r="I812" s="777"/>
      <c r="J812" s="777"/>
      <c r="K812" s="786"/>
      <c r="L812" s="777"/>
      <c r="M812" s="785"/>
      <c r="N812" s="785"/>
      <c r="O812" s="785"/>
      <c r="P812" s="785"/>
      <c r="Q812" s="785"/>
      <c r="R812" s="785"/>
      <c r="S812" s="776"/>
      <c r="T812" s="776"/>
      <c r="U812" s="776"/>
      <c r="V812" s="776"/>
      <c r="W812" s="776"/>
      <c r="X812" s="776"/>
      <c r="Y812" s="785"/>
      <c r="Z812" s="776"/>
      <c r="AA812" s="776"/>
      <c r="AB812" s="776"/>
    </row>
    <row r="813" spans="1:28" ht="15.75" customHeight="1">
      <c r="A813" s="776"/>
      <c r="B813" s="776"/>
      <c r="C813" s="776"/>
      <c r="D813" s="776"/>
      <c r="E813" s="777"/>
      <c r="F813" s="776"/>
      <c r="G813" s="777"/>
      <c r="H813" s="776"/>
      <c r="I813" s="777"/>
      <c r="J813" s="777"/>
      <c r="K813" s="786"/>
      <c r="L813" s="777"/>
      <c r="M813" s="785"/>
      <c r="N813" s="785"/>
      <c r="O813" s="785"/>
      <c r="P813" s="785"/>
      <c r="Q813" s="785"/>
      <c r="R813" s="785"/>
      <c r="S813" s="776"/>
      <c r="T813" s="776"/>
      <c r="U813" s="776"/>
      <c r="V813" s="776"/>
      <c r="W813" s="776"/>
      <c r="X813" s="776"/>
      <c r="Y813" s="785"/>
      <c r="Z813" s="776"/>
      <c r="AA813" s="776"/>
      <c r="AB813" s="776"/>
    </row>
    <row r="814" spans="1:28" ht="15.75" customHeight="1">
      <c r="A814" s="776"/>
      <c r="B814" s="776"/>
      <c r="C814" s="776"/>
      <c r="D814" s="776"/>
      <c r="E814" s="777"/>
      <c r="F814" s="776"/>
      <c r="G814" s="777"/>
      <c r="H814" s="776"/>
      <c r="I814" s="777"/>
      <c r="J814" s="777"/>
      <c r="K814" s="786"/>
      <c r="L814" s="777"/>
      <c r="M814" s="785"/>
      <c r="N814" s="785"/>
      <c r="O814" s="785"/>
      <c r="P814" s="785"/>
      <c r="Q814" s="785"/>
      <c r="R814" s="785"/>
      <c r="S814" s="776"/>
      <c r="T814" s="776"/>
      <c r="U814" s="776"/>
      <c r="V814" s="776"/>
      <c r="W814" s="776"/>
      <c r="X814" s="776"/>
      <c r="Y814" s="785"/>
      <c r="Z814" s="776"/>
      <c r="AA814" s="776"/>
      <c r="AB814" s="776"/>
    </row>
    <row r="815" spans="1:28" ht="15.75" customHeight="1">
      <c r="A815" s="776"/>
      <c r="B815" s="776"/>
      <c r="C815" s="776"/>
      <c r="D815" s="776"/>
      <c r="E815" s="777"/>
      <c r="F815" s="776"/>
      <c r="G815" s="777"/>
      <c r="H815" s="776"/>
      <c r="I815" s="777"/>
      <c r="J815" s="777"/>
      <c r="K815" s="786"/>
      <c r="L815" s="777"/>
      <c r="M815" s="785"/>
      <c r="N815" s="785"/>
      <c r="O815" s="785"/>
      <c r="P815" s="785"/>
      <c r="Q815" s="785"/>
      <c r="R815" s="785"/>
      <c r="S815" s="776"/>
      <c r="T815" s="776"/>
      <c r="U815" s="776"/>
      <c r="V815" s="776"/>
      <c r="W815" s="776"/>
      <c r="X815" s="776"/>
      <c r="Y815" s="785"/>
      <c r="Z815" s="776"/>
      <c r="AA815" s="776"/>
      <c r="AB815" s="776"/>
    </row>
    <row r="816" spans="1:28" ht="15.75" customHeight="1">
      <c r="A816" s="776"/>
      <c r="B816" s="776"/>
      <c r="C816" s="776"/>
      <c r="D816" s="776"/>
      <c r="E816" s="777"/>
      <c r="F816" s="776"/>
      <c r="G816" s="777"/>
      <c r="H816" s="776"/>
      <c r="I816" s="777"/>
      <c r="J816" s="777"/>
      <c r="K816" s="786"/>
      <c r="L816" s="777"/>
      <c r="M816" s="785"/>
      <c r="N816" s="785"/>
      <c r="O816" s="785"/>
      <c r="P816" s="785"/>
      <c r="Q816" s="785"/>
      <c r="R816" s="785"/>
      <c r="S816" s="776"/>
      <c r="T816" s="776"/>
      <c r="U816" s="776"/>
      <c r="V816" s="776"/>
      <c r="W816" s="776"/>
      <c r="X816" s="776"/>
      <c r="Y816" s="785"/>
      <c r="Z816" s="776"/>
      <c r="AA816" s="776"/>
      <c r="AB816" s="776"/>
    </row>
    <row r="817" spans="1:28" ht="15.75" customHeight="1">
      <c r="A817" s="776"/>
      <c r="B817" s="776"/>
      <c r="C817" s="776"/>
      <c r="D817" s="776"/>
      <c r="E817" s="777"/>
      <c r="F817" s="776"/>
      <c r="G817" s="777"/>
      <c r="H817" s="776"/>
      <c r="I817" s="777"/>
      <c r="J817" s="777"/>
      <c r="K817" s="786"/>
      <c r="L817" s="777"/>
      <c r="M817" s="785"/>
      <c r="N817" s="785"/>
      <c r="O817" s="785"/>
      <c r="P817" s="785"/>
      <c r="Q817" s="785"/>
      <c r="R817" s="785"/>
      <c r="S817" s="776"/>
      <c r="T817" s="776"/>
      <c r="U817" s="776"/>
      <c r="V817" s="776"/>
      <c r="W817" s="776"/>
      <c r="X817" s="776"/>
      <c r="Y817" s="785"/>
      <c r="Z817" s="776"/>
      <c r="AA817" s="776"/>
      <c r="AB817" s="776"/>
    </row>
    <row r="818" spans="1:28" ht="15.75" customHeight="1">
      <c r="A818" s="776"/>
      <c r="B818" s="776"/>
      <c r="C818" s="776"/>
      <c r="D818" s="776"/>
      <c r="E818" s="777"/>
      <c r="F818" s="776"/>
      <c r="G818" s="777"/>
      <c r="H818" s="776"/>
      <c r="I818" s="777"/>
      <c r="J818" s="777"/>
      <c r="K818" s="786"/>
      <c r="L818" s="777"/>
      <c r="M818" s="785"/>
      <c r="N818" s="785"/>
      <c r="O818" s="785"/>
      <c r="P818" s="785"/>
      <c r="Q818" s="785"/>
      <c r="R818" s="785"/>
      <c r="S818" s="776"/>
      <c r="T818" s="776"/>
      <c r="U818" s="776"/>
      <c r="V818" s="776"/>
      <c r="W818" s="776"/>
      <c r="X818" s="776"/>
      <c r="Y818" s="785"/>
      <c r="Z818" s="776"/>
      <c r="AA818" s="776"/>
      <c r="AB818" s="776"/>
    </row>
    <row r="819" spans="1:28" ht="15.75" customHeight="1">
      <c r="A819" s="776"/>
      <c r="B819" s="776"/>
      <c r="C819" s="776"/>
      <c r="D819" s="776"/>
      <c r="E819" s="777"/>
      <c r="F819" s="776"/>
      <c r="G819" s="777"/>
      <c r="H819" s="776"/>
      <c r="I819" s="777"/>
      <c r="J819" s="777"/>
      <c r="K819" s="786"/>
      <c r="L819" s="777"/>
      <c r="M819" s="785"/>
      <c r="N819" s="785"/>
      <c r="O819" s="785"/>
      <c r="P819" s="785"/>
      <c r="Q819" s="785"/>
      <c r="R819" s="785"/>
      <c r="S819" s="776"/>
      <c r="T819" s="776"/>
      <c r="U819" s="776"/>
      <c r="V819" s="776"/>
      <c r="W819" s="776"/>
      <c r="X819" s="776"/>
      <c r="Y819" s="785"/>
      <c r="Z819" s="776"/>
      <c r="AA819" s="776"/>
      <c r="AB819" s="776"/>
    </row>
    <row r="820" spans="1:28" ht="15.75" customHeight="1">
      <c r="A820" s="776"/>
      <c r="B820" s="776"/>
      <c r="C820" s="776"/>
      <c r="D820" s="776"/>
      <c r="E820" s="777"/>
      <c r="F820" s="776"/>
      <c r="G820" s="777"/>
      <c r="H820" s="776"/>
      <c r="I820" s="777"/>
      <c r="J820" s="777"/>
      <c r="K820" s="786"/>
      <c r="L820" s="777"/>
      <c r="M820" s="785"/>
      <c r="N820" s="785"/>
      <c r="O820" s="785"/>
      <c r="P820" s="785"/>
      <c r="Q820" s="785"/>
      <c r="R820" s="785"/>
      <c r="S820" s="776"/>
      <c r="T820" s="776"/>
      <c r="U820" s="776"/>
      <c r="V820" s="776"/>
      <c r="W820" s="776"/>
      <c r="X820" s="776"/>
      <c r="Y820" s="785"/>
      <c r="Z820" s="776"/>
      <c r="AA820" s="776"/>
      <c r="AB820" s="776"/>
    </row>
    <row r="821" spans="1:28" ht="15.75" customHeight="1">
      <c r="A821" s="776"/>
      <c r="B821" s="776"/>
      <c r="C821" s="776"/>
      <c r="D821" s="776"/>
      <c r="E821" s="777"/>
      <c r="F821" s="776"/>
      <c r="G821" s="777"/>
      <c r="H821" s="776"/>
      <c r="I821" s="777"/>
      <c r="J821" s="777"/>
      <c r="K821" s="786"/>
      <c r="L821" s="777"/>
      <c r="M821" s="785"/>
      <c r="N821" s="785"/>
      <c r="O821" s="785"/>
      <c r="P821" s="785"/>
      <c r="Q821" s="785"/>
      <c r="R821" s="785"/>
      <c r="S821" s="776"/>
      <c r="T821" s="776"/>
      <c r="U821" s="776"/>
      <c r="V821" s="776"/>
      <c r="W821" s="776"/>
      <c r="X821" s="776"/>
      <c r="Y821" s="785"/>
      <c r="Z821" s="776"/>
      <c r="AA821" s="776"/>
      <c r="AB821" s="776"/>
    </row>
    <row r="822" spans="1:28" ht="15.75" customHeight="1">
      <c r="A822" s="776"/>
      <c r="B822" s="776"/>
      <c r="C822" s="776"/>
      <c r="D822" s="776"/>
      <c r="E822" s="777"/>
      <c r="F822" s="776"/>
      <c r="G822" s="777"/>
      <c r="H822" s="776"/>
      <c r="I822" s="777"/>
      <c r="J822" s="777"/>
      <c r="K822" s="786"/>
      <c r="L822" s="777"/>
      <c r="M822" s="785"/>
      <c r="N822" s="785"/>
      <c r="O822" s="785"/>
      <c r="P822" s="785"/>
      <c r="Q822" s="785"/>
      <c r="R822" s="785"/>
      <c r="S822" s="776"/>
      <c r="T822" s="776"/>
      <c r="U822" s="776"/>
      <c r="V822" s="776"/>
      <c r="W822" s="776"/>
      <c r="X822" s="776"/>
      <c r="Y822" s="785"/>
      <c r="Z822" s="776"/>
      <c r="AA822" s="776"/>
      <c r="AB822" s="776"/>
    </row>
    <row r="823" spans="1:28" ht="15.75" customHeight="1">
      <c r="A823" s="776"/>
      <c r="B823" s="776"/>
      <c r="C823" s="776"/>
      <c r="D823" s="776"/>
      <c r="E823" s="777"/>
      <c r="F823" s="776"/>
      <c r="G823" s="777"/>
      <c r="H823" s="776"/>
      <c r="I823" s="777"/>
      <c r="J823" s="777"/>
      <c r="K823" s="786"/>
      <c r="L823" s="777"/>
      <c r="M823" s="785"/>
      <c r="N823" s="785"/>
      <c r="O823" s="785"/>
      <c r="P823" s="785"/>
      <c r="Q823" s="785"/>
      <c r="R823" s="785"/>
      <c r="S823" s="776"/>
      <c r="T823" s="776"/>
      <c r="U823" s="776"/>
      <c r="V823" s="776"/>
      <c r="W823" s="776"/>
      <c r="X823" s="776"/>
      <c r="Y823" s="785"/>
      <c r="Z823" s="776"/>
      <c r="AA823" s="776"/>
      <c r="AB823" s="776"/>
    </row>
    <row r="824" spans="1:28" ht="15.75" customHeight="1">
      <c r="A824" s="776"/>
      <c r="B824" s="776"/>
      <c r="C824" s="776"/>
      <c r="D824" s="776"/>
      <c r="E824" s="777"/>
      <c r="F824" s="776"/>
      <c r="G824" s="777"/>
      <c r="H824" s="776"/>
      <c r="I824" s="777"/>
      <c r="J824" s="777"/>
      <c r="K824" s="786"/>
      <c r="L824" s="777"/>
      <c r="M824" s="785"/>
      <c r="N824" s="785"/>
      <c r="O824" s="785"/>
      <c r="P824" s="785"/>
      <c r="Q824" s="785"/>
      <c r="R824" s="785"/>
      <c r="S824" s="776"/>
      <c r="T824" s="776"/>
      <c r="U824" s="776"/>
      <c r="V824" s="776"/>
      <c r="W824" s="776"/>
      <c r="X824" s="776"/>
      <c r="Y824" s="785"/>
      <c r="Z824" s="776"/>
      <c r="AA824" s="776"/>
      <c r="AB824" s="776"/>
    </row>
    <row r="825" spans="1:28" ht="15.75" customHeight="1">
      <c r="A825" s="776"/>
      <c r="B825" s="776"/>
      <c r="C825" s="776"/>
      <c r="D825" s="776"/>
      <c r="E825" s="777"/>
      <c r="F825" s="776"/>
      <c r="G825" s="777"/>
      <c r="H825" s="776"/>
      <c r="I825" s="777"/>
      <c r="J825" s="777"/>
      <c r="K825" s="786"/>
      <c r="L825" s="777"/>
      <c r="M825" s="785"/>
      <c r="N825" s="785"/>
      <c r="O825" s="785"/>
      <c r="P825" s="785"/>
      <c r="Q825" s="785"/>
      <c r="R825" s="785"/>
      <c r="S825" s="776"/>
      <c r="T825" s="776"/>
      <c r="U825" s="776"/>
      <c r="V825" s="776"/>
      <c r="W825" s="776"/>
      <c r="X825" s="776"/>
      <c r="Y825" s="785"/>
      <c r="Z825" s="776"/>
      <c r="AA825" s="776"/>
      <c r="AB825" s="776"/>
    </row>
    <row r="826" spans="1:28" ht="15.75" customHeight="1">
      <c r="A826" s="776"/>
      <c r="B826" s="776"/>
      <c r="C826" s="776"/>
      <c r="D826" s="776"/>
      <c r="E826" s="777"/>
      <c r="F826" s="776"/>
      <c r="G826" s="777"/>
      <c r="H826" s="776"/>
      <c r="I826" s="777"/>
      <c r="J826" s="777"/>
      <c r="K826" s="786"/>
      <c r="L826" s="777"/>
      <c r="M826" s="785"/>
      <c r="N826" s="785"/>
      <c r="O826" s="785"/>
      <c r="P826" s="785"/>
      <c r="Q826" s="785"/>
      <c r="R826" s="785"/>
      <c r="S826" s="776"/>
      <c r="T826" s="776"/>
      <c r="U826" s="776"/>
      <c r="V826" s="776"/>
      <c r="W826" s="776"/>
      <c r="X826" s="776"/>
      <c r="Y826" s="785"/>
      <c r="Z826" s="776"/>
      <c r="AA826" s="776"/>
      <c r="AB826" s="776"/>
    </row>
    <row r="827" spans="1:28" ht="15.75" customHeight="1">
      <c r="A827" s="776"/>
      <c r="B827" s="776"/>
      <c r="C827" s="776"/>
      <c r="D827" s="776"/>
      <c r="E827" s="777"/>
      <c r="F827" s="776"/>
      <c r="G827" s="777"/>
      <c r="H827" s="776"/>
      <c r="I827" s="777"/>
      <c r="J827" s="777"/>
      <c r="K827" s="786"/>
      <c r="L827" s="777"/>
      <c r="M827" s="785"/>
      <c r="N827" s="785"/>
      <c r="O827" s="785"/>
      <c r="P827" s="785"/>
      <c r="Q827" s="785"/>
      <c r="R827" s="785"/>
      <c r="S827" s="776"/>
      <c r="T827" s="776"/>
      <c r="U827" s="776"/>
      <c r="V827" s="776"/>
      <c r="W827" s="776"/>
      <c r="X827" s="776"/>
      <c r="Y827" s="785"/>
      <c r="Z827" s="776"/>
      <c r="AA827" s="776"/>
      <c r="AB827" s="776"/>
    </row>
    <row r="828" spans="1:28" ht="15.75" customHeight="1">
      <c r="A828" s="776"/>
      <c r="B828" s="776"/>
      <c r="C828" s="776"/>
      <c r="D828" s="776"/>
      <c r="E828" s="777"/>
      <c r="F828" s="776"/>
      <c r="G828" s="777"/>
      <c r="H828" s="776"/>
      <c r="I828" s="777"/>
      <c r="J828" s="777"/>
      <c r="K828" s="786"/>
      <c r="L828" s="777"/>
      <c r="M828" s="785"/>
      <c r="N828" s="785"/>
      <c r="O828" s="785"/>
      <c r="P828" s="785"/>
      <c r="Q828" s="785"/>
      <c r="R828" s="785"/>
      <c r="S828" s="776"/>
      <c r="T828" s="776"/>
      <c r="U828" s="776"/>
      <c r="V828" s="776"/>
      <c r="W828" s="776"/>
      <c r="X828" s="776"/>
      <c r="Y828" s="785"/>
      <c r="Z828" s="776"/>
      <c r="AA828" s="776"/>
      <c r="AB828" s="776"/>
    </row>
    <row r="829" spans="1:28" ht="15.75" customHeight="1">
      <c r="A829" s="776"/>
      <c r="B829" s="776"/>
      <c r="C829" s="776"/>
      <c r="D829" s="776"/>
      <c r="E829" s="777"/>
      <c r="F829" s="776"/>
      <c r="G829" s="777"/>
      <c r="H829" s="776"/>
      <c r="I829" s="777"/>
      <c r="J829" s="777"/>
      <c r="K829" s="786"/>
      <c r="L829" s="777"/>
      <c r="M829" s="785"/>
      <c r="N829" s="785"/>
      <c r="O829" s="785"/>
      <c r="P829" s="785"/>
      <c r="Q829" s="785"/>
      <c r="R829" s="785"/>
      <c r="S829" s="776"/>
      <c r="T829" s="776"/>
      <c r="U829" s="776"/>
      <c r="V829" s="776"/>
      <c r="W829" s="776"/>
      <c r="X829" s="776"/>
      <c r="Y829" s="785"/>
      <c r="Z829" s="776"/>
      <c r="AA829" s="776"/>
      <c r="AB829" s="776"/>
    </row>
    <row r="830" spans="1:28" ht="15.75" customHeight="1">
      <c r="A830" s="776"/>
      <c r="B830" s="776"/>
      <c r="C830" s="776"/>
      <c r="D830" s="776"/>
      <c r="E830" s="777"/>
      <c r="F830" s="776"/>
      <c r="G830" s="777"/>
      <c r="H830" s="776"/>
      <c r="I830" s="777"/>
      <c r="J830" s="777"/>
      <c r="K830" s="786"/>
      <c r="L830" s="777"/>
      <c r="M830" s="785"/>
      <c r="N830" s="785"/>
      <c r="O830" s="785"/>
      <c r="P830" s="785"/>
      <c r="Q830" s="785"/>
      <c r="R830" s="785"/>
      <c r="S830" s="776"/>
      <c r="T830" s="776"/>
      <c r="U830" s="776"/>
      <c r="V830" s="776"/>
      <c r="W830" s="776"/>
      <c r="X830" s="776"/>
      <c r="Y830" s="785"/>
      <c r="Z830" s="776"/>
      <c r="AA830" s="776"/>
      <c r="AB830" s="776"/>
    </row>
    <row r="831" spans="1:28" ht="15.75" customHeight="1">
      <c r="A831" s="776"/>
      <c r="B831" s="776"/>
      <c r="C831" s="776"/>
      <c r="D831" s="776"/>
      <c r="E831" s="777"/>
      <c r="F831" s="776"/>
      <c r="G831" s="777"/>
      <c r="H831" s="776"/>
      <c r="I831" s="777"/>
      <c r="J831" s="777"/>
      <c r="K831" s="786"/>
      <c r="L831" s="777"/>
      <c r="M831" s="785"/>
      <c r="N831" s="785"/>
      <c r="O831" s="785"/>
      <c r="P831" s="785"/>
      <c r="Q831" s="785"/>
      <c r="R831" s="785"/>
      <c r="S831" s="776"/>
      <c r="T831" s="776"/>
      <c r="U831" s="776"/>
      <c r="V831" s="776"/>
      <c r="W831" s="776"/>
      <c r="X831" s="776"/>
      <c r="Y831" s="785"/>
      <c r="Z831" s="776"/>
      <c r="AA831" s="776"/>
      <c r="AB831" s="776"/>
    </row>
    <row r="832" spans="1:28" ht="15.75" customHeight="1">
      <c r="A832" s="776"/>
      <c r="B832" s="776"/>
      <c r="C832" s="776"/>
      <c r="D832" s="776"/>
      <c r="E832" s="777"/>
      <c r="F832" s="776"/>
      <c r="G832" s="777"/>
      <c r="H832" s="776"/>
      <c r="I832" s="777"/>
      <c r="J832" s="777"/>
      <c r="K832" s="786"/>
      <c r="L832" s="777"/>
      <c r="M832" s="785"/>
      <c r="N832" s="785"/>
      <c r="O832" s="785"/>
      <c r="P832" s="785"/>
      <c r="Q832" s="785"/>
      <c r="R832" s="785"/>
      <c r="S832" s="776"/>
      <c r="T832" s="776"/>
      <c r="U832" s="776"/>
      <c r="V832" s="776"/>
      <c r="W832" s="776"/>
      <c r="X832" s="776"/>
      <c r="Y832" s="785"/>
      <c r="Z832" s="776"/>
      <c r="AA832" s="776"/>
      <c r="AB832" s="776"/>
    </row>
    <row r="833" spans="1:28" ht="15.75" customHeight="1">
      <c r="A833" s="776"/>
      <c r="B833" s="776"/>
      <c r="C833" s="776"/>
      <c r="D833" s="776"/>
      <c r="E833" s="777"/>
      <c r="F833" s="776"/>
      <c r="G833" s="777"/>
      <c r="H833" s="776"/>
      <c r="I833" s="777"/>
      <c r="J833" s="777"/>
      <c r="K833" s="786"/>
      <c r="L833" s="777"/>
      <c r="M833" s="785"/>
      <c r="N833" s="785"/>
      <c r="O833" s="785"/>
      <c r="P833" s="785"/>
      <c r="Q833" s="785"/>
      <c r="R833" s="785"/>
      <c r="S833" s="776"/>
      <c r="T833" s="776"/>
      <c r="U833" s="776"/>
      <c r="V833" s="776"/>
      <c r="W833" s="776"/>
      <c r="X833" s="776"/>
      <c r="Y833" s="785"/>
      <c r="Z833" s="776"/>
      <c r="AA833" s="776"/>
      <c r="AB833" s="776"/>
    </row>
    <row r="834" spans="1:28" ht="15.75" customHeight="1">
      <c r="A834" s="776"/>
      <c r="B834" s="776"/>
      <c r="C834" s="776"/>
      <c r="D834" s="776"/>
      <c r="E834" s="777"/>
      <c r="F834" s="776"/>
      <c r="G834" s="777"/>
      <c r="H834" s="776"/>
      <c r="I834" s="777"/>
      <c r="J834" s="777"/>
      <c r="K834" s="786"/>
      <c r="L834" s="777"/>
      <c r="M834" s="785"/>
      <c r="N834" s="785"/>
      <c r="O834" s="785"/>
      <c r="P834" s="785"/>
      <c r="Q834" s="785"/>
      <c r="R834" s="785"/>
      <c r="S834" s="776"/>
      <c r="T834" s="776"/>
      <c r="U834" s="776"/>
      <c r="V834" s="776"/>
      <c r="W834" s="776"/>
      <c r="X834" s="776"/>
      <c r="Y834" s="785"/>
      <c r="Z834" s="776"/>
      <c r="AA834" s="776"/>
      <c r="AB834" s="776"/>
    </row>
    <row r="835" spans="1:28" ht="15.75" customHeight="1">
      <c r="A835" s="776"/>
      <c r="B835" s="776"/>
      <c r="C835" s="776"/>
      <c r="D835" s="776"/>
      <c r="E835" s="777"/>
      <c r="F835" s="776"/>
      <c r="G835" s="777"/>
      <c r="H835" s="776"/>
      <c r="I835" s="777"/>
      <c r="J835" s="777"/>
      <c r="K835" s="786"/>
      <c r="L835" s="777"/>
      <c r="M835" s="785"/>
      <c r="N835" s="785"/>
      <c r="O835" s="785"/>
      <c r="P835" s="785"/>
      <c r="Q835" s="785"/>
      <c r="R835" s="785"/>
      <c r="S835" s="776"/>
      <c r="T835" s="776"/>
      <c r="U835" s="776"/>
      <c r="V835" s="776"/>
      <c r="W835" s="776"/>
      <c r="X835" s="776"/>
      <c r="Y835" s="785"/>
      <c r="Z835" s="776"/>
      <c r="AA835" s="776"/>
      <c r="AB835" s="776"/>
    </row>
    <row r="836" spans="1:28" ht="15.75" customHeight="1">
      <c r="A836" s="776"/>
      <c r="B836" s="776"/>
      <c r="C836" s="776"/>
      <c r="D836" s="776"/>
      <c r="E836" s="777"/>
      <c r="F836" s="776"/>
      <c r="G836" s="777"/>
      <c r="H836" s="776"/>
      <c r="I836" s="777"/>
      <c r="J836" s="777"/>
      <c r="K836" s="786"/>
      <c r="L836" s="777"/>
      <c r="M836" s="785"/>
      <c r="N836" s="785"/>
      <c r="O836" s="785"/>
      <c r="P836" s="785"/>
      <c r="Q836" s="785"/>
      <c r="R836" s="785"/>
      <c r="S836" s="776"/>
      <c r="T836" s="776"/>
      <c r="U836" s="776"/>
      <c r="V836" s="776"/>
      <c r="W836" s="776"/>
      <c r="X836" s="776"/>
      <c r="Y836" s="785"/>
      <c r="Z836" s="776"/>
      <c r="AA836" s="776"/>
      <c r="AB836" s="776"/>
    </row>
    <row r="837" spans="1:28" ht="15.75" customHeight="1">
      <c r="A837" s="776"/>
      <c r="B837" s="776"/>
      <c r="C837" s="776"/>
      <c r="D837" s="776"/>
      <c r="E837" s="777"/>
      <c r="F837" s="776"/>
      <c r="G837" s="777"/>
      <c r="H837" s="776"/>
      <c r="I837" s="777"/>
      <c r="J837" s="777"/>
      <c r="K837" s="786"/>
      <c r="L837" s="777"/>
      <c r="M837" s="785"/>
      <c r="N837" s="785"/>
      <c r="O837" s="785"/>
      <c r="P837" s="785"/>
      <c r="Q837" s="785"/>
      <c r="R837" s="785"/>
      <c r="S837" s="776"/>
      <c r="T837" s="776"/>
      <c r="U837" s="776"/>
      <c r="V837" s="776"/>
      <c r="W837" s="776"/>
      <c r="X837" s="776"/>
      <c r="Y837" s="785"/>
      <c r="Z837" s="776"/>
      <c r="AA837" s="776"/>
      <c r="AB837" s="776"/>
    </row>
    <row r="838" spans="1:28" ht="15.75" customHeight="1">
      <c r="A838" s="776"/>
      <c r="B838" s="776"/>
      <c r="C838" s="776"/>
      <c r="D838" s="776"/>
      <c r="E838" s="777"/>
      <c r="F838" s="776"/>
      <c r="G838" s="777"/>
      <c r="H838" s="776"/>
      <c r="I838" s="777"/>
      <c r="J838" s="777"/>
      <c r="K838" s="786"/>
      <c r="L838" s="777"/>
      <c r="M838" s="785"/>
      <c r="N838" s="785"/>
      <c r="O838" s="785"/>
      <c r="P838" s="785"/>
      <c r="Q838" s="785"/>
      <c r="R838" s="785"/>
      <c r="S838" s="776"/>
      <c r="T838" s="776"/>
      <c r="U838" s="776"/>
      <c r="V838" s="776"/>
      <c r="W838" s="776"/>
      <c r="X838" s="776"/>
      <c r="Y838" s="785"/>
      <c r="Z838" s="776"/>
      <c r="AA838" s="776"/>
      <c r="AB838" s="776"/>
    </row>
    <row r="839" spans="1:28" ht="15.75" customHeight="1">
      <c r="A839" s="776"/>
      <c r="B839" s="776"/>
      <c r="C839" s="776"/>
      <c r="D839" s="776"/>
      <c r="E839" s="777"/>
      <c r="F839" s="776"/>
      <c r="G839" s="777"/>
      <c r="H839" s="776"/>
      <c r="I839" s="777"/>
      <c r="J839" s="777"/>
      <c r="K839" s="786"/>
      <c r="L839" s="777"/>
      <c r="M839" s="785"/>
      <c r="N839" s="785"/>
      <c r="O839" s="785"/>
      <c r="P839" s="785"/>
      <c r="Q839" s="785"/>
      <c r="R839" s="785"/>
      <c r="S839" s="776"/>
      <c r="T839" s="776"/>
      <c r="U839" s="776"/>
      <c r="V839" s="776"/>
      <c r="W839" s="776"/>
      <c r="X839" s="776"/>
      <c r="Y839" s="785"/>
      <c r="Z839" s="776"/>
      <c r="AA839" s="776"/>
      <c r="AB839" s="776"/>
    </row>
    <row r="840" spans="1:28" ht="15.75" customHeight="1">
      <c r="A840" s="776"/>
      <c r="B840" s="776"/>
      <c r="C840" s="776"/>
      <c r="D840" s="776"/>
      <c r="E840" s="777"/>
      <c r="F840" s="776"/>
      <c r="G840" s="777"/>
      <c r="H840" s="776"/>
      <c r="I840" s="777"/>
      <c r="J840" s="777"/>
      <c r="K840" s="786"/>
      <c r="L840" s="777"/>
      <c r="M840" s="785"/>
      <c r="N840" s="785"/>
      <c r="O840" s="785"/>
      <c r="P840" s="785"/>
      <c r="Q840" s="785"/>
      <c r="R840" s="785"/>
      <c r="S840" s="776"/>
      <c r="T840" s="776"/>
      <c r="U840" s="776"/>
      <c r="V840" s="776"/>
      <c r="W840" s="776"/>
      <c r="X840" s="776"/>
      <c r="Y840" s="785"/>
      <c r="Z840" s="776"/>
      <c r="AA840" s="776"/>
      <c r="AB840" s="776"/>
    </row>
    <row r="841" spans="1:28" ht="15.75" customHeight="1">
      <c r="A841" s="776"/>
      <c r="B841" s="776"/>
      <c r="C841" s="776"/>
      <c r="D841" s="776"/>
      <c r="E841" s="777"/>
      <c r="F841" s="776"/>
      <c r="G841" s="777"/>
      <c r="H841" s="776"/>
      <c r="I841" s="777"/>
      <c r="J841" s="777"/>
      <c r="K841" s="786"/>
      <c r="L841" s="777"/>
      <c r="M841" s="785"/>
      <c r="N841" s="785"/>
      <c r="O841" s="785"/>
      <c r="P841" s="785"/>
      <c r="Q841" s="785"/>
      <c r="R841" s="785"/>
      <c r="S841" s="776"/>
      <c r="T841" s="776"/>
      <c r="U841" s="776"/>
      <c r="V841" s="776"/>
      <c r="W841" s="776"/>
      <c r="X841" s="776"/>
      <c r="Y841" s="785"/>
      <c r="Z841" s="776"/>
      <c r="AA841" s="776"/>
      <c r="AB841" s="776"/>
    </row>
    <row r="842" spans="1:28" ht="15.75" customHeight="1">
      <c r="A842" s="776"/>
      <c r="B842" s="776"/>
      <c r="C842" s="776"/>
      <c r="D842" s="776"/>
      <c r="E842" s="777"/>
      <c r="F842" s="776"/>
      <c r="G842" s="777"/>
      <c r="H842" s="776"/>
      <c r="I842" s="777"/>
      <c r="J842" s="777"/>
      <c r="K842" s="786"/>
      <c r="L842" s="777"/>
      <c r="M842" s="785"/>
      <c r="N842" s="785"/>
      <c r="O842" s="785"/>
      <c r="P842" s="785"/>
      <c r="Q842" s="785"/>
      <c r="R842" s="785"/>
      <c r="S842" s="776"/>
      <c r="T842" s="776"/>
      <c r="U842" s="776"/>
      <c r="V842" s="776"/>
      <c r="W842" s="776"/>
      <c r="X842" s="776"/>
      <c r="Y842" s="785"/>
      <c r="Z842" s="776"/>
      <c r="AA842" s="776"/>
      <c r="AB842" s="776"/>
    </row>
    <row r="843" spans="1:28" ht="15.75" customHeight="1">
      <c r="A843" s="776"/>
      <c r="B843" s="776"/>
      <c r="C843" s="776"/>
      <c r="D843" s="776"/>
      <c r="E843" s="777"/>
      <c r="F843" s="776"/>
      <c r="G843" s="777"/>
      <c r="H843" s="776"/>
      <c r="I843" s="777"/>
      <c r="J843" s="777"/>
      <c r="K843" s="786"/>
      <c r="L843" s="777"/>
      <c r="M843" s="785"/>
      <c r="N843" s="785"/>
      <c r="O843" s="785"/>
      <c r="P843" s="785"/>
      <c r="Q843" s="785"/>
      <c r="R843" s="785"/>
      <c r="S843" s="776"/>
      <c r="T843" s="776"/>
      <c r="U843" s="776"/>
      <c r="V843" s="776"/>
      <c r="W843" s="776"/>
      <c r="X843" s="776"/>
      <c r="Y843" s="785"/>
      <c r="Z843" s="776"/>
      <c r="AA843" s="776"/>
      <c r="AB843" s="776"/>
    </row>
    <row r="844" spans="1:28" ht="15.75" customHeight="1">
      <c r="A844" s="776"/>
      <c r="B844" s="776"/>
      <c r="C844" s="776"/>
      <c r="D844" s="776"/>
      <c r="E844" s="777"/>
      <c r="F844" s="776"/>
      <c r="G844" s="777"/>
      <c r="H844" s="776"/>
      <c r="I844" s="777"/>
      <c r="J844" s="777"/>
      <c r="K844" s="786"/>
      <c r="L844" s="777"/>
      <c r="M844" s="785"/>
      <c r="N844" s="785"/>
      <c r="O844" s="785"/>
      <c r="P844" s="785"/>
      <c r="Q844" s="785"/>
      <c r="R844" s="785"/>
      <c r="S844" s="776"/>
      <c r="T844" s="776"/>
      <c r="U844" s="776"/>
      <c r="V844" s="776"/>
      <c r="W844" s="776"/>
      <c r="X844" s="776"/>
      <c r="Y844" s="785"/>
      <c r="Z844" s="776"/>
      <c r="AA844" s="776"/>
      <c r="AB844" s="776"/>
    </row>
    <row r="845" spans="1:28" ht="15.75" customHeight="1">
      <c r="A845" s="776"/>
      <c r="B845" s="776"/>
      <c r="C845" s="776"/>
      <c r="D845" s="776"/>
      <c r="E845" s="777"/>
      <c r="F845" s="776"/>
      <c r="G845" s="777"/>
      <c r="H845" s="776"/>
      <c r="I845" s="777"/>
      <c r="J845" s="777"/>
      <c r="K845" s="786"/>
      <c r="L845" s="777"/>
      <c r="M845" s="785"/>
      <c r="N845" s="785"/>
      <c r="O845" s="785"/>
      <c r="P845" s="785"/>
      <c r="Q845" s="785"/>
      <c r="R845" s="785"/>
      <c r="S845" s="776"/>
      <c r="T845" s="776"/>
      <c r="U845" s="776"/>
      <c r="V845" s="776"/>
      <c r="W845" s="776"/>
      <c r="X845" s="776"/>
      <c r="Y845" s="785"/>
      <c r="Z845" s="776"/>
      <c r="AA845" s="776"/>
      <c r="AB845" s="776"/>
    </row>
    <row r="846" spans="1:28" ht="15.75" customHeight="1">
      <c r="A846" s="776"/>
      <c r="B846" s="776"/>
      <c r="C846" s="776"/>
      <c r="D846" s="776"/>
      <c r="E846" s="777"/>
      <c r="F846" s="776"/>
      <c r="G846" s="777"/>
      <c r="H846" s="776"/>
      <c r="I846" s="777"/>
      <c r="J846" s="777"/>
      <c r="K846" s="786"/>
      <c r="L846" s="777"/>
      <c r="M846" s="785"/>
      <c r="N846" s="785"/>
      <c r="O846" s="785"/>
      <c r="P846" s="785"/>
      <c r="Q846" s="785"/>
      <c r="R846" s="785"/>
      <c r="S846" s="776"/>
      <c r="T846" s="776"/>
      <c r="U846" s="776"/>
      <c r="V846" s="776"/>
      <c r="W846" s="776"/>
      <c r="X846" s="776"/>
      <c r="Y846" s="785"/>
      <c r="Z846" s="776"/>
      <c r="AA846" s="776"/>
      <c r="AB846" s="776"/>
    </row>
    <row r="847" spans="1:28" ht="15.75" customHeight="1">
      <c r="A847" s="776"/>
      <c r="B847" s="776"/>
      <c r="C847" s="776"/>
      <c r="D847" s="776"/>
      <c r="E847" s="777"/>
      <c r="F847" s="776"/>
      <c r="G847" s="777"/>
      <c r="H847" s="776"/>
      <c r="I847" s="777"/>
      <c r="J847" s="777"/>
      <c r="K847" s="786"/>
      <c r="L847" s="777"/>
      <c r="M847" s="785"/>
      <c r="N847" s="785"/>
      <c r="O847" s="785"/>
      <c r="P847" s="785"/>
      <c r="Q847" s="785"/>
      <c r="R847" s="785"/>
      <c r="S847" s="776"/>
      <c r="T847" s="776"/>
      <c r="U847" s="776"/>
      <c r="V847" s="776"/>
      <c r="W847" s="776"/>
      <c r="X847" s="776"/>
      <c r="Y847" s="785"/>
      <c r="Z847" s="776"/>
      <c r="AA847" s="776"/>
      <c r="AB847" s="776"/>
    </row>
    <row r="848" spans="1:28" ht="15.75" customHeight="1">
      <c r="A848" s="776"/>
      <c r="B848" s="776"/>
      <c r="C848" s="776"/>
      <c r="D848" s="776"/>
      <c r="E848" s="777"/>
      <c r="F848" s="776"/>
      <c r="G848" s="777"/>
      <c r="H848" s="776"/>
      <c r="I848" s="777"/>
      <c r="J848" s="777"/>
      <c r="K848" s="786"/>
      <c r="L848" s="777"/>
      <c r="M848" s="785"/>
      <c r="N848" s="785"/>
      <c r="O848" s="785"/>
      <c r="P848" s="785"/>
      <c r="Q848" s="785"/>
      <c r="R848" s="785"/>
      <c r="S848" s="776"/>
      <c r="T848" s="776"/>
      <c r="U848" s="776"/>
      <c r="V848" s="776"/>
      <c r="W848" s="776"/>
      <c r="X848" s="776"/>
      <c r="Y848" s="785"/>
      <c r="Z848" s="776"/>
      <c r="AA848" s="776"/>
      <c r="AB848" s="776"/>
    </row>
    <row r="849" spans="1:28" ht="15.75" customHeight="1">
      <c r="A849" s="776"/>
      <c r="B849" s="776"/>
      <c r="C849" s="776"/>
      <c r="D849" s="776"/>
      <c r="E849" s="777"/>
      <c r="F849" s="776"/>
      <c r="G849" s="777"/>
      <c r="H849" s="776"/>
      <c r="I849" s="777"/>
      <c r="J849" s="777"/>
      <c r="K849" s="786"/>
      <c r="L849" s="777"/>
      <c r="M849" s="785"/>
      <c r="N849" s="785"/>
      <c r="O849" s="785"/>
      <c r="P849" s="785"/>
      <c r="Q849" s="785"/>
      <c r="R849" s="785"/>
      <c r="S849" s="776"/>
      <c r="T849" s="776"/>
      <c r="U849" s="776"/>
      <c r="V849" s="776"/>
      <c r="W849" s="776"/>
      <c r="X849" s="776"/>
      <c r="Y849" s="785"/>
      <c r="Z849" s="776"/>
      <c r="AA849" s="776"/>
      <c r="AB849" s="776"/>
    </row>
    <row r="850" spans="1:28" ht="15.75" customHeight="1">
      <c r="A850" s="776"/>
      <c r="B850" s="776"/>
      <c r="C850" s="776"/>
      <c r="D850" s="776"/>
      <c r="E850" s="777"/>
      <c r="F850" s="776"/>
      <c r="G850" s="777"/>
      <c r="H850" s="776"/>
      <c r="I850" s="777"/>
      <c r="J850" s="777"/>
      <c r="K850" s="786"/>
      <c r="L850" s="777"/>
      <c r="M850" s="785"/>
      <c r="N850" s="785"/>
      <c r="O850" s="785"/>
      <c r="P850" s="785"/>
      <c r="Q850" s="785"/>
      <c r="R850" s="785"/>
      <c r="S850" s="776"/>
      <c r="T850" s="776"/>
      <c r="U850" s="776"/>
      <c r="V850" s="776"/>
      <c r="W850" s="776"/>
      <c r="X850" s="776"/>
      <c r="Y850" s="785"/>
      <c r="Z850" s="776"/>
      <c r="AA850" s="776"/>
      <c r="AB850" s="776"/>
    </row>
    <row r="851" spans="1:28" ht="15.75" customHeight="1">
      <c r="A851" s="776"/>
      <c r="B851" s="776"/>
      <c r="C851" s="776"/>
      <c r="D851" s="776"/>
      <c r="E851" s="777"/>
      <c r="F851" s="776"/>
      <c r="G851" s="777"/>
      <c r="H851" s="776"/>
      <c r="I851" s="777"/>
      <c r="J851" s="777"/>
      <c r="K851" s="786"/>
      <c r="L851" s="777"/>
      <c r="M851" s="785"/>
      <c r="N851" s="785"/>
      <c r="O851" s="785"/>
      <c r="P851" s="785"/>
      <c r="Q851" s="785"/>
      <c r="R851" s="785"/>
      <c r="S851" s="776"/>
      <c r="T851" s="776"/>
      <c r="U851" s="776"/>
      <c r="V851" s="776"/>
      <c r="W851" s="776"/>
      <c r="X851" s="776"/>
      <c r="Y851" s="785"/>
      <c r="Z851" s="776"/>
      <c r="AA851" s="776"/>
      <c r="AB851" s="776"/>
    </row>
    <row r="852" spans="1:28" ht="15.75" customHeight="1">
      <c r="A852" s="776"/>
      <c r="B852" s="776"/>
      <c r="C852" s="776"/>
      <c r="D852" s="776"/>
      <c r="E852" s="777"/>
      <c r="F852" s="776"/>
      <c r="G852" s="777"/>
      <c r="H852" s="776"/>
      <c r="I852" s="777"/>
      <c r="J852" s="777"/>
      <c r="K852" s="786"/>
      <c r="L852" s="777"/>
      <c r="M852" s="785"/>
      <c r="N852" s="785"/>
      <c r="O852" s="785"/>
      <c r="P852" s="785"/>
      <c r="Q852" s="785"/>
      <c r="R852" s="785"/>
      <c r="S852" s="776"/>
      <c r="T852" s="776"/>
      <c r="U852" s="776"/>
      <c r="V852" s="776"/>
      <c r="W852" s="776"/>
      <c r="X852" s="776"/>
      <c r="Y852" s="785"/>
      <c r="Z852" s="776"/>
      <c r="AA852" s="776"/>
      <c r="AB852" s="776"/>
    </row>
    <row r="853" spans="1:28" ht="15.75" customHeight="1">
      <c r="A853" s="776"/>
      <c r="B853" s="776"/>
      <c r="C853" s="776"/>
      <c r="D853" s="776"/>
      <c r="E853" s="777"/>
      <c r="F853" s="776"/>
      <c r="G853" s="777"/>
      <c r="H853" s="776"/>
      <c r="I853" s="777"/>
      <c r="J853" s="777"/>
      <c r="K853" s="786"/>
      <c r="L853" s="777"/>
      <c r="M853" s="785"/>
      <c r="N853" s="785"/>
      <c r="O853" s="785"/>
      <c r="P853" s="785"/>
      <c r="Q853" s="785"/>
      <c r="R853" s="785"/>
      <c r="S853" s="776"/>
      <c r="T853" s="776"/>
      <c r="U853" s="776"/>
      <c r="V853" s="776"/>
      <c r="W853" s="776"/>
      <c r="X853" s="776"/>
      <c r="Y853" s="785"/>
      <c r="Z853" s="776"/>
      <c r="AA853" s="776"/>
      <c r="AB853" s="776"/>
    </row>
    <row r="854" spans="1:28" ht="15.75" customHeight="1">
      <c r="A854" s="776"/>
      <c r="B854" s="776"/>
      <c r="C854" s="776"/>
      <c r="D854" s="776"/>
      <c r="E854" s="777"/>
      <c r="F854" s="776"/>
      <c r="G854" s="777"/>
      <c r="H854" s="776"/>
      <c r="I854" s="777"/>
      <c r="J854" s="777"/>
      <c r="K854" s="786"/>
      <c r="L854" s="777"/>
      <c r="M854" s="785"/>
      <c r="N854" s="785"/>
      <c r="O854" s="785"/>
      <c r="P854" s="785"/>
      <c r="Q854" s="785"/>
      <c r="R854" s="785"/>
      <c r="S854" s="776"/>
      <c r="T854" s="776"/>
      <c r="U854" s="776"/>
      <c r="V854" s="776"/>
      <c r="W854" s="776"/>
      <c r="X854" s="776"/>
      <c r="Y854" s="785"/>
      <c r="Z854" s="776"/>
      <c r="AA854" s="776"/>
      <c r="AB854" s="776"/>
    </row>
    <row r="855" spans="1:28" ht="15.75" customHeight="1">
      <c r="A855" s="776"/>
      <c r="B855" s="776"/>
      <c r="C855" s="776"/>
      <c r="D855" s="776"/>
      <c r="E855" s="777"/>
      <c r="F855" s="776"/>
      <c r="G855" s="777"/>
      <c r="H855" s="776"/>
      <c r="I855" s="777"/>
      <c r="J855" s="777"/>
      <c r="K855" s="786"/>
      <c r="L855" s="777"/>
      <c r="M855" s="785"/>
      <c r="N855" s="785"/>
      <c r="O855" s="785"/>
      <c r="P855" s="785"/>
      <c r="Q855" s="785"/>
      <c r="R855" s="785"/>
      <c r="S855" s="776"/>
      <c r="T855" s="776"/>
      <c r="U855" s="776"/>
      <c r="V855" s="776"/>
      <c r="W855" s="776"/>
      <c r="X855" s="776"/>
      <c r="Y855" s="785"/>
      <c r="Z855" s="776"/>
      <c r="AA855" s="776"/>
      <c r="AB855" s="776"/>
    </row>
    <row r="856" spans="1:28" ht="15.75" customHeight="1">
      <c r="A856" s="776"/>
      <c r="B856" s="776"/>
      <c r="C856" s="776"/>
      <c r="D856" s="776"/>
      <c r="E856" s="777"/>
      <c r="F856" s="776"/>
      <c r="G856" s="777"/>
      <c r="H856" s="776"/>
      <c r="I856" s="777"/>
      <c r="J856" s="777"/>
      <c r="K856" s="786"/>
      <c r="L856" s="777"/>
      <c r="M856" s="785"/>
      <c r="N856" s="785"/>
      <c r="O856" s="785"/>
      <c r="P856" s="785"/>
      <c r="Q856" s="785"/>
      <c r="R856" s="785"/>
      <c r="S856" s="776"/>
      <c r="T856" s="776"/>
      <c r="U856" s="776"/>
      <c r="V856" s="776"/>
      <c r="W856" s="776"/>
      <c r="X856" s="776"/>
      <c r="Y856" s="785"/>
      <c r="Z856" s="776"/>
      <c r="AA856" s="776"/>
      <c r="AB856" s="776"/>
    </row>
    <row r="857" spans="1:28" ht="15.75" customHeight="1">
      <c r="A857" s="776"/>
      <c r="B857" s="776"/>
      <c r="C857" s="776"/>
      <c r="D857" s="776"/>
      <c r="E857" s="777"/>
      <c r="F857" s="776"/>
      <c r="G857" s="777"/>
      <c r="H857" s="776"/>
      <c r="I857" s="777"/>
      <c r="J857" s="777"/>
      <c r="K857" s="786"/>
      <c r="L857" s="777"/>
      <c r="M857" s="785"/>
      <c r="N857" s="785"/>
      <c r="O857" s="785"/>
      <c r="P857" s="785"/>
      <c r="Q857" s="785"/>
      <c r="R857" s="785"/>
      <c r="S857" s="776"/>
      <c r="T857" s="776"/>
      <c r="U857" s="776"/>
      <c r="V857" s="776"/>
      <c r="W857" s="776"/>
      <c r="X857" s="776"/>
      <c r="Y857" s="785"/>
      <c r="Z857" s="776"/>
      <c r="AA857" s="776"/>
      <c r="AB857" s="776"/>
    </row>
    <row r="858" spans="1:28" ht="15.75" customHeight="1">
      <c r="A858" s="776"/>
      <c r="B858" s="776"/>
      <c r="C858" s="776"/>
      <c r="D858" s="776"/>
      <c r="E858" s="777"/>
      <c r="F858" s="776"/>
      <c r="G858" s="777"/>
      <c r="H858" s="776"/>
      <c r="I858" s="777"/>
      <c r="J858" s="777"/>
      <c r="K858" s="786"/>
      <c r="L858" s="777"/>
      <c r="M858" s="785"/>
      <c r="N858" s="785"/>
      <c r="O858" s="785"/>
      <c r="P858" s="785"/>
      <c r="Q858" s="785"/>
      <c r="R858" s="785"/>
      <c r="S858" s="776"/>
      <c r="T858" s="776"/>
      <c r="U858" s="776"/>
      <c r="V858" s="776"/>
      <c r="W858" s="776"/>
      <c r="X858" s="776"/>
      <c r="Y858" s="785"/>
      <c r="Z858" s="776"/>
      <c r="AA858" s="776"/>
      <c r="AB858" s="776"/>
    </row>
    <row r="859" spans="1:28" ht="15.75" customHeight="1">
      <c r="A859" s="776"/>
      <c r="B859" s="776"/>
      <c r="C859" s="776"/>
      <c r="D859" s="776"/>
      <c r="E859" s="777"/>
      <c r="F859" s="776"/>
      <c r="G859" s="777"/>
      <c r="H859" s="776"/>
      <c r="I859" s="777"/>
      <c r="J859" s="777"/>
      <c r="K859" s="786"/>
      <c r="L859" s="777"/>
      <c r="M859" s="785"/>
      <c r="N859" s="785"/>
      <c r="O859" s="785"/>
      <c r="P859" s="785"/>
      <c r="Q859" s="785"/>
      <c r="R859" s="785"/>
      <c r="S859" s="776"/>
      <c r="T859" s="776"/>
      <c r="U859" s="776"/>
      <c r="V859" s="776"/>
      <c r="W859" s="776"/>
      <c r="X859" s="776"/>
      <c r="Y859" s="785"/>
      <c r="Z859" s="776"/>
      <c r="AA859" s="776"/>
      <c r="AB859" s="776"/>
    </row>
    <row r="860" spans="1:28" ht="15.75" customHeight="1">
      <c r="A860" s="776"/>
      <c r="B860" s="776"/>
      <c r="C860" s="776"/>
      <c r="D860" s="776"/>
      <c r="E860" s="777"/>
      <c r="F860" s="776"/>
      <c r="G860" s="777"/>
      <c r="H860" s="776"/>
      <c r="I860" s="777"/>
      <c r="J860" s="777"/>
      <c r="K860" s="786"/>
      <c r="L860" s="777"/>
      <c r="M860" s="785"/>
      <c r="N860" s="785"/>
      <c r="O860" s="785"/>
      <c r="P860" s="785"/>
      <c r="Q860" s="785"/>
      <c r="R860" s="785"/>
      <c r="S860" s="776"/>
      <c r="T860" s="776"/>
      <c r="U860" s="776"/>
      <c r="V860" s="776"/>
      <c r="W860" s="776"/>
      <c r="X860" s="776"/>
      <c r="Y860" s="785"/>
      <c r="Z860" s="776"/>
      <c r="AA860" s="776"/>
      <c r="AB860" s="776"/>
    </row>
    <row r="861" spans="1:28" ht="15.75" customHeight="1">
      <c r="A861" s="776"/>
      <c r="B861" s="776"/>
      <c r="C861" s="776"/>
      <c r="D861" s="776"/>
      <c r="E861" s="777"/>
      <c r="F861" s="776"/>
      <c r="G861" s="777"/>
      <c r="H861" s="776"/>
      <c r="I861" s="777"/>
      <c r="J861" s="777"/>
      <c r="K861" s="786"/>
      <c r="L861" s="777"/>
      <c r="M861" s="785"/>
      <c r="N861" s="785"/>
      <c r="O861" s="785"/>
      <c r="P861" s="785"/>
      <c r="Q861" s="785"/>
      <c r="R861" s="785"/>
      <c r="S861" s="776"/>
      <c r="T861" s="776"/>
      <c r="U861" s="776"/>
      <c r="V861" s="776"/>
      <c r="W861" s="776"/>
      <c r="X861" s="776"/>
      <c r="Y861" s="785"/>
      <c r="Z861" s="776"/>
      <c r="AA861" s="776"/>
      <c r="AB861" s="776"/>
    </row>
    <row r="862" spans="1:28" ht="15.75" customHeight="1">
      <c r="A862" s="776"/>
      <c r="B862" s="776"/>
      <c r="C862" s="776"/>
      <c r="D862" s="776"/>
      <c r="E862" s="777"/>
      <c r="F862" s="776"/>
      <c r="G862" s="777"/>
      <c r="H862" s="776"/>
      <c r="I862" s="777"/>
      <c r="J862" s="777"/>
      <c r="K862" s="786"/>
      <c r="L862" s="777"/>
      <c r="M862" s="785"/>
      <c r="N862" s="785"/>
      <c r="O862" s="785"/>
      <c r="P862" s="785"/>
      <c r="Q862" s="785"/>
      <c r="R862" s="785"/>
      <c r="S862" s="776"/>
      <c r="T862" s="776"/>
      <c r="U862" s="776"/>
      <c r="V862" s="776"/>
      <c r="W862" s="776"/>
      <c r="X862" s="776"/>
      <c r="Y862" s="785"/>
      <c r="Z862" s="776"/>
      <c r="AA862" s="776"/>
      <c r="AB862" s="776"/>
    </row>
    <row r="863" spans="1:28" ht="15.75" customHeight="1">
      <c r="A863" s="776"/>
      <c r="B863" s="776"/>
      <c r="C863" s="776"/>
      <c r="D863" s="776"/>
      <c r="E863" s="777"/>
      <c r="F863" s="776"/>
      <c r="G863" s="777"/>
      <c r="H863" s="776"/>
      <c r="I863" s="777"/>
      <c r="J863" s="777"/>
      <c r="K863" s="786"/>
      <c r="L863" s="777"/>
      <c r="M863" s="785"/>
      <c r="N863" s="785"/>
      <c r="O863" s="785"/>
      <c r="P863" s="785"/>
      <c r="Q863" s="785"/>
      <c r="R863" s="785"/>
      <c r="S863" s="776"/>
      <c r="T863" s="776"/>
      <c r="U863" s="776"/>
      <c r="V863" s="776"/>
      <c r="W863" s="776"/>
      <c r="X863" s="776"/>
      <c r="Y863" s="785"/>
      <c r="Z863" s="776"/>
      <c r="AA863" s="776"/>
      <c r="AB863" s="776"/>
    </row>
    <row r="864" spans="1:28" ht="15.75" customHeight="1">
      <c r="A864" s="776"/>
      <c r="B864" s="776"/>
      <c r="C864" s="776"/>
      <c r="D864" s="776"/>
      <c r="E864" s="777"/>
      <c r="F864" s="776"/>
      <c r="G864" s="777"/>
      <c r="H864" s="776"/>
      <c r="I864" s="777"/>
      <c r="J864" s="777"/>
      <c r="K864" s="786"/>
      <c r="L864" s="777"/>
      <c r="M864" s="785"/>
      <c r="N864" s="785"/>
      <c r="O864" s="785"/>
      <c r="P864" s="785"/>
      <c r="Q864" s="785"/>
      <c r="R864" s="785"/>
      <c r="S864" s="776"/>
      <c r="T864" s="776"/>
      <c r="U864" s="776"/>
      <c r="V864" s="776"/>
      <c r="W864" s="776"/>
      <c r="X864" s="776"/>
      <c r="Y864" s="785"/>
      <c r="Z864" s="776"/>
      <c r="AA864" s="776"/>
      <c r="AB864" s="776"/>
    </row>
    <row r="865" spans="1:28" ht="15.75" customHeight="1">
      <c r="A865" s="776"/>
      <c r="B865" s="776"/>
      <c r="C865" s="776"/>
      <c r="D865" s="776"/>
      <c r="E865" s="777"/>
      <c r="F865" s="776"/>
      <c r="G865" s="777"/>
      <c r="H865" s="776"/>
      <c r="I865" s="777"/>
      <c r="J865" s="777"/>
      <c r="K865" s="786"/>
      <c r="L865" s="777"/>
      <c r="M865" s="785"/>
      <c r="N865" s="785"/>
      <c r="O865" s="785"/>
      <c r="P865" s="785"/>
      <c r="Q865" s="785"/>
      <c r="R865" s="785"/>
      <c r="S865" s="776"/>
      <c r="T865" s="776"/>
      <c r="U865" s="776"/>
      <c r="V865" s="776"/>
      <c r="W865" s="776"/>
      <c r="X865" s="776"/>
      <c r="Y865" s="785"/>
      <c r="Z865" s="776"/>
      <c r="AA865" s="776"/>
      <c r="AB865" s="776"/>
    </row>
    <row r="866" spans="1:28" ht="15.75" customHeight="1">
      <c r="A866" s="776"/>
      <c r="B866" s="776"/>
      <c r="C866" s="776"/>
      <c r="D866" s="776"/>
      <c r="E866" s="777"/>
      <c r="F866" s="776"/>
      <c r="G866" s="777"/>
      <c r="H866" s="776"/>
      <c r="I866" s="777"/>
      <c r="J866" s="777"/>
      <c r="K866" s="786"/>
      <c r="L866" s="777"/>
      <c r="M866" s="785"/>
      <c r="N866" s="785"/>
      <c r="O866" s="785"/>
      <c r="P866" s="785"/>
      <c r="Q866" s="785"/>
      <c r="R866" s="785"/>
      <c r="S866" s="776"/>
      <c r="T866" s="776"/>
      <c r="U866" s="776"/>
      <c r="V866" s="776"/>
      <c r="W866" s="776"/>
      <c r="X866" s="776"/>
      <c r="Y866" s="785"/>
      <c r="Z866" s="776"/>
      <c r="AA866" s="776"/>
      <c r="AB866" s="776"/>
    </row>
    <row r="867" spans="1:28" ht="15.75" customHeight="1">
      <c r="A867" s="776"/>
      <c r="B867" s="776"/>
      <c r="C867" s="776"/>
      <c r="D867" s="776"/>
      <c r="E867" s="777"/>
      <c r="F867" s="776"/>
      <c r="G867" s="777"/>
      <c r="H867" s="776"/>
      <c r="I867" s="777"/>
      <c r="J867" s="777"/>
      <c r="K867" s="786"/>
      <c r="L867" s="777"/>
      <c r="M867" s="785"/>
      <c r="N867" s="785"/>
      <c r="O867" s="785"/>
      <c r="P867" s="785"/>
      <c r="Q867" s="785"/>
      <c r="R867" s="785"/>
      <c r="S867" s="776"/>
      <c r="T867" s="776"/>
      <c r="U867" s="776"/>
      <c r="V867" s="776"/>
      <c r="W867" s="776"/>
      <c r="X867" s="776"/>
      <c r="Y867" s="785"/>
      <c r="Z867" s="776"/>
      <c r="AA867" s="776"/>
      <c r="AB867" s="776"/>
    </row>
    <row r="868" spans="1:28" ht="15.75" customHeight="1">
      <c r="A868" s="776"/>
      <c r="B868" s="776"/>
      <c r="C868" s="776"/>
      <c r="D868" s="776"/>
      <c r="E868" s="777"/>
      <c r="F868" s="776"/>
      <c r="G868" s="777"/>
      <c r="H868" s="776"/>
      <c r="I868" s="777"/>
      <c r="J868" s="777"/>
      <c r="K868" s="786"/>
      <c r="L868" s="777"/>
      <c r="M868" s="785"/>
      <c r="N868" s="785"/>
      <c r="O868" s="785"/>
      <c r="P868" s="785"/>
      <c r="Q868" s="785"/>
      <c r="R868" s="785"/>
      <c r="S868" s="776"/>
      <c r="T868" s="776"/>
      <c r="U868" s="776"/>
      <c r="V868" s="776"/>
      <c r="W868" s="776"/>
      <c r="X868" s="776"/>
      <c r="Y868" s="785"/>
      <c r="Z868" s="776"/>
      <c r="AA868" s="776"/>
      <c r="AB868" s="776"/>
    </row>
    <row r="869" spans="1:28" ht="15.75" customHeight="1">
      <c r="A869" s="776"/>
      <c r="B869" s="776"/>
      <c r="C869" s="776"/>
      <c r="D869" s="776"/>
      <c r="E869" s="777"/>
      <c r="F869" s="776"/>
      <c r="G869" s="777"/>
      <c r="H869" s="776"/>
      <c r="I869" s="777"/>
      <c r="J869" s="777"/>
      <c r="K869" s="786"/>
      <c r="L869" s="777"/>
      <c r="M869" s="785"/>
      <c r="N869" s="785"/>
      <c r="O869" s="785"/>
      <c r="P869" s="785"/>
      <c r="Q869" s="785"/>
      <c r="R869" s="785"/>
      <c r="S869" s="776"/>
      <c r="T869" s="776"/>
      <c r="U869" s="776"/>
      <c r="V869" s="776"/>
      <c r="W869" s="776"/>
      <c r="X869" s="776"/>
      <c r="Y869" s="785"/>
      <c r="Z869" s="776"/>
      <c r="AA869" s="776"/>
      <c r="AB869" s="776"/>
    </row>
    <row r="870" spans="1:28" ht="15.75" customHeight="1">
      <c r="A870" s="776"/>
      <c r="B870" s="776"/>
      <c r="C870" s="776"/>
      <c r="D870" s="776"/>
      <c r="E870" s="777"/>
      <c r="F870" s="776"/>
      <c r="G870" s="777"/>
      <c r="H870" s="776"/>
      <c r="I870" s="777"/>
      <c r="J870" s="777"/>
      <c r="K870" s="786"/>
      <c r="L870" s="777"/>
      <c r="M870" s="785"/>
      <c r="N870" s="785"/>
      <c r="O870" s="785"/>
      <c r="P870" s="785"/>
      <c r="Q870" s="785"/>
      <c r="R870" s="785"/>
      <c r="S870" s="776"/>
      <c r="T870" s="776"/>
      <c r="U870" s="776"/>
      <c r="V870" s="776"/>
      <c r="W870" s="776"/>
      <c r="X870" s="776"/>
      <c r="Y870" s="785"/>
      <c r="Z870" s="776"/>
      <c r="AA870" s="776"/>
      <c r="AB870" s="776"/>
    </row>
    <row r="871" spans="1:28" ht="15.75" customHeight="1">
      <c r="A871" s="776"/>
      <c r="B871" s="776"/>
      <c r="C871" s="776"/>
      <c r="D871" s="776"/>
      <c r="E871" s="777"/>
      <c r="F871" s="776"/>
      <c r="G871" s="777"/>
      <c r="H871" s="776"/>
      <c r="I871" s="777"/>
      <c r="J871" s="777"/>
      <c r="K871" s="786"/>
      <c r="L871" s="777"/>
      <c r="M871" s="785"/>
      <c r="N871" s="785"/>
      <c r="O871" s="785"/>
      <c r="P871" s="785"/>
      <c r="Q871" s="785"/>
      <c r="R871" s="785"/>
      <c r="S871" s="776"/>
      <c r="T871" s="776"/>
      <c r="U871" s="776"/>
      <c r="V871" s="776"/>
      <c r="W871" s="776"/>
      <c r="X871" s="776"/>
      <c r="Y871" s="785"/>
      <c r="Z871" s="776"/>
      <c r="AA871" s="776"/>
      <c r="AB871" s="776"/>
    </row>
    <row r="872" spans="1:28" ht="15.75" customHeight="1">
      <c r="A872" s="776"/>
      <c r="B872" s="776"/>
      <c r="C872" s="776"/>
      <c r="D872" s="776"/>
      <c r="E872" s="777"/>
      <c r="F872" s="776"/>
      <c r="G872" s="777"/>
      <c r="H872" s="776"/>
      <c r="I872" s="777"/>
      <c r="J872" s="777"/>
      <c r="K872" s="786"/>
      <c r="L872" s="777"/>
      <c r="M872" s="785"/>
      <c r="N872" s="785"/>
      <c r="O872" s="785"/>
      <c r="P872" s="785"/>
      <c r="Q872" s="785"/>
      <c r="R872" s="785"/>
      <c r="S872" s="776"/>
      <c r="T872" s="776"/>
      <c r="U872" s="776"/>
      <c r="V872" s="776"/>
      <c r="W872" s="776"/>
      <c r="X872" s="776"/>
      <c r="Y872" s="785"/>
      <c r="Z872" s="776"/>
      <c r="AA872" s="776"/>
      <c r="AB872" s="776"/>
    </row>
    <row r="873" spans="1:28" ht="15.75" customHeight="1">
      <c r="A873" s="776"/>
      <c r="B873" s="776"/>
      <c r="C873" s="776"/>
      <c r="D873" s="776"/>
      <c r="E873" s="777"/>
      <c r="F873" s="776"/>
      <c r="G873" s="777"/>
      <c r="H873" s="776"/>
      <c r="I873" s="777"/>
      <c r="J873" s="777"/>
      <c r="K873" s="786"/>
      <c r="L873" s="777"/>
      <c r="M873" s="785"/>
      <c r="N873" s="785"/>
      <c r="O873" s="785"/>
      <c r="P873" s="785"/>
      <c r="Q873" s="785"/>
      <c r="R873" s="785"/>
      <c r="S873" s="776"/>
      <c r="T873" s="776"/>
      <c r="U873" s="776"/>
      <c r="V873" s="776"/>
      <c r="W873" s="776"/>
      <c r="X873" s="776"/>
      <c r="Y873" s="785"/>
      <c r="Z873" s="776"/>
      <c r="AA873" s="776"/>
      <c r="AB873" s="776"/>
    </row>
    <row r="874" spans="1:28" ht="15.75" customHeight="1">
      <c r="A874" s="776"/>
      <c r="B874" s="776"/>
      <c r="C874" s="776"/>
      <c r="D874" s="776"/>
      <c r="E874" s="777"/>
      <c r="F874" s="776"/>
      <c r="G874" s="777"/>
      <c r="H874" s="776"/>
      <c r="I874" s="777"/>
      <c r="J874" s="777"/>
      <c r="K874" s="786"/>
      <c r="L874" s="777"/>
      <c r="M874" s="785"/>
      <c r="N874" s="785"/>
      <c r="O874" s="785"/>
      <c r="P874" s="785"/>
      <c r="Q874" s="785"/>
      <c r="R874" s="785"/>
      <c r="S874" s="776"/>
      <c r="T874" s="776"/>
      <c r="U874" s="776"/>
      <c r="V874" s="776"/>
      <c r="W874" s="776"/>
      <c r="X874" s="776"/>
      <c r="Y874" s="785"/>
      <c r="Z874" s="776"/>
      <c r="AA874" s="776"/>
      <c r="AB874" s="776"/>
    </row>
    <row r="875" spans="1:28" ht="15.75" customHeight="1">
      <c r="A875" s="776"/>
      <c r="B875" s="776"/>
      <c r="C875" s="776"/>
      <c r="D875" s="776"/>
      <c r="E875" s="777"/>
      <c r="F875" s="776"/>
      <c r="G875" s="777"/>
      <c r="H875" s="776"/>
      <c r="I875" s="777"/>
      <c r="J875" s="777"/>
      <c r="K875" s="786"/>
      <c r="L875" s="777"/>
      <c r="M875" s="785"/>
      <c r="N875" s="785"/>
      <c r="O875" s="785"/>
      <c r="P875" s="785"/>
      <c r="Q875" s="785"/>
      <c r="R875" s="785"/>
      <c r="S875" s="776"/>
      <c r="T875" s="776"/>
      <c r="U875" s="776"/>
      <c r="V875" s="776"/>
      <c r="W875" s="776"/>
      <c r="X875" s="776"/>
      <c r="Y875" s="785"/>
      <c r="Z875" s="776"/>
      <c r="AA875" s="776"/>
      <c r="AB875" s="776"/>
    </row>
    <row r="876" spans="1:28" ht="15.75" customHeight="1">
      <c r="A876" s="776"/>
      <c r="B876" s="776"/>
      <c r="C876" s="776"/>
      <c r="D876" s="776"/>
      <c r="E876" s="777"/>
      <c r="F876" s="776"/>
      <c r="G876" s="777"/>
      <c r="H876" s="776"/>
      <c r="I876" s="777"/>
      <c r="J876" s="777"/>
      <c r="K876" s="786"/>
      <c r="L876" s="777"/>
      <c r="M876" s="785"/>
      <c r="N876" s="785"/>
      <c r="O876" s="785"/>
      <c r="P876" s="785"/>
      <c r="Q876" s="785"/>
      <c r="R876" s="785"/>
      <c r="S876" s="776"/>
      <c r="T876" s="776"/>
      <c r="U876" s="776"/>
      <c r="V876" s="776"/>
      <c r="W876" s="776"/>
      <c r="X876" s="776"/>
      <c r="Y876" s="785"/>
      <c r="Z876" s="776"/>
      <c r="AA876" s="776"/>
      <c r="AB876" s="776"/>
    </row>
    <row r="877" spans="1:28" ht="15.75" customHeight="1">
      <c r="A877" s="776"/>
      <c r="B877" s="776"/>
      <c r="C877" s="776"/>
      <c r="D877" s="776"/>
      <c r="E877" s="777"/>
      <c r="F877" s="776"/>
      <c r="G877" s="777"/>
      <c r="H877" s="776"/>
      <c r="I877" s="777"/>
      <c r="J877" s="777"/>
      <c r="K877" s="786"/>
      <c r="L877" s="777"/>
      <c r="M877" s="785"/>
      <c r="N877" s="785"/>
      <c r="O877" s="785"/>
      <c r="P877" s="785"/>
      <c r="Q877" s="785"/>
      <c r="R877" s="785"/>
      <c r="S877" s="776"/>
      <c r="T877" s="776"/>
      <c r="U877" s="776"/>
      <c r="V877" s="776"/>
      <c r="W877" s="776"/>
      <c r="X877" s="776"/>
      <c r="Y877" s="785"/>
      <c r="Z877" s="776"/>
      <c r="AA877" s="776"/>
      <c r="AB877" s="776"/>
    </row>
    <row r="878" spans="1:28" ht="15.75" customHeight="1">
      <c r="A878" s="776"/>
      <c r="B878" s="776"/>
      <c r="C878" s="776"/>
      <c r="D878" s="776"/>
      <c r="E878" s="777"/>
      <c r="F878" s="776"/>
      <c r="G878" s="777"/>
      <c r="H878" s="776"/>
      <c r="I878" s="777"/>
      <c r="J878" s="777"/>
      <c r="K878" s="786"/>
      <c r="L878" s="777"/>
      <c r="M878" s="785"/>
      <c r="N878" s="785"/>
      <c r="O878" s="785"/>
      <c r="P878" s="785"/>
      <c r="Q878" s="785"/>
      <c r="R878" s="785"/>
      <c r="S878" s="776"/>
      <c r="T878" s="776"/>
      <c r="U878" s="776"/>
      <c r="V878" s="776"/>
      <c r="W878" s="776"/>
      <c r="X878" s="776"/>
      <c r="Y878" s="785"/>
      <c r="Z878" s="776"/>
      <c r="AA878" s="776"/>
      <c r="AB878" s="776"/>
    </row>
    <row r="879" spans="1:28" ht="15.75" customHeight="1">
      <c r="A879" s="776"/>
      <c r="B879" s="776"/>
      <c r="C879" s="776"/>
      <c r="D879" s="776"/>
      <c r="E879" s="777"/>
      <c r="F879" s="776"/>
      <c r="G879" s="777"/>
      <c r="H879" s="776"/>
      <c r="I879" s="777"/>
      <c r="J879" s="777"/>
      <c r="K879" s="786"/>
      <c r="L879" s="777"/>
      <c r="M879" s="785"/>
      <c r="N879" s="785"/>
      <c r="O879" s="785"/>
      <c r="P879" s="785"/>
      <c r="Q879" s="785"/>
      <c r="R879" s="785"/>
      <c r="S879" s="776"/>
      <c r="T879" s="776"/>
      <c r="U879" s="776"/>
      <c r="V879" s="776"/>
      <c r="W879" s="776"/>
      <c r="X879" s="776"/>
      <c r="Y879" s="785"/>
      <c r="Z879" s="776"/>
      <c r="AA879" s="776"/>
      <c r="AB879" s="776"/>
    </row>
    <row r="880" spans="1:28" ht="15.75" customHeight="1">
      <c r="A880" s="776"/>
      <c r="B880" s="776"/>
      <c r="C880" s="776"/>
      <c r="D880" s="776"/>
      <c r="E880" s="777"/>
      <c r="F880" s="776"/>
      <c r="G880" s="777"/>
      <c r="H880" s="776"/>
      <c r="I880" s="777"/>
      <c r="J880" s="777"/>
      <c r="K880" s="786"/>
      <c r="L880" s="777"/>
      <c r="M880" s="785"/>
      <c r="N880" s="785"/>
      <c r="O880" s="785"/>
      <c r="P880" s="785"/>
      <c r="Q880" s="785"/>
      <c r="R880" s="785"/>
      <c r="S880" s="776"/>
      <c r="T880" s="776"/>
      <c r="U880" s="776"/>
      <c r="V880" s="776"/>
      <c r="W880" s="776"/>
      <c r="X880" s="776"/>
      <c r="Y880" s="785"/>
      <c r="Z880" s="776"/>
      <c r="AA880" s="776"/>
      <c r="AB880" s="776"/>
    </row>
    <row r="881" spans="1:28" ht="15.75" customHeight="1">
      <c r="A881" s="776"/>
      <c r="B881" s="776"/>
      <c r="C881" s="776"/>
      <c r="D881" s="776"/>
      <c r="E881" s="777"/>
      <c r="F881" s="776"/>
      <c r="G881" s="777"/>
      <c r="H881" s="776"/>
      <c r="I881" s="777"/>
      <c r="J881" s="777"/>
      <c r="K881" s="786"/>
      <c r="L881" s="777"/>
      <c r="M881" s="785"/>
      <c r="N881" s="785"/>
      <c r="O881" s="785"/>
      <c r="P881" s="785"/>
      <c r="Q881" s="785"/>
      <c r="R881" s="785"/>
      <c r="S881" s="776"/>
      <c r="T881" s="776"/>
      <c r="U881" s="776"/>
      <c r="V881" s="776"/>
      <c r="W881" s="776"/>
      <c r="X881" s="776"/>
      <c r="Y881" s="785"/>
      <c r="Z881" s="776"/>
      <c r="AA881" s="776"/>
      <c r="AB881" s="776"/>
    </row>
    <row r="882" spans="1:28" ht="15.75" customHeight="1">
      <c r="A882" s="776"/>
      <c r="B882" s="776"/>
      <c r="C882" s="776"/>
      <c r="D882" s="776"/>
      <c r="E882" s="777"/>
      <c r="F882" s="776"/>
      <c r="G882" s="777"/>
      <c r="H882" s="776"/>
      <c r="I882" s="777"/>
      <c r="J882" s="777"/>
      <c r="K882" s="786"/>
      <c r="L882" s="777"/>
      <c r="M882" s="785"/>
      <c r="N882" s="785"/>
      <c r="O882" s="785"/>
      <c r="P882" s="785"/>
      <c r="Q882" s="785"/>
      <c r="R882" s="785"/>
      <c r="S882" s="776"/>
      <c r="T882" s="776"/>
      <c r="U882" s="776"/>
      <c r="V882" s="776"/>
      <c r="W882" s="776"/>
      <c r="X882" s="776"/>
      <c r="Y882" s="785"/>
      <c r="Z882" s="776"/>
      <c r="AA882" s="776"/>
      <c r="AB882" s="776"/>
    </row>
    <row r="883" spans="1:28" ht="15.75" customHeight="1">
      <c r="A883" s="776"/>
      <c r="B883" s="776"/>
      <c r="C883" s="776"/>
      <c r="D883" s="776"/>
      <c r="E883" s="777"/>
      <c r="F883" s="776"/>
      <c r="G883" s="777"/>
      <c r="H883" s="776"/>
      <c r="I883" s="777"/>
      <c r="J883" s="777"/>
      <c r="K883" s="786"/>
      <c r="L883" s="777"/>
      <c r="M883" s="785"/>
      <c r="N883" s="785"/>
      <c r="O883" s="785"/>
      <c r="P883" s="785"/>
      <c r="Q883" s="785"/>
      <c r="R883" s="785"/>
      <c r="S883" s="776"/>
      <c r="T883" s="776"/>
      <c r="U883" s="776"/>
      <c r="V883" s="776"/>
      <c r="W883" s="776"/>
      <c r="X883" s="776"/>
      <c r="Y883" s="785"/>
      <c r="Z883" s="776"/>
      <c r="AA883" s="776"/>
      <c r="AB883" s="776"/>
    </row>
    <row r="884" spans="1:28" ht="15.75" customHeight="1">
      <c r="A884" s="776"/>
      <c r="B884" s="776"/>
      <c r="C884" s="776"/>
      <c r="D884" s="776"/>
      <c r="E884" s="777"/>
      <c r="F884" s="776"/>
      <c r="G884" s="777"/>
      <c r="H884" s="776"/>
      <c r="I884" s="777"/>
      <c r="J884" s="777"/>
      <c r="K884" s="786"/>
      <c r="L884" s="777"/>
      <c r="M884" s="785"/>
      <c r="N884" s="785"/>
      <c r="O884" s="785"/>
      <c r="P884" s="785"/>
      <c r="Q884" s="785"/>
      <c r="R884" s="785"/>
      <c r="S884" s="776"/>
      <c r="T884" s="776"/>
      <c r="U884" s="776"/>
      <c r="V884" s="776"/>
      <c r="W884" s="776"/>
      <c r="X884" s="776"/>
      <c r="Y884" s="785"/>
      <c r="Z884" s="776"/>
      <c r="AA884" s="776"/>
      <c r="AB884" s="776"/>
    </row>
    <row r="885" spans="1:28" ht="15.75" customHeight="1">
      <c r="A885" s="776"/>
      <c r="B885" s="776"/>
      <c r="C885" s="776"/>
      <c r="D885" s="776"/>
      <c r="E885" s="777"/>
      <c r="F885" s="776"/>
      <c r="G885" s="777"/>
      <c r="H885" s="776"/>
      <c r="I885" s="777"/>
      <c r="J885" s="777"/>
      <c r="K885" s="786"/>
      <c r="L885" s="777"/>
      <c r="M885" s="785"/>
      <c r="N885" s="785"/>
      <c r="O885" s="785"/>
      <c r="P885" s="785"/>
      <c r="Q885" s="785"/>
      <c r="R885" s="785"/>
      <c r="S885" s="776"/>
      <c r="T885" s="776"/>
      <c r="U885" s="776"/>
      <c r="V885" s="776"/>
      <c r="W885" s="776"/>
      <c r="X885" s="776"/>
      <c r="Y885" s="785"/>
      <c r="Z885" s="776"/>
      <c r="AA885" s="776"/>
      <c r="AB885" s="776"/>
    </row>
    <row r="886" spans="1:28" ht="15.75" customHeight="1">
      <c r="A886" s="776"/>
      <c r="B886" s="776"/>
      <c r="C886" s="776"/>
      <c r="D886" s="776"/>
      <c r="E886" s="777"/>
      <c r="F886" s="776"/>
      <c r="G886" s="777"/>
      <c r="H886" s="776"/>
      <c r="I886" s="777"/>
      <c r="J886" s="777"/>
      <c r="K886" s="786"/>
      <c r="L886" s="777"/>
      <c r="M886" s="785"/>
      <c r="N886" s="785"/>
      <c r="O886" s="785"/>
      <c r="P886" s="785"/>
      <c r="Q886" s="785"/>
      <c r="R886" s="785"/>
      <c r="S886" s="776"/>
      <c r="T886" s="776"/>
      <c r="U886" s="776"/>
      <c r="V886" s="776"/>
      <c r="W886" s="776"/>
      <c r="X886" s="776"/>
      <c r="Y886" s="785"/>
      <c r="Z886" s="776"/>
      <c r="AA886" s="776"/>
      <c r="AB886" s="776"/>
    </row>
    <row r="887" spans="1:28" ht="15.75" customHeight="1">
      <c r="A887" s="776"/>
      <c r="B887" s="776"/>
      <c r="C887" s="776"/>
      <c r="D887" s="776"/>
      <c r="E887" s="777"/>
      <c r="F887" s="776"/>
      <c r="G887" s="777"/>
      <c r="H887" s="776"/>
      <c r="I887" s="777"/>
      <c r="J887" s="777"/>
      <c r="K887" s="786"/>
      <c r="L887" s="777"/>
      <c r="M887" s="785"/>
      <c r="N887" s="785"/>
      <c r="O887" s="785"/>
      <c r="P887" s="785"/>
      <c r="Q887" s="785"/>
      <c r="R887" s="785"/>
      <c r="S887" s="776"/>
      <c r="T887" s="776"/>
      <c r="U887" s="776"/>
      <c r="V887" s="776"/>
      <c r="W887" s="776"/>
      <c r="X887" s="776"/>
      <c r="Y887" s="785"/>
      <c r="Z887" s="776"/>
      <c r="AA887" s="776"/>
      <c r="AB887" s="776"/>
    </row>
    <row r="888" spans="1:28" ht="15.75" customHeight="1">
      <c r="A888" s="776"/>
      <c r="B888" s="776"/>
      <c r="C888" s="776"/>
      <c r="D888" s="776"/>
      <c r="E888" s="777"/>
      <c r="F888" s="776"/>
      <c r="G888" s="777"/>
      <c r="H888" s="776"/>
      <c r="I888" s="777"/>
      <c r="J888" s="777"/>
      <c r="K888" s="786"/>
      <c r="L888" s="777"/>
      <c r="M888" s="785"/>
      <c r="N888" s="785"/>
      <c r="O888" s="785"/>
      <c r="P888" s="785"/>
      <c r="Q888" s="785"/>
      <c r="R888" s="785"/>
      <c r="S888" s="776"/>
      <c r="T888" s="776"/>
      <c r="U888" s="776"/>
      <c r="V888" s="776"/>
      <c r="W888" s="776"/>
      <c r="X888" s="776"/>
      <c r="Y888" s="785"/>
      <c r="Z888" s="776"/>
      <c r="AA888" s="776"/>
      <c r="AB888" s="776"/>
    </row>
    <row r="889" spans="1:28" ht="15.75" customHeight="1">
      <c r="A889" s="776"/>
      <c r="B889" s="776"/>
      <c r="C889" s="776"/>
      <c r="D889" s="776"/>
      <c r="E889" s="777"/>
      <c r="F889" s="776"/>
      <c r="G889" s="777"/>
      <c r="H889" s="776"/>
      <c r="I889" s="777"/>
      <c r="J889" s="777"/>
      <c r="K889" s="786"/>
      <c r="L889" s="777"/>
      <c r="M889" s="785"/>
      <c r="N889" s="785"/>
      <c r="O889" s="785"/>
      <c r="P889" s="785"/>
      <c r="Q889" s="785"/>
      <c r="R889" s="785"/>
      <c r="S889" s="776"/>
      <c r="T889" s="776"/>
      <c r="U889" s="776"/>
      <c r="V889" s="776"/>
      <c r="W889" s="776"/>
      <c r="X889" s="776"/>
      <c r="Y889" s="785"/>
      <c r="Z889" s="776"/>
      <c r="AA889" s="776"/>
      <c r="AB889" s="776"/>
    </row>
    <row r="890" spans="1:28" ht="15.75" customHeight="1">
      <c r="A890" s="776"/>
      <c r="B890" s="776"/>
      <c r="C890" s="776"/>
      <c r="D890" s="776"/>
      <c r="E890" s="777"/>
      <c r="F890" s="776"/>
      <c r="G890" s="777"/>
      <c r="H890" s="776"/>
      <c r="I890" s="777"/>
      <c r="J890" s="777"/>
      <c r="K890" s="786"/>
      <c r="L890" s="777"/>
      <c r="M890" s="785"/>
      <c r="N890" s="785"/>
      <c r="O890" s="785"/>
      <c r="P890" s="785"/>
      <c r="Q890" s="785"/>
      <c r="R890" s="785"/>
      <c r="S890" s="776"/>
      <c r="T890" s="776"/>
      <c r="U890" s="776"/>
      <c r="V890" s="776"/>
      <c r="W890" s="776"/>
      <c r="X890" s="776"/>
      <c r="Y890" s="785"/>
      <c r="Z890" s="776"/>
      <c r="AA890" s="776"/>
      <c r="AB890" s="776"/>
    </row>
    <row r="891" spans="1:28" ht="15.75" customHeight="1">
      <c r="A891" s="776"/>
      <c r="B891" s="776"/>
      <c r="C891" s="776"/>
      <c r="D891" s="776"/>
      <c r="E891" s="777"/>
      <c r="F891" s="776"/>
      <c r="G891" s="777"/>
      <c r="H891" s="776"/>
      <c r="I891" s="777"/>
      <c r="J891" s="777"/>
      <c r="K891" s="786"/>
      <c r="L891" s="777"/>
      <c r="M891" s="785"/>
      <c r="N891" s="785"/>
      <c r="O891" s="785"/>
      <c r="P891" s="785"/>
      <c r="Q891" s="785"/>
      <c r="R891" s="785"/>
      <c r="S891" s="776"/>
      <c r="T891" s="776"/>
      <c r="U891" s="776"/>
      <c r="V891" s="776"/>
      <c r="W891" s="776"/>
      <c r="X891" s="776"/>
      <c r="Y891" s="785"/>
      <c r="Z891" s="776"/>
      <c r="AA891" s="776"/>
      <c r="AB891" s="776"/>
    </row>
    <row r="892" spans="1:28" ht="15.75" customHeight="1">
      <c r="A892" s="776"/>
      <c r="B892" s="776"/>
      <c r="C892" s="776"/>
      <c r="D892" s="776"/>
      <c r="E892" s="777"/>
      <c r="F892" s="776"/>
      <c r="G892" s="777"/>
      <c r="H892" s="776"/>
      <c r="I892" s="777"/>
      <c r="J892" s="777"/>
      <c r="K892" s="786"/>
      <c r="L892" s="777"/>
      <c r="M892" s="785"/>
      <c r="N892" s="785"/>
      <c r="O892" s="785"/>
      <c r="P892" s="785"/>
      <c r="Q892" s="785"/>
      <c r="R892" s="785"/>
      <c r="S892" s="776"/>
      <c r="T892" s="776"/>
      <c r="U892" s="776"/>
      <c r="V892" s="776"/>
      <c r="W892" s="776"/>
      <c r="X892" s="776"/>
      <c r="Y892" s="785"/>
      <c r="Z892" s="776"/>
      <c r="AA892" s="776"/>
      <c r="AB892" s="776"/>
    </row>
    <row r="893" spans="1:28" ht="15.75" customHeight="1">
      <c r="A893" s="776"/>
      <c r="B893" s="776"/>
      <c r="C893" s="776"/>
      <c r="D893" s="776"/>
      <c r="E893" s="777"/>
      <c r="F893" s="776"/>
      <c r="G893" s="777"/>
      <c r="H893" s="776"/>
      <c r="I893" s="777"/>
      <c r="J893" s="777"/>
      <c r="K893" s="786"/>
      <c r="L893" s="777"/>
      <c r="M893" s="785"/>
      <c r="N893" s="785"/>
      <c r="O893" s="785"/>
      <c r="P893" s="785"/>
      <c r="Q893" s="785"/>
      <c r="R893" s="785"/>
      <c r="S893" s="776"/>
      <c r="T893" s="776"/>
      <c r="U893" s="776"/>
      <c r="V893" s="776"/>
      <c r="W893" s="776"/>
      <c r="X893" s="776"/>
      <c r="Y893" s="785"/>
      <c r="Z893" s="776"/>
      <c r="AA893" s="776"/>
      <c r="AB893" s="776"/>
    </row>
    <row r="894" spans="1:28" ht="15.75" customHeight="1">
      <c r="A894" s="776"/>
      <c r="B894" s="776"/>
      <c r="C894" s="776"/>
      <c r="D894" s="776"/>
      <c r="E894" s="777"/>
      <c r="F894" s="776"/>
      <c r="G894" s="777"/>
      <c r="H894" s="776"/>
      <c r="I894" s="777"/>
      <c r="J894" s="777"/>
      <c r="K894" s="786"/>
      <c r="L894" s="777"/>
      <c r="M894" s="785"/>
      <c r="N894" s="785"/>
      <c r="O894" s="785"/>
      <c r="P894" s="785"/>
      <c r="Q894" s="785"/>
      <c r="R894" s="785"/>
      <c r="S894" s="776"/>
      <c r="T894" s="776"/>
      <c r="U894" s="776"/>
      <c r="V894" s="776"/>
      <c r="W894" s="776"/>
      <c r="X894" s="776"/>
      <c r="Y894" s="785"/>
      <c r="Z894" s="776"/>
      <c r="AA894" s="776"/>
      <c r="AB894" s="776"/>
    </row>
    <row r="895" spans="1:28" ht="15.75" customHeight="1">
      <c r="A895" s="776"/>
      <c r="B895" s="776"/>
      <c r="C895" s="776"/>
      <c r="D895" s="776"/>
      <c r="E895" s="777"/>
      <c r="F895" s="776"/>
      <c r="G895" s="777"/>
      <c r="H895" s="776"/>
      <c r="I895" s="777"/>
      <c r="J895" s="777"/>
      <c r="K895" s="786"/>
      <c r="L895" s="777"/>
      <c r="M895" s="785"/>
      <c r="N895" s="785"/>
      <c r="O895" s="785"/>
      <c r="P895" s="785"/>
      <c r="Q895" s="785"/>
      <c r="R895" s="785"/>
      <c r="S895" s="776"/>
      <c r="T895" s="776"/>
      <c r="U895" s="776"/>
      <c r="V895" s="776"/>
      <c r="W895" s="776"/>
      <c r="X895" s="776"/>
      <c r="Y895" s="785"/>
      <c r="Z895" s="776"/>
      <c r="AA895" s="776"/>
      <c r="AB895" s="776"/>
    </row>
    <row r="896" spans="1:28" ht="15.75" customHeight="1">
      <c r="A896" s="776"/>
      <c r="B896" s="776"/>
      <c r="C896" s="776"/>
      <c r="D896" s="776"/>
      <c r="E896" s="777"/>
      <c r="F896" s="776"/>
      <c r="G896" s="777"/>
      <c r="H896" s="776"/>
      <c r="I896" s="777"/>
      <c r="J896" s="777"/>
      <c r="K896" s="786"/>
      <c r="L896" s="777"/>
      <c r="M896" s="785"/>
      <c r="N896" s="785"/>
      <c r="O896" s="785"/>
      <c r="P896" s="785"/>
      <c r="Q896" s="785"/>
      <c r="R896" s="785"/>
      <c r="S896" s="776"/>
      <c r="T896" s="776"/>
      <c r="U896" s="776"/>
      <c r="V896" s="776"/>
      <c r="W896" s="776"/>
      <c r="X896" s="776"/>
      <c r="Y896" s="785"/>
      <c r="Z896" s="776"/>
      <c r="AA896" s="776"/>
      <c r="AB896" s="776"/>
    </row>
    <row r="897" spans="1:28" ht="15.75" customHeight="1">
      <c r="A897" s="776"/>
      <c r="B897" s="776"/>
      <c r="C897" s="776"/>
      <c r="D897" s="776"/>
      <c r="E897" s="777"/>
      <c r="F897" s="776"/>
      <c r="G897" s="777"/>
      <c r="H897" s="776"/>
      <c r="I897" s="777"/>
      <c r="J897" s="777"/>
      <c r="K897" s="786"/>
      <c r="L897" s="777"/>
      <c r="M897" s="785"/>
      <c r="N897" s="785"/>
      <c r="O897" s="785"/>
      <c r="P897" s="785"/>
      <c r="Q897" s="785"/>
      <c r="R897" s="785"/>
      <c r="S897" s="776"/>
      <c r="T897" s="776"/>
      <c r="U897" s="776"/>
      <c r="V897" s="776"/>
      <c r="W897" s="776"/>
      <c r="X897" s="776"/>
      <c r="Y897" s="785"/>
      <c r="Z897" s="776"/>
      <c r="AA897" s="776"/>
      <c r="AB897" s="776"/>
    </row>
    <row r="898" spans="1:28" ht="15.75" customHeight="1">
      <c r="A898" s="776"/>
      <c r="B898" s="776"/>
      <c r="C898" s="776"/>
      <c r="D898" s="776"/>
      <c r="E898" s="777"/>
      <c r="F898" s="776"/>
      <c r="G898" s="777"/>
      <c r="H898" s="776"/>
      <c r="I898" s="777"/>
      <c r="J898" s="777"/>
      <c r="K898" s="786"/>
      <c r="L898" s="777"/>
      <c r="M898" s="785"/>
      <c r="N898" s="785"/>
      <c r="O898" s="785"/>
      <c r="P898" s="785"/>
      <c r="Q898" s="785"/>
      <c r="R898" s="785"/>
      <c r="S898" s="776"/>
      <c r="T898" s="776"/>
      <c r="U898" s="776"/>
      <c r="V898" s="776"/>
      <c r="W898" s="776"/>
      <c r="X898" s="776"/>
      <c r="Y898" s="785"/>
      <c r="Z898" s="776"/>
      <c r="AA898" s="776"/>
      <c r="AB898" s="776"/>
    </row>
    <row r="899" spans="1:28" ht="15.75" customHeight="1">
      <c r="A899" s="776"/>
      <c r="B899" s="776"/>
      <c r="C899" s="776"/>
      <c r="D899" s="776"/>
      <c r="E899" s="777"/>
      <c r="F899" s="776"/>
      <c r="G899" s="777"/>
      <c r="H899" s="776"/>
      <c r="I899" s="777"/>
      <c r="J899" s="777"/>
      <c r="K899" s="786"/>
      <c r="L899" s="777"/>
      <c r="M899" s="785"/>
      <c r="N899" s="785"/>
      <c r="O899" s="785"/>
      <c r="P899" s="785"/>
      <c r="Q899" s="785"/>
      <c r="R899" s="785"/>
      <c r="S899" s="776"/>
      <c r="T899" s="776"/>
      <c r="U899" s="776"/>
      <c r="V899" s="776"/>
      <c r="W899" s="776"/>
      <c r="X899" s="776"/>
      <c r="Y899" s="785"/>
      <c r="Z899" s="776"/>
      <c r="AA899" s="776"/>
      <c r="AB899" s="776"/>
    </row>
    <row r="900" spans="1:28" ht="15.75" customHeight="1">
      <c r="A900" s="776"/>
      <c r="B900" s="776"/>
      <c r="C900" s="776"/>
      <c r="D900" s="776"/>
      <c r="E900" s="777"/>
      <c r="F900" s="776"/>
      <c r="G900" s="777"/>
      <c r="H900" s="776"/>
      <c r="I900" s="777"/>
      <c r="J900" s="777"/>
      <c r="K900" s="786"/>
      <c r="L900" s="777"/>
      <c r="M900" s="785"/>
      <c r="N900" s="785"/>
      <c r="O900" s="785"/>
      <c r="P900" s="785"/>
      <c r="Q900" s="785"/>
      <c r="R900" s="785"/>
      <c r="S900" s="776"/>
      <c r="T900" s="776"/>
      <c r="U900" s="776"/>
      <c r="V900" s="776"/>
      <c r="W900" s="776"/>
      <c r="X900" s="776"/>
      <c r="Y900" s="785"/>
      <c r="Z900" s="776"/>
      <c r="AA900" s="776"/>
      <c r="AB900" s="776"/>
    </row>
    <row r="901" spans="1:28" ht="15.75" customHeight="1">
      <c r="A901" s="776"/>
      <c r="B901" s="776"/>
      <c r="C901" s="776"/>
      <c r="D901" s="776"/>
      <c r="E901" s="777"/>
      <c r="F901" s="776"/>
      <c r="G901" s="777"/>
      <c r="H901" s="776"/>
      <c r="I901" s="777"/>
      <c r="J901" s="777"/>
      <c r="K901" s="786"/>
      <c r="L901" s="777"/>
      <c r="M901" s="785"/>
      <c r="N901" s="785"/>
      <c r="O901" s="785"/>
      <c r="P901" s="785"/>
      <c r="Q901" s="785"/>
      <c r="R901" s="785"/>
      <c r="S901" s="776"/>
      <c r="T901" s="776"/>
      <c r="U901" s="776"/>
      <c r="V901" s="776"/>
      <c r="W901" s="776"/>
      <c r="X901" s="776"/>
      <c r="Y901" s="785"/>
      <c r="Z901" s="776"/>
      <c r="AA901" s="776"/>
      <c r="AB901" s="776"/>
    </row>
    <row r="902" spans="1:28" ht="15.75" customHeight="1">
      <c r="A902" s="776"/>
      <c r="B902" s="776"/>
      <c r="C902" s="776"/>
      <c r="D902" s="776"/>
      <c r="E902" s="777"/>
      <c r="F902" s="776"/>
      <c r="G902" s="777"/>
      <c r="H902" s="776"/>
      <c r="I902" s="777"/>
      <c r="J902" s="777"/>
      <c r="K902" s="786"/>
      <c r="L902" s="777"/>
      <c r="M902" s="785"/>
      <c r="N902" s="785"/>
      <c r="O902" s="785"/>
      <c r="P902" s="785"/>
      <c r="Q902" s="785"/>
      <c r="R902" s="785"/>
      <c r="S902" s="776"/>
      <c r="T902" s="776"/>
      <c r="U902" s="776"/>
      <c r="V902" s="776"/>
      <c r="W902" s="776"/>
      <c r="X902" s="776"/>
      <c r="Y902" s="785"/>
      <c r="Z902" s="776"/>
      <c r="AA902" s="776"/>
      <c r="AB902" s="776"/>
    </row>
    <row r="903" spans="1:28" ht="15.75" customHeight="1">
      <c r="A903" s="776"/>
      <c r="B903" s="776"/>
      <c r="C903" s="776"/>
      <c r="D903" s="776"/>
      <c r="E903" s="777"/>
      <c r="F903" s="776"/>
      <c r="G903" s="777"/>
      <c r="H903" s="776"/>
      <c r="I903" s="777"/>
      <c r="J903" s="777"/>
      <c r="K903" s="786"/>
      <c r="L903" s="777"/>
      <c r="M903" s="785"/>
      <c r="N903" s="785"/>
      <c r="O903" s="785"/>
      <c r="P903" s="785"/>
      <c r="Q903" s="785"/>
      <c r="R903" s="785"/>
      <c r="S903" s="776"/>
      <c r="T903" s="776"/>
      <c r="U903" s="776"/>
      <c r="V903" s="776"/>
      <c r="W903" s="776"/>
      <c r="X903" s="776"/>
      <c r="Y903" s="785"/>
      <c r="Z903" s="776"/>
      <c r="AA903" s="776"/>
      <c r="AB903" s="776"/>
    </row>
    <row r="904" spans="1:28" ht="15.75" customHeight="1">
      <c r="A904" s="776"/>
      <c r="B904" s="776"/>
      <c r="C904" s="776"/>
      <c r="D904" s="776"/>
      <c r="E904" s="777"/>
      <c r="F904" s="776"/>
      <c r="G904" s="777"/>
      <c r="H904" s="776"/>
      <c r="I904" s="777"/>
      <c r="J904" s="777"/>
      <c r="K904" s="786"/>
      <c r="L904" s="777"/>
      <c r="M904" s="785"/>
      <c r="N904" s="785"/>
      <c r="O904" s="785"/>
      <c r="P904" s="785"/>
      <c r="Q904" s="785"/>
      <c r="R904" s="785"/>
      <c r="S904" s="776"/>
      <c r="T904" s="776"/>
      <c r="U904" s="776"/>
      <c r="V904" s="776"/>
      <c r="W904" s="776"/>
      <c r="X904" s="776"/>
      <c r="Y904" s="785"/>
      <c r="Z904" s="776"/>
      <c r="AA904" s="776"/>
      <c r="AB904" s="776"/>
    </row>
    <row r="905" spans="1:28" ht="15.75" customHeight="1">
      <c r="A905" s="776"/>
      <c r="B905" s="776"/>
      <c r="C905" s="776"/>
      <c r="D905" s="776"/>
      <c r="E905" s="777"/>
      <c r="F905" s="776"/>
      <c r="G905" s="777"/>
      <c r="H905" s="776"/>
      <c r="I905" s="777"/>
      <c r="J905" s="777"/>
      <c r="K905" s="786"/>
      <c r="L905" s="777"/>
      <c r="M905" s="785"/>
      <c r="N905" s="785"/>
      <c r="O905" s="785"/>
      <c r="P905" s="785"/>
      <c r="Q905" s="785"/>
      <c r="R905" s="785"/>
      <c r="S905" s="776"/>
      <c r="T905" s="776"/>
      <c r="U905" s="776"/>
      <c r="V905" s="776"/>
      <c r="W905" s="776"/>
      <c r="X905" s="776"/>
      <c r="Y905" s="785"/>
      <c r="Z905" s="776"/>
      <c r="AA905" s="776"/>
      <c r="AB905" s="776"/>
    </row>
    <row r="906" spans="1:28" ht="15.75" customHeight="1">
      <c r="A906" s="776"/>
      <c r="B906" s="776"/>
      <c r="C906" s="776"/>
      <c r="D906" s="776"/>
      <c r="E906" s="777"/>
      <c r="F906" s="776"/>
      <c r="G906" s="777"/>
      <c r="H906" s="776"/>
      <c r="I906" s="777"/>
      <c r="J906" s="777"/>
      <c r="K906" s="786"/>
      <c r="L906" s="777"/>
      <c r="M906" s="785"/>
      <c r="N906" s="785"/>
      <c r="O906" s="785"/>
      <c r="P906" s="785"/>
      <c r="Q906" s="785"/>
      <c r="R906" s="785"/>
      <c r="S906" s="776"/>
      <c r="T906" s="776"/>
      <c r="U906" s="776"/>
      <c r="V906" s="776"/>
      <c r="W906" s="776"/>
      <c r="X906" s="776"/>
      <c r="Y906" s="785"/>
      <c r="Z906" s="776"/>
      <c r="AA906" s="776"/>
      <c r="AB906" s="776"/>
    </row>
    <row r="907" spans="1:28" ht="15.75" customHeight="1">
      <c r="A907" s="776"/>
      <c r="B907" s="776"/>
      <c r="C907" s="776"/>
      <c r="D907" s="776"/>
      <c r="E907" s="777"/>
      <c r="F907" s="776"/>
      <c r="G907" s="777"/>
      <c r="H907" s="776"/>
      <c r="I907" s="777"/>
      <c r="J907" s="777"/>
      <c r="K907" s="786"/>
      <c r="L907" s="777"/>
      <c r="M907" s="785"/>
      <c r="N907" s="785"/>
      <c r="O907" s="785"/>
      <c r="P907" s="785"/>
      <c r="Q907" s="785"/>
      <c r="R907" s="785"/>
      <c r="S907" s="776"/>
      <c r="T907" s="776"/>
      <c r="U907" s="776"/>
      <c r="V907" s="776"/>
      <c r="W907" s="776"/>
      <c r="X907" s="776"/>
      <c r="Y907" s="785"/>
      <c r="Z907" s="776"/>
      <c r="AA907" s="776"/>
      <c r="AB907" s="776"/>
    </row>
    <row r="908" spans="1:28" ht="15.75" customHeight="1">
      <c r="A908" s="776"/>
      <c r="B908" s="776"/>
      <c r="C908" s="776"/>
      <c r="D908" s="776"/>
      <c r="E908" s="777"/>
      <c r="F908" s="776"/>
      <c r="G908" s="777"/>
      <c r="H908" s="776"/>
      <c r="I908" s="777"/>
      <c r="J908" s="777"/>
      <c r="K908" s="786"/>
      <c r="L908" s="777"/>
      <c r="M908" s="785"/>
      <c r="N908" s="785"/>
      <c r="O908" s="785"/>
      <c r="P908" s="785"/>
      <c r="Q908" s="785"/>
      <c r="R908" s="785"/>
      <c r="S908" s="776"/>
      <c r="T908" s="776"/>
      <c r="U908" s="776"/>
      <c r="V908" s="776"/>
      <c r="W908" s="776"/>
      <c r="X908" s="776"/>
      <c r="Y908" s="785"/>
      <c r="Z908" s="776"/>
      <c r="AA908" s="776"/>
      <c r="AB908" s="776"/>
    </row>
    <row r="909" spans="1:28" ht="15.75" customHeight="1">
      <c r="A909" s="776"/>
      <c r="B909" s="776"/>
      <c r="C909" s="776"/>
      <c r="D909" s="776"/>
      <c r="E909" s="777"/>
      <c r="F909" s="776"/>
      <c r="G909" s="777"/>
      <c r="H909" s="776"/>
      <c r="I909" s="777"/>
      <c r="J909" s="777"/>
      <c r="K909" s="786"/>
      <c r="L909" s="777"/>
      <c r="M909" s="785"/>
      <c r="N909" s="785"/>
      <c r="O909" s="785"/>
      <c r="P909" s="785"/>
      <c r="Q909" s="785"/>
      <c r="R909" s="785"/>
      <c r="S909" s="776"/>
      <c r="T909" s="776"/>
      <c r="U909" s="776"/>
      <c r="V909" s="776"/>
      <c r="W909" s="776"/>
      <c r="X909" s="776"/>
      <c r="Y909" s="785"/>
      <c r="Z909" s="776"/>
      <c r="AA909" s="776"/>
      <c r="AB909" s="776"/>
    </row>
    <row r="910" spans="1:28" ht="15.75" customHeight="1">
      <c r="A910" s="776"/>
      <c r="B910" s="776"/>
      <c r="C910" s="776"/>
      <c r="D910" s="776"/>
      <c r="E910" s="777"/>
      <c r="F910" s="776"/>
      <c r="G910" s="777"/>
      <c r="H910" s="776"/>
      <c r="I910" s="777"/>
      <c r="J910" s="777"/>
      <c r="K910" s="786"/>
      <c r="L910" s="777"/>
      <c r="M910" s="785"/>
      <c r="N910" s="785"/>
      <c r="O910" s="785"/>
      <c r="P910" s="785"/>
      <c r="Q910" s="785"/>
      <c r="R910" s="785"/>
      <c r="S910" s="776"/>
      <c r="T910" s="776"/>
      <c r="U910" s="776"/>
      <c r="V910" s="776"/>
      <c r="W910" s="776"/>
      <c r="X910" s="776"/>
      <c r="Y910" s="785"/>
      <c r="Z910" s="776"/>
      <c r="AA910" s="776"/>
      <c r="AB910" s="776"/>
    </row>
    <row r="911" spans="1:28" ht="15.75" customHeight="1">
      <c r="A911" s="776"/>
      <c r="B911" s="776"/>
      <c r="C911" s="776"/>
      <c r="D911" s="776"/>
      <c r="E911" s="777"/>
      <c r="F911" s="776"/>
      <c r="G911" s="777"/>
      <c r="H911" s="776"/>
      <c r="I911" s="777"/>
      <c r="J911" s="777"/>
      <c r="K911" s="786"/>
      <c r="L911" s="777"/>
      <c r="M911" s="785"/>
      <c r="N911" s="785"/>
      <c r="O911" s="785"/>
      <c r="P911" s="785"/>
      <c r="Q911" s="785"/>
      <c r="R911" s="785"/>
      <c r="S911" s="776"/>
      <c r="T911" s="776"/>
      <c r="U911" s="776"/>
      <c r="V911" s="776"/>
      <c r="W911" s="776"/>
      <c r="X911" s="776"/>
      <c r="Y911" s="785"/>
      <c r="Z911" s="776"/>
      <c r="AA911" s="776"/>
      <c r="AB911" s="776"/>
    </row>
    <row r="912" spans="1:28" ht="15.75" customHeight="1">
      <c r="A912" s="776"/>
      <c r="B912" s="776"/>
      <c r="C912" s="776"/>
      <c r="D912" s="776"/>
      <c r="E912" s="777"/>
      <c r="F912" s="776"/>
      <c r="G912" s="777"/>
      <c r="H912" s="776"/>
      <c r="I912" s="777"/>
      <c r="J912" s="777"/>
      <c r="K912" s="786"/>
      <c r="L912" s="777"/>
      <c r="M912" s="785"/>
      <c r="N912" s="785"/>
      <c r="O912" s="785"/>
      <c r="P912" s="785"/>
      <c r="Q912" s="785"/>
      <c r="R912" s="785"/>
      <c r="S912" s="776"/>
      <c r="T912" s="776"/>
      <c r="U912" s="776"/>
      <c r="V912" s="776"/>
      <c r="W912" s="776"/>
      <c r="X912" s="776"/>
      <c r="Y912" s="785"/>
      <c r="Z912" s="776"/>
      <c r="AA912" s="776"/>
      <c r="AB912" s="776"/>
    </row>
    <row r="913" spans="1:28" ht="15.75" customHeight="1">
      <c r="A913" s="776"/>
      <c r="B913" s="776"/>
      <c r="C913" s="776"/>
      <c r="D913" s="776"/>
      <c r="E913" s="777"/>
      <c r="F913" s="776"/>
      <c r="G913" s="777"/>
      <c r="H913" s="776"/>
      <c r="I913" s="777"/>
      <c r="J913" s="777"/>
      <c r="K913" s="786"/>
      <c r="L913" s="777"/>
      <c r="M913" s="785"/>
      <c r="N913" s="785"/>
      <c r="O913" s="785"/>
      <c r="P913" s="785"/>
      <c r="Q913" s="785"/>
      <c r="R913" s="785"/>
      <c r="S913" s="776"/>
      <c r="T913" s="776"/>
      <c r="U913" s="776"/>
      <c r="V913" s="776"/>
      <c r="W913" s="776"/>
      <c r="X913" s="776"/>
      <c r="Y913" s="785"/>
      <c r="Z913" s="776"/>
      <c r="AA913" s="776"/>
      <c r="AB913" s="776"/>
    </row>
    <row r="914" spans="1:28" ht="15.75" customHeight="1">
      <c r="A914" s="776"/>
      <c r="B914" s="776"/>
      <c r="C914" s="776"/>
      <c r="D914" s="776"/>
      <c r="E914" s="777"/>
      <c r="F914" s="776"/>
      <c r="G914" s="777"/>
      <c r="H914" s="776"/>
      <c r="I914" s="777"/>
      <c r="J914" s="777"/>
      <c r="K914" s="786"/>
      <c r="L914" s="777"/>
      <c r="M914" s="785"/>
      <c r="N914" s="785"/>
      <c r="O914" s="785"/>
      <c r="P914" s="785"/>
      <c r="Q914" s="785"/>
      <c r="R914" s="785"/>
      <c r="S914" s="776"/>
      <c r="T914" s="776"/>
      <c r="U914" s="776"/>
      <c r="V914" s="776"/>
      <c r="W914" s="776"/>
      <c r="X914" s="776"/>
      <c r="Y914" s="785"/>
      <c r="Z914" s="776"/>
      <c r="AA914" s="776"/>
      <c r="AB914" s="776"/>
    </row>
    <row r="915" spans="1:28" ht="15.75" customHeight="1">
      <c r="A915" s="776"/>
      <c r="B915" s="776"/>
      <c r="C915" s="776"/>
      <c r="D915" s="776"/>
      <c r="E915" s="777"/>
      <c r="F915" s="776"/>
      <c r="G915" s="777"/>
      <c r="H915" s="776"/>
      <c r="I915" s="777"/>
      <c r="J915" s="777"/>
      <c r="K915" s="786"/>
      <c r="L915" s="777"/>
      <c r="M915" s="785"/>
      <c r="N915" s="785"/>
      <c r="O915" s="785"/>
      <c r="P915" s="785"/>
      <c r="Q915" s="785"/>
      <c r="R915" s="785"/>
      <c r="S915" s="776"/>
      <c r="T915" s="776"/>
      <c r="U915" s="776"/>
      <c r="V915" s="776"/>
      <c r="W915" s="776"/>
      <c r="X915" s="776"/>
      <c r="Y915" s="785"/>
      <c r="Z915" s="776"/>
      <c r="AA915" s="776"/>
      <c r="AB915" s="776"/>
    </row>
    <row r="916" spans="1:28" ht="15.75" customHeight="1">
      <c r="A916" s="776"/>
      <c r="B916" s="776"/>
      <c r="C916" s="776"/>
      <c r="D916" s="776"/>
      <c r="E916" s="777"/>
      <c r="F916" s="776"/>
      <c r="G916" s="777"/>
      <c r="H916" s="776"/>
      <c r="I916" s="777"/>
      <c r="J916" s="777"/>
      <c r="K916" s="786"/>
      <c r="L916" s="777"/>
      <c r="M916" s="785"/>
      <c r="N916" s="785"/>
      <c r="O916" s="785"/>
      <c r="P916" s="785"/>
      <c r="Q916" s="785"/>
      <c r="R916" s="785"/>
      <c r="S916" s="776"/>
      <c r="T916" s="776"/>
      <c r="U916" s="776"/>
      <c r="V916" s="776"/>
      <c r="W916" s="776"/>
      <c r="X916" s="776"/>
      <c r="Y916" s="785"/>
      <c r="Z916" s="776"/>
      <c r="AA916" s="776"/>
      <c r="AB916" s="776"/>
    </row>
    <row r="917" spans="1:28" ht="15.75" customHeight="1">
      <c r="A917" s="776"/>
      <c r="B917" s="776"/>
      <c r="C917" s="776"/>
      <c r="D917" s="776"/>
      <c r="E917" s="777"/>
      <c r="F917" s="776"/>
      <c r="G917" s="777"/>
      <c r="H917" s="776"/>
      <c r="I917" s="777"/>
      <c r="J917" s="777"/>
      <c r="K917" s="786"/>
      <c r="L917" s="777"/>
      <c r="M917" s="785"/>
      <c r="N917" s="785"/>
      <c r="O917" s="785"/>
      <c r="P917" s="785"/>
      <c r="Q917" s="785"/>
      <c r="R917" s="785"/>
      <c r="S917" s="776"/>
      <c r="T917" s="776"/>
      <c r="U917" s="776"/>
      <c r="V917" s="776"/>
      <c r="W917" s="776"/>
      <c r="X917" s="776"/>
      <c r="Y917" s="785"/>
      <c r="Z917" s="776"/>
      <c r="AA917" s="776"/>
      <c r="AB917" s="776"/>
    </row>
    <row r="918" spans="1:28" ht="15.75" customHeight="1">
      <c r="A918" s="776"/>
      <c r="B918" s="776"/>
      <c r="C918" s="776"/>
      <c r="D918" s="776"/>
      <c r="E918" s="777"/>
      <c r="F918" s="776"/>
      <c r="G918" s="777"/>
      <c r="H918" s="776"/>
      <c r="I918" s="777"/>
      <c r="J918" s="777"/>
      <c r="K918" s="786"/>
      <c r="L918" s="777"/>
      <c r="M918" s="785"/>
      <c r="N918" s="785"/>
      <c r="O918" s="785"/>
      <c r="P918" s="785"/>
      <c r="Q918" s="785"/>
      <c r="R918" s="785"/>
      <c r="S918" s="776"/>
      <c r="T918" s="776"/>
      <c r="U918" s="776"/>
      <c r="V918" s="776"/>
      <c r="W918" s="776"/>
      <c r="X918" s="776"/>
      <c r="Y918" s="785"/>
      <c r="Z918" s="776"/>
      <c r="AA918" s="776"/>
      <c r="AB918" s="776"/>
    </row>
    <row r="919" spans="1:28" ht="15.75" customHeight="1">
      <c r="A919" s="776"/>
      <c r="B919" s="776"/>
      <c r="C919" s="776"/>
      <c r="D919" s="776"/>
      <c r="E919" s="777"/>
      <c r="F919" s="776"/>
      <c r="G919" s="777"/>
      <c r="H919" s="776"/>
      <c r="I919" s="777"/>
      <c r="J919" s="777"/>
      <c r="K919" s="786"/>
      <c r="L919" s="777"/>
      <c r="M919" s="785"/>
      <c r="N919" s="785"/>
      <c r="O919" s="785"/>
      <c r="P919" s="785"/>
      <c r="Q919" s="785"/>
      <c r="R919" s="785"/>
      <c r="S919" s="776"/>
      <c r="T919" s="776"/>
      <c r="U919" s="776"/>
      <c r="V919" s="776"/>
      <c r="W919" s="776"/>
      <c r="X919" s="776"/>
      <c r="Y919" s="785"/>
      <c r="Z919" s="776"/>
      <c r="AA919" s="776"/>
      <c r="AB919" s="776"/>
    </row>
    <row r="920" spans="1:28" ht="15.75" customHeight="1">
      <c r="A920" s="776"/>
      <c r="B920" s="776"/>
      <c r="C920" s="776"/>
      <c r="D920" s="776"/>
      <c r="E920" s="777"/>
      <c r="F920" s="776"/>
      <c r="G920" s="777"/>
      <c r="H920" s="776"/>
      <c r="I920" s="777"/>
      <c r="J920" s="777"/>
      <c r="K920" s="786"/>
      <c r="L920" s="777"/>
      <c r="M920" s="785"/>
      <c r="N920" s="785"/>
      <c r="O920" s="785"/>
      <c r="P920" s="785"/>
      <c r="Q920" s="785"/>
      <c r="R920" s="785"/>
      <c r="S920" s="776"/>
      <c r="T920" s="776"/>
      <c r="U920" s="776"/>
      <c r="V920" s="776"/>
      <c r="W920" s="776"/>
      <c r="X920" s="776"/>
      <c r="Y920" s="785"/>
      <c r="Z920" s="776"/>
      <c r="AA920" s="776"/>
      <c r="AB920" s="776"/>
    </row>
    <row r="921" spans="1:28" ht="15.75" customHeight="1">
      <c r="A921" s="776"/>
      <c r="B921" s="776"/>
      <c r="C921" s="776"/>
      <c r="D921" s="776"/>
      <c r="E921" s="777"/>
      <c r="F921" s="776"/>
      <c r="G921" s="777"/>
      <c r="H921" s="776"/>
      <c r="I921" s="777"/>
      <c r="J921" s="777"/>
      <c r="K921" s="786"/>
      <c r="L921" s="777"/>
      <c r="M921" s="785"/>
      <c r="N921" s="785"/>
      <c r="O921" s="785"/>
      <c r="P921" s="785"/>
      <c r="Q921" s="785"/>
      <c r="R921" s="785"/>
      <c r="S921" s="776"/>
      <c r="T921" s="776"/>
      <c r="U921" s="776"/>
      <c r="V921" s="776"/>
      <c r="W921" s="776"/>
      <c r="X921" s="776"/>
      <c r="Y921" s="785"/>
      <c r="Z921" s="776"/>
      <c r="AA921" s="776"/>
      <c r="AB921" s="776"/>
    </row>
    <row r="922" spans="1:28" ht="15.75" customHeight="1">
      <c r="A922" s="776"/>
      <c r="B922" s="776"/>
      <c r="C922" s="776"/>
      <c r="D922" s="776"/>
      <c r="E922" s="777"/>
      <c r="F922" s="776"/>
      <c r="G922" s="777"/>
      <c r="H922" s="776"/>
      <c r="I922" s="777"/>
      <c r="J922" s="777"/>
      <c r="K922" s="786"/>
      <c r="L922" s="777"/>
      <c r="M922" s="785"/>
      <c r="N922" s="785"/>
      <c r="O922" s="785"/>
      <c r="P922" s="785"/>
      <c r="Q922" s="785"/>
      <c r="R922" s="785"/>
      <c r="S922" s="776"/>
      <c r="T922" s="776"/>
      <c r="U922" s="776"/>
      <c r="V922" s="776"/>
      <c r="W922" s="776"/>
      <c r="X922" s="776"/>
      <c r="Y922" s="785"/>
      <c r="Z922" s="776"/>
      <c r="AA922" s="776"/>
      <c r="AB922" s="776"/>
    </row>
    <row r="923" spans="1:28" ht="15.75" customHeight="1">
      <c r="A923" s="776"/>
      <c r="B923" s="776"/>
      <c r="C923" s="776"/>
      <c r="D923" s="776"/>
      <c r="E923" s="777"/>
      <c r="F923" s="776"/>
      <c r="G923" s="777"/>
      <c r="H923" s="776"/>
      <c r="I923" s="777"/>
      <c r="J923" s="777"/>
      <c r="K923" s="786"/>
      <c r="L923" s="777"/>
      <c r="M923" s="785"/>
      <c r="N923" s="785"/>
      <c r="O923" s="785"/>
      <c r="P923" s="785"/>
      <c r="Q923" s="785"/>
      <c r="R923" s="785"/>
      <c r="S923" s="776"/>
      <c r="T923" s="776"/>
      <c r="U923" s="776"/>
      <c r="V923" s="776"/>
      <c r="W923" s="776"/>
      <c r="X923" s="776"/>
      <c r="Y923" s="785"/>
      <c r="Z923" s="776"/>
      <c r="AA923" s="776"/>
      <c r="AB923" s="776"/>
    </row>
    <row r="924" spans="1:28" ht="15.75" customHeight="1">
      <c r="A924" s="776"/>
      <c r="B924" s="776"/>
      <c r="C924" s="776"/>
      <c r="D924" s="776"/>
      <c r="E924" s="777"/>
      <c r="F924" s="776"/>
      <c r="G924" s="777"/>
      <c r="H924" s="776"/>
      <c r="I924" s="777"/>
      <c r="J924" s="777"/>
      <c r="K924" s="786"/>
      <c r="L924" s="777"/>
      <c r="M924" s="785"/>
      <c r="N924" s="785"/>
      <c r="O924" s="785"/>
      <c r="P924" s="785"/>
      <c r="Q924" s="785"/>
      <c r="R924" s="785"/>
      <c r="S924" s="776"/>
      <c r="T924" s="776"/>
      <c r="U924" s="776"/>
      <c r="V924" s="776"/>
      <c r="W924" s="776"/>
      <c r="X924" s="776"/>
      <c r="Y924" s="785"/>
      <c r="Z924" s="776"/>
      <c r="AA924" s="776"/>
      <c r="AB924" s="776"/>
    </row>
    <row r="925" spans="1:28" ht="15.75" customHeight="1">
      <c r="A925" s="776"/>
      <c r="B925" s="776"/>
      <c r="C925" s="776"/>
      <c r="D925" s="776"/>
      <c r="E925" s="777"/>
      <c r="F925" s="776"/>
      <c r="G925" s="777"/>
      <c r="H925" s="776"/>
      <c r="I925" s="777"/>
      <c r="J925" s="777"/>
      <c r="K925" s="786"/>
      <c r="L925" s="777"/>
      <c r="M925" s="785"/>
      <c r="N925" s="785"/>
      <c r="O925" s="785"/>
      <c r="P925" s="785"/>
      <c r="Q925" s="785"/>
      <c r="R925" s="785"/>
      <c r="S925" s="776"/>
      <c r="T925" s="776"/>
      <c r="U925" s="776"/>
      <c r="V925" s="776"/>
      <c r="W925" s="776"/>
      <c r="X925" s="776"/>
      <c r="Y925" s="785"/>
      <c r="Z925" s="776"/>
      <c r="AA925" s="776"/>
      <c r="AB925" s="776"/>
    </row>
    <row r="926" spans="1:28" ht="15.75" customHeight="1">
      <c r="A926" s="776"/>
      <c r="B926" s="776"/>
      <c r="C926" s="776"/>
      <c r="D926" s="776"/>
      <c r="E926" s="777"/>
      <c r="F926" s="776"/>
      <c r="G926" s="777"/>
      <c r="H926" s="776"/>
      <c r="I926" s="777"/>
      <c r="J926" s="777"/>
      <c r="K926" s="786"/>
      <c r="L926" s="777"/>
      <c r="M926" s="785"/>
      <c r="N926" s="785"/>
      <c r="O926" s="785"/>
      <c r="P926" s="785"/>
      <c r="Q926" s="785"/>
      <c r="R926" s="785"/>
      <c r="S926" s="776"/>
      <c r="T926" s="776"/>
      <c r="U926" s="776"/>
      <c r="V926" s="776"/>
      <c r="W926" s="776"/>
      <c r="X926" s="776"/>
      <c r="Y926" s="785"/>
      <c r="Z926" s="776"/>
      <c r="AA926" s="776"/>
      <c r="AB926" s="776"/>
    </row>
    <row r="927" spans="1:28" ht="15.75" customHeight="1">
      <c r="A927" s="776"/>
      <c r="B927" s="776"/>
      <c r="C927" s="776"/>
      <c r="D927" s="776"/>
      <c r="E927" s="777"/>
      <c r="F927" s="776"/>
      <c r="G927" s="777"/>
      <c r="H927" s="776"/>
      <c r="I927" s="777"/>
      <c r="J927" s="777"/>
      <c r="K927" s="786"/>
      <c r="L927" s="777"/>
      <c r="M927" s="785"/>
      <c r="N927" s="785"/>
      <c r="O927" s="785"/>
      <c r="P927" s="785"/>
      <c r="Q927" s="785"/>
      <c r="R927" s="785"/>
      <c r="S927" s="776"/>
      <c r="T927" s="776"/>
      <c r="U927" s="776"/>
      <c r="V927" s="776"/>
      <c r="W927" s="776"/>
      <c r="X927" s="776"/>
      <c r="Y927" s="785"/>
      <c r="Z927" s="776"/>
      <c r="AA927" s="776"/>
      <c r="AB927" s="776"/>
    </row>
    <row r="928" spans="1:28" ht="15.75" customHeight="1">
      <c r="A928" s="776"/>
      <c r="B928" s="776"/>
      <c r="C928" s="776"/>
      <c r="D928" s="776"/>
      <c r="E928" s="777"/>
      <c r="F928" s="776"/>
      <c r="G928" s="777"/>
      <c r="H928" s="776"/>
      <c r="I928" s="777"/>
      <c r="J928" s="777"/>
      <c r="K928" s="786"/>
      <c r="L928" s="777"/>
      <c r="M928" s="785"/>
      <c r="N928" s="785"/>
      <c r="O928" s="785"/>
      <c r="P928" s="785"/>
      <c r="Q928" s="785"/>
      <c r="R928" s="785"/>
      <c r="S928" s="776"/>
      <c r="T928" s="776"/>
      <c r="U928" s="776"/>
      <c r="V928" s="776"/>
      <c r="W928" s="776"/>
      <c r="X928" s="776"/>
      <c r="Y928" s="785"/>
      <c r="Z928" s="776"/>
      <c r="AA928" s="776"/>
      <c r="AB928" s="776"/>
    </row>
    <row r="929" spans="1:28" ht="15.75" customHeight="1">
      <c r="A929" s="776"/>
      <c r="B929" s="776"/>
      <c r="C929" s="776"/>
      <c r="D929" s="776"/>
      <c r="E929" s="777"/>
      <c r="F929" s="776"/>
      <c r="G929" s="777"/>
      <c r="H929" s="776"/>
      <c r="I929" s="777"/>
      <c r="J929" s="777"/>
      <c r="K929" s="786"/>
      <c r="L929" s="777"/>
      <c r="M929" s="785"/>
      <c r="N929" s="785"/>
      <c r="O929" s="785"/>
      <c r="P929" s="785"/>
      <c r="Q929" s="785"/>
      <c r="R929" s="785"/>
      <c r="S929" s="776"/>
      <c r="T929" s="776"/>
      <c r="U929" s="776"/>
      <c r="V929" s="776"/>
      <c r="W929" s="776"/>
      <c r="X929" s="776"/>
      <c r="Y929" s="785"/>
      <c r="Z929" s="776"/>
      <c r="AA929" s="776"/>
      <c r="AB929" s="776"/>
    </row>
    <row r="930" spans="1:28" ht="15.75" customHeight="1">
      <c r="A930" s="776"/>
      <c r="B930" s="776"/>
      <c r="C930" s="776"/>
      <c r="D930" s="776"/>
      <c r="E930" s="777"/>
      <c r="F930" s="776"/>
      <c r="G930" s="777"/>
      <c r="H930" s="776"/>
      <c r="I930" s="777"/>
      <c r="J930" s="777"/>
      <c r="K930" s="786"/>
      <c r="L930" s="777"/>
      <c r="M930" s="785"/>
      <c r="N930" s="785"/>
      <c r="O930" s="785"/>
      <c r="P930" s="785"/>
      <c r="Q930" s="785"/>
      <c r="R930" s="785"/>
      <c r="S930" s="776"/>
      <c r="T930" s="776"/>
      <c r="U930" s="776"/>
      <c r="V930" s="776"/>
      <c r="W930" s="776"/>
      <c r="X930" s="776"/>
      <c r="Y930" s="785"/>
      <c r="Z930" s="776"/>
      <c r="AA930" s="776"/>
      <c r="AB930" s="776"/>
    </row>
    <row r="931" spans="1:28" ht="15.75" customHeight="1">
      <c r="A931" s="776"/>
      <c r="B931" s="776"/>
      <c r="C931" s="776"/>
      <c r="D931" s="776"/>
      <c r="E931" s="777"/>
      <c r="F931" s="776"/>
      <c r="G931" s="777"/>
      <c r="H931" s="776"/>
      <c r="I931" s="777"/>
      <c r="J931" s="777"/>
      <c r="K931" s="786"/>
      <c r="L931" s="777"/>
      <c r="M931" s="785"/>
      <c r="N931" s="785"/>
      <c r="O931" s="785"/>
      <c r="P931" s="785"/>
      <c r="Q931" s="785"/>
      <c r="R931" s="785"/>
      <c r="S931" s="776"/>
      <c r="T931" s="776"/>
      <c r="U931" s="776"/>
      <c r="V931" s="776"/>
      <c r="W931" s="776"/>
      <c r="X931" s="776"/>
      <c r="Y931" s="785"/>
      <c r="Z931" s="776"/>
      <c r="AA931" s="776"/>
      <c r="AB931" s="776"/>
    </row>
    <row r="932" spans="1:28" ht="15.75" customHeight="1">
      <c r="A932" s="776"/>
      <c r="B932" s="776"/>
      <c r="C932" s="776"/>
      <c r="D932" s="776"/>
      <c r="E932" s="777"/>
      <c r="F932" s="776"/>
      <c r="G932" s="777"/>
      <c r="H932" s="776"/>
      <c r="I932" s="777"/>
      <c r="J932" s="777"/>
      <c r="K932" s="786"/>
      <c r="L932" s="777"/>
      <c r="M932" s="785"/>
      <c r="N932" s="785"/>
      <c r="O932" s="785"/>
      <c r="P932" s="785"/>
      <c r="Q932" s="785"/>
      <c r="R932" s="785"/>
      <c r="S932" s="776"/>
      <c r="T932" s="776"/>
      <c r="U932" s="776"/>
      <c r="V932" s="776"/>
      <c r="W932" s="776"/>
      <c r="X932" s="776"/>
      <c r="Y932" s="785"/>
      <c r="Z932" s="776"/>
      <c r="AA932" s="776"/>
      <c r="AB932" s="776"/>
    </row>
    <row r="933" spans="1:28" ht="15.75" customHeight="1">
      <c r="A933" s="776"/>
      <c r="B933" s="776"/>
      <c r="C933" s="776"/>
      <c r="D933" s="776"/>
      <c r="E933" s="777"/>
      <c r="F933" s="776"/>
      <c r="G933" s="777"/>
      <c r="H933" s="776"/>
      <c r="I933" s="777"/>
      <c r="J933" s="777"/>
      <c r="K933" s="786"/>
      <c r="L933" s="777"/>
      <c r="M933" s="785"/>
      <c r="N933" s="785"/>
      <c r="O933" s="785"/>
      <c r="P933" s="785"/>
      <c r="Q933" s="785"/>
      <c r="R933" s="785"/>
      <c r="S933" s="776"/>
      <c r="T933" s="776"/>
      <c r="U933" s="776"/>
      <c r="V933" s="776"/>
      <c r="W933" s="776"/>
      <c r="X933" s="776"/>
      <c r="Y933" s="785"/>
      <c r="Z933" s="776"/>
      <c r="AA933" s="776"/>
      <c r="AB933" s="776"/>
    </row>
    <row r="934" spans="1:28" ht="15.75" customHeight="1">
      <c r="A934" s="776"/>
      <c r="B934" s="776"/>
      <c r="C934" s="776"/>
      <c r="D934" s="776"/>
      <c r="E934" s="777"/>
      <c r="F934" s="776"/>
      <c r="G934" s="777"/>
      <c r="H934" s="776"/>
      <c r="I934" s="777"/>
      <c r="J934" s="777"/>
      <c r="K934" s="786"/>
      <c r="L934" s="777"/>
      <c r="M934" s="785"/>
      <c r="N934" s="785"/>
      <c r="O934" s="785"/>
      <c r="P934" s="785"/>
      <c r="Q934" s="785"/>
      <c r="R934" s="785"/>
      <c r="S934" s="776"/>
      <c r="T934" s="776"/>
      <c r="U934" s="776"/>
      <c r="V934" s="776"/>
      <c r="W934" s="776"/>
      <c r="X934" s="776"/>
      <c r="Y934" s="785"/>
      <c r="Z934" s="776"/>
      <c r="AA934" s="776"/>
      <c r="AB934" s="776"/>
    </row>
    <row r="935" spans="1:28" ht="15.75" customHeight="1">
      <c r="A935" s="776"/>
      <c r="B935" s="776"/>
      <c r="C935" s="776"/>
      <c r="D935" s="776"/>
      <c r="E935" s="777"/>
      <c r="F935" s="776"/>
      <c r="G935" s="777"/>
      <c r="H935" s="776"/>
      <c r="I935" s="777"/>
      <c r="J935" s="777"/>
      <c r="K935" s="786"/>
      <c r="L935" s="777"/>
      <c r="M935" s="785"/>
      <c r="N935" s="785"/>
      <c r="O935" s="785"/>
      <c r="P935" s="785"/>
      <c r="Q935" s="785"/>
      <c r="R935" s="785"/>
      <c r="S935" s="776"/>
      <c r="T935" s="776"/>
      <c r="U935" s="776"/>
      <c r="V935" s="776"/>
      <c r="W935" s="776"/>
      <c r="X935" s="776"/>
      <c r="Y935" s="785"/>
      <c r="Z935" s="776"/>
      <c r="AA935" s="776"/>
      <c r="AB935" s="776"/>
    </row>
    <row r="936" spans="1:28" ht="15.75" customHeight="1">
      <c r="A936" s="776"/>
      <c r="B936" s="776"/>
      <c r="C936" s="776"/>
      <c r="D936" s="776"/>
      <c r="E936" s="777"/>
      <c r="F936" s="776"/>
      <c r="G936" s="777"/>
      <c r="H936" s="776"/>
      <c r="I936" s="777"/>
      <c r="J936" s="777"/>
      <c r="K936" s="786"/>
      <c r="L936" s="777"/>
      <c r="M936" s="785"/>
      <c r="N936" s="785"/>
      <c r="O936" s="785"/>
      <c r="P936" s="785"/>
      <c r="Q936" s="785"/>
      <c r="R936" s="785"/>
      <c r="S936" s="776"/>
      <c r="T936" s="776"/>
      <c r="U936" s="776"/>
      <c r="V936" s="776"/>
      <c r="W936" s="776"/>
      <c r="X936" s="776"/>
      <c r="Y936" s="785"/>
      <c r="Z936" s="776"/>
      <c r="AA936" s="776"/>
      <c r="AB936" s="776"/>
    </row>
    <row r="937" spans="1:28" ht="15.75" customHeight="1">
      <c r="A937" s="776"/>
      <c r="B937" s="776"/>
      <c r="C937" s="776"/>
      <c r="D937" s="776"/>
      <c r="E937" s="777"/>
      <c r="F937" s="776"/>
      <c r="G937" s="777"/>
      <c r="H937" s="776"/>
      <c r="I937" s="777"/>
      <c r="J937" s="777"/>
      <c r="K937" s="786"/>
      <c r="L937" s="777"/>
      <c r="M937" s="785"/>
      <c r="N937" s="785"/>
      <c r="O937" s="785"/>
      <c r="P937" s="785"/>
      <c r="Q937" s="785"/>
      <c r="R937" s="785"/>
      <c r="S937" s="776"/>
      <c r="T937" s="776"/>
      <c r="U937" s="776"/>
      <c r="V937" s="776"/>
      <c r="W937" s="776"/>
      <c r="X937" s="776"/>
      <c r="Y937" s="785"/>
      <c r="Z937" s="776"/>
      <c r="AA937" s="776"/>
      <c r="AB937" s="776"/>
    </row>
    <row r="938" spans="1:28" ht="15.75" customHeight="1">
      <c r="A938" s="776"/>
      <c r="B938" s="776"/>
      <c r="C938" s="776"/>
      <c r="D938" s="776"/>
      <c r="E938" s="777"/>
      <c r="F938" s="776"/>
      <c r="G938" s="777"/>
      <c r="H938" s="776"/>
      <c r="I938" s="777"/>
      <c r="J938" s="777"/>
      <c r="K938" s="786"/>
      <c r="L938" s="777"/>
      <c r="M938" s="785"/>
      <c r="N938" s="785"/>
      <c r="O938" s="785"/>
      <c r="P938" s="785"/>
      <c r="Q938" s="785"/>
      <c r="R938" s="785"/>
      <c r="S938" s="776"/>
      <c r="T938" s="776"/>
      <c r="U938" s="776"/>
      <c r="V938" s="776"/>
      <c r="W938" s="776"/>
      <c r="X938" s="776"/>
      <c r="Y938" s="785"/>
      <c r="Z938" s="776"/>
      <c r="AA938" s="776"/>
      <c r="AB938" s="776"/>
    </row>
    <row r="939" spans="1:28" ht="15.75" customHeight="1">
      <c r="A939" s="776"/>
      <c r="B939" s="776"/>
      <c r="C939" s="776"/>
      <c r="D939" s="776"/>
      <c r="E939" s="777"/>
      <c r="F939" s="776"/>
      <c r="G939" s="777"/>
      <c r="H939" s="776"/>
      <c r="I939" s="777"/>
      <c r="J939" s="777"/>
      <c r="K939" s="786"/>
      <c r="L939" s="777"/>
      <c r="M939" s="785"/>
      <c r="N939" s="785"/>
      <c r="O939" s="785"/>
      <c r="P939" s="785"/>
      <c r="Q939" s="785"/>
      <c r="R939" s="785"/>
      <c r="S939" s="776"/>
      <c r="T939" s="776"/>
      <c r="U939" s="776"/>
      <c r="V939" s="776"/>
      <c r="W939" s="776"/>
      <c r="X939" s="776"/>
      <c r="Y939" s="785"/>
      <c r="Z939" s="776"/>
      <c r="AA939" s="776"/>
      <c r="AB939" s="776"/>
    </row>
    <row r="940" spans="1:28" ht="15.75" customHeight="1">
      <c r="A940" s="776"/>
      <c r="B940" s="776"/>
      <c r="C940" s="776"/>
      <c r="D940" s="776"/>
      <c r="E940" s="777"/>
      <c r="F940" s="776"/>
      <c r="G940" s="777"/>
      <c r="H940" s="776"/>
      <c r="I940" s="777"/>
      <c r="J940" s="777"/>
      <c r="K940" s="786"/>
      <c r="L940" s="777"/>
      <c r="M940" s="785"/>
      <c r="N940" s="785"/>
      <c r="O940" s="785"/>
      <c r="P940" s="785"/>
      <c r="Q940" s="785"/>
      <c r="R940" s="785"/>
      <c r="S940" s="776"/>
      <c r="T940" s="776"/>
      <c r="U940" s="776"/>
      <c r="V940" s="776"/>
      <c r="W940" s="776"/>
      <c r="X940" s="776"/>
      <c r="Y940" s="785"/>
      <c r="Z940" s="776"/>
      <c r="AA940" s="776"/>
      <c r="AB940" s="776"/>
    </row>
    <row r="941" spans="1:28" ht="15.75" customHeight="1">
      <c r="A941" s="776"/>
      <c r="B941" s="776"/>
      <c r="C941" s="776"/>
      <c r="D941" s="776"/>
      <c r="E941" s="777"/>
      <c r="F941" s="776"/>
      <c r="G941" s="777"/>
      <c r="H941" s="776"/>
      <c r="I941" s="777"/>
      <c r="J941" s="777"/>
      <c r="K941" s="786"/>
      <c r="L941" s="777"/>
      <c r="M941" s="785"/>
      <c r="N941" s="785"/>
      <c r="O941" s="785"/>
      <c r="P941" s="785"/>
      <c r="Q941" s="785"/>
      <c r="R941" s="785"/>
      <c r="S941" s="776"/>
      <c r="T941" s="776"/>
      <c r="U941" s="776"/>
      <c r="V941" s="776"/>
      <c r="W941" s="776"/>
      <c r="X941" s="776"/>
      <c r="Y941" s="785"/>
      <c r="Z941" s="776"/>
      <c r="AA941" s="776"/>
      <c r="AB941" s="776"/>
    </row>
    <row r="942" spans="1:28" ht="15.75" customHeight="1">
      <c r="A942" s="776"/>
      <c r="B942" s="776"/>
      <c r="C942" s="776"/>
      <c r="D942" s="776"/>
      <c r="E942" s="777"/>
      <c r="F942" s="776"/>
      <c r="G942" s="777"/>
      <c r="H942" s="776"/>
      <c r="I942" s="777"/>
      <c r="J942" s="777"/>
      <c r="K942" s="786"/>
      <c r="L942" s="777"/>
      <c r="M942" s="785"/>
      <c r="N942" s="785"/>
      <c r="O942" s="785"/>
      <c r="P942" s="785"/>
      <c r="Q942" s="785"/>
      <c r="R942" s="785"/>
      <c r="S942" s="776"/>
      <c r="T942" s="776"/>
      <c r="U942" s="776"/>
      <c r="V942" s="776"/>
      <c r="W942" s="776"/>
      <c r="X942" s="776"/>
      <c r="Y942" s="785"/>
      <c r="Z942" s="776"/>
      <c r="AA942" s="776"/>
      <c r="AB942" s="776"/>
    </row>
    <row r="943" spans="1:28" ht="15.75" customHeight="1">
      <c r="A943" s="776"/>
      <c r="B943" s="776"/>
      <c r="C943" s="776"/>
      <c r="D943" s="776"/>
      <c r="E943" s="777"/>
      <c r="F943" s="776"/>
      <c r="G943" s="777"/>
      <c r="H943" s="776"/>
      <c r="I943" s="777"/>
      <c r="J943" s="777"/>
      <c r="K943" s="786"/>
      <c r="L943" s="777"/>
      <c r="M943" s="785"/>
      <c r="N943" s="785"/>
      <c r="O943" s="785"/>
      <c r="P943" s="785"/>
      <c r="Q943" s="785"/>
      <c r="R943" s="785"/>
      <c r="S943" s="776"/>
      <c r="T943" s="776"/>
      <c r="U943" s="776"/>
      <c r="V943" s="776"/>
      <c r="W943" s="776"/>
      <c r="X943" s="776"/>
      <c r="Y943" s="785"/>
      <c r="Z943" s="776"/>
      <c r="AA943" s="776"/>
      <c r="AB943" s="776"/>
    </row>
    <row r="944" spans="1:28" ht="15.75" customHeight="1">
      <c r="A944" s="776"/>
      <c r="B944" s="776"/>
      <c r="C944" s="776"/>
      <c r="D944" s="776"/>
      <c r="E944" s="777"/>
      <c r="F944" s="776"/>
      <c r="G944" s="777"/>
      <c r="H944" s="776"/>
      <c r="I944" s="777"/>
      <c r="J944" s="777"/>
      <c r="K944" s="786"/>
      <c r="L944" s="777"/>
      <c r="M944" s="785"/>
      <c r="N944" s="785"/>
      <c r="O944" s="785"/>
      <c r="P944" s="785"/>
      <c r="Q944" s="785"/>
      <c r="R944" s="785"/>
      <c r="S944" s="776"/>
      <c r="T944" s="776"/>
      <c r="U944" s="776"/>
      <c r="V944" s="776"/>
      <c r="W944" s="776"/>
      <c r="X944" s="776"/>
      <c r="Y944" s="785"/>
      <c r="Z944" s="776"/>
      <c r="AA944" s="776"/>
      <c r="AB944" s="776"/>
    </row>
    <row r="945" spans="1:28" ht="15.75" customHeight="1">
      <c r="A945" s="776"/>
      <c r="B945" s="776"/>
      <c r="C945" s="776"/>
      <c r="D945" s="776"/>
      <c r="E945" s="777"/>
      <c r="F945" s="776"/>
      <c r="G945" s="777"/>
      <c r="H945" s="776"/>
      <c r="I945" s="777"/>
      <c r="J945" s="777"/>
      <c r="K945" s="786"/>
      <c r="L945" s="777"/>
      <c r="M945" s="785"/>
      <c r="N945" s="785"/>
      <c r="O945" s="785"/>
      <c r="P945" s="785"/>
      <c r="Q945" s="785"/>
      <c r="R945" s="785"/>
      <c r="S945" s="776"/>
      <c r="T945" s="776"/>
      <c r="U945" s="776"/>
      <c r="V945" s="776"/>
      <c r="W945" s="776"/>
      <c r="X945" s="776"/>
      <c r="Y945" s="785"/>
      <c r="Z945" s="776"/>
      <c r="AA945" s="776"/>
      <c r="AB945" s="776"/>
    </row>
    <row r="946" spans="1:28" ht="15.75" customHeight="1">
      <c r="A946" s="776"/>
      <c r="B946" s="776"/>
      <c r="C946" s="776"/>
      <c r="D946" s="776"/>
      <c r="E946" s="777"/>
      <c r="F946" s="776"/>
      <c r="G946" s="777"/>
      <c r="H946" s="776"/>
      <c r="I946" s="777"/>
      <c r="J946" s="777"/>
      <c r="K946" s="786"/>
      <c r="L946" s="777"/>
      <c r="M946" s="785"/>
      <c r="N946" s="785"/>
      <c r="O946" s="785"/>
      <c r="P946" s="785"/>
      <c r="Q946" s="785"/>
      <c r="R946" s="785"/>
      <c r="S946" s="776"/>
      <c r="T946" s="776"/>
      <c r="U946" s="776"/>
      <c r="V946" s="776"/>
      <c r="W946" s="776"/>
      <c r="X946" s="776"/>
      <c r="Y946" s="785"/>
      <c r="Z946" s="776"/>
      <c r="AA946" s="776"/>
      <c r="AB946" s="776"/>
    </row>
    <row r="947" spans="1:28" ht="15.75" customHeight="1">
      <c r="A947" s="776"/>
      <c r="B947" s="776"/>
      <c r="C947" s="776"/>
      <c r="D947" s="776"/>
      <c r="E947" s="777"/>
      <c r="F947" s="776"/>
      <c r="G947" s="777"/>
      <c r="H947" s="776"/>
      <c r="I947" s="777"/>
      <c r="J947" s="777"/>
      <c r="K947" s="786"/>
      <c r="L947" s="777"/>
      <c r="M947" s="785"/>
      <c r="N947" s="785"/>
      <c r="O947" s="785"/>
      <c r="P947" s="785"/>
      <c r="Q947" s="785"/>
      <c r="R947" s="785"/>
      <c r="S947" s="776"/>
      <c r="T947" s="776"/>
      <c r="U947" s="776"/>
      <c r="V947" s="776"/>
      <c r="W947" s="776"/>
      <c r="X947" s="776"/>
      <c r="Y947" s="785"/>
      <c r="Z947" s="776"/>
      <c r="AA947" s="776"/>
      <c r="AB947" s="776"/>
    </row>
    <row r="948" spans="1:28" ht="15.75" customHeight="1">
      <c r="A948" s="776"/>
      <c r="B948" s="776"/>
      <c r="C948" s="776"/>
      <c r="D948" s="776"/>
      <c r="E948" s="777"/>
      <c r="F948" s="776"/>
      <c r="G948" s="777"/>
      <c r="H948" s="776"/>
      <c r="I948" s="777"/>
      <c r="J948" s="777"/>
      <c r="K948" s="786"/>
      <c r="L948" s="777"/>
      <c r="M948" s="785"/>
      <c r="N948" s="785"/>
      <c r="O948" s="785"/>
      <c r="P948" s="785"/>
      <c r="Q948" s="785"/>
      <c r="R948" s="785"/>
      <c r="S948" s="776"/>
      <c r="T948" s="776"/>
      <c r="U948" s="776"/>
      <c r="V948" s="776"/>
      <c r="W948" s="776"/>
      <c r="X948" s="776"/>
      <c r="Y948" s="785"/>
      <c r="Z948" s="776"/>
      <c r="AA948" s="776"/>
      <c r="AB948" s="776"/>
    </row>
    <row r="949" spans="1:28" ht="15.75" customHeight="1">
      <c r="A949" s="776"/>
      <c r="B949" s="776"/>
      <c r="C949" s="776"/>
      <c r="D949" s="776"/>
      <c r="E949" s="777"/>
      <c r="F949" s="776"/>
      <c r="G949" s="777"/>
      <c r="H949" s="776"/>
      <c r="I949" s="777"/>
      <c r="J949" s="777"/>
      <c r="K949" s="786"/>
      <c r="L949" s="777"/>
      <c r="M949" s="785"/>
      <c r="N949" s="785"/>
      <c r="O949" s="785"/>
      <c r="P949" s="785"/>
      <c r="Q949" s="785"/>
      <c r="R949" s="785"/>
      <c r="S949" s="776"/>
      <c r="T949" s="776"/>
      <c r="U949" s="776"/>
      <c r="V949" s="776"/>
      <c r="W949" s="776"/>
      <c r="X949" s="776"/>
      <c r="Y949" s="785"/>
      <c r="Z949" s="776"/>
      <c r="AA949" s="776"/>
      <c r="AB949" s="776"/>
    </row>
    <row r="950" spans="1:28" ht="15.75" customHeight="1">
      <c r="A950" s="776"/>
      <c r="B950" s="776"/>
      <c r="C950" s="776"/>
      <c r="D950" s="776"/>
      <c r="E950" s="777"/>
      <c r="F950" s="776"/>
      <c r="G950" s="777"/>
      <c r="H950" s="776"/>
      <c r="I950" s="777"/>
      <c r="J950" s="777"/>
      <c r="K950" s="786"/>
      <c r="L950" s="777"/>
      <c r="M950" s="785"/>
      <c r="N950" s="785"/>
      <c r="O950" s="785"/>
      <c r="P950" s="785"/>
      <c r="Q950" s="785"/>
      <c r="R950" s="785"/>
      <c r="S950" s="776"/>
      <c r="T950" s="776"/>
      <c r="U950" s="776"/>
      <c r="V950" s="776"/>
      <c r="W950" s="776"/>
      <c r="X950" s="776"/>
      <c r="Y950" s="785"/>
      <c r="Z950" s="776"/>
      <c r="AA950" s="776"/>
      <c r="AB950" s="776"/>
    </row>
    <row r="951" spans="1:28" ht="15.75" customHeight="1">
      <c r="A951" s="776"/>
      <c r="B951" s="776"/>
      <c r="C951" s="776"/>
      <c r="D951" s="776"/>
      <c r="E951" s="777"/>
      <c r="F951" s="776"/>
      <c r="G951" s="777"/>
      <c r="H951" s="776"/>
      <c r="I951" s="777"/>
      <c r="J951" s="777"/>
      <c r="K951" s="786"/>
      <c r="L951" s="777"/>
      <c r="M951" s="785"/>
      <c r="N951" s="785"/>
      <c r="O951" s="785"/>
      <c r="P951" s="785"/>
      <c r="Q951" s="785"/>
      <c r="R951" s="785"/>
      <c r="S951" s="776"/>
      <c r="T951" s="776"/>
      <c r="U951" s="776"/>
      <c r="V951" s="776"/>
      <c r="W951" s="776"/>
      <c r="X951" s="776"/>
      <c r="Y951" s="785"/>
      <c r="Z951" s="776"/>
      <c r="AA951" s="776"/>
      <c r="AB951" s="776"/>
    </row>
    <row r="952" spans="1:28" ht="15.75" customHeight="1">
      <c r="A952" s="776"/>
      <c r="B952" s="776"/>
      <c r="C952" s="776"/>
      <c r="D952" s="776"/>
      <c r="E952" s="777"/>
      <c r="F952" s="776"/>
      <c r="G952" s="777"/>
      <c r="H952" s="776"/>
      <c r="I952" s="777"/>
      <c r="J952" s="777"/>
      <c r="K952" s="786"/>
      <c r="L952" s="777"/>
      <c r="M952" s="785"/>
      <c r="N952" s="785"/>
      <c r="O952" s="785"/>
      <c r="P952" s="785"/>
      <c r="Q952" s="785"/>
      <c r="R952" s="785"/>
      <c r="S952" s="776"/>
      <c r="T952" s="776"/>
      <c r="U952" s="776"/>
      <c r="V952" s="776"/>
      <c r="W952" s="776"/>
      <c r="X952" s="776"/>
      <c r="Y952" s="785"/>
      <c r="Z952" s="776"/>
      <c r="AA952" s="776"/>
      <c r="AB952" s="776"/>
    </row>
    <row r="953" spans="1:28" ht="15.75" customHeight="1">
      <c r="A953" s="776"/>
      <c r="B953" s="776"/>
      <c r="C953" s="776"/>
      <c r="D953" s="776"/>
      <c r="E953" s="777"/>
      <c r="F953" s="776"/>
      <c r="G953" s="777"/>
      <c r="H953" s="776"/>
      <c r="I953" s="777"/>
      <c r="J953" s="777"/>
      <c r="K953" s="786"/>
      <c r="L953" s="777"/>
      <c r="M953" s="785"/>
      <c r="N953" s="785"/>
      <c r="O953" s="785"/>
      <c r="P953" s="785"/>
      <c r="Q953" s="785"/>
      <c r="R953" s="785"/>
      <c r="S953" s="776"/>
      <c r="T953" s="776"/>
      <c r="U953" s="776"/>
      <c r="V953" s="776"/>
      <c r="W953" s="776"/>
      <c r="X953" s="776"/>
      <c r="Y953" s="785"/>
      <c r="Z953" s="776"/>
      <c r="AA953" s="776"/>
      <c r="AB953" s="776"/>
    </row>
    <row r="954" spans="1:28" ht="15.75" customHeight="1">
      <c r="A954" s="776"/>
      <c r="B954" s="776"/>
      <c r="C954" s="776"/>
      <c r="D954" s="776"/>
      <c r="E954" s="777"/>
      <c r="F954" s="776"/>
      <c r="G954" s="777"/>
      <c r="H954" s="776"/>
      <c r="I954" s="777"/>
      <c r="J954" s="777"/>
      <c r="K954" s="786"/>
      <c r="L954" s="777"/>
      <c r="M954" s="785"/>
      <c r="N954" s="785"/>
      <c r="O954" s="785"/>
      <c r="P954" s="785"/>
      <c r="Q954" s="785"/>
      <c r="R954" s="785"/>
      <c r="S954" s="776"/>
      <c r="T954" s="776"/>
      <c r="U954" s="776"/>
      <c r="V954" s="776"/>
      <c r="W954" s="776"/>
      <c r="X954" s="776"/>
      <c r="Y954" s="785"/>
      <c r="Z954" s="776"/>
      <c r="AA954" s="776"/>
      <c r="AB954" s="776"/>
    </row>
    <row r="955" spans="1:28" ht="15.75" customHeight="1">
      <c r="A955" s="776"/>
      <c r="B955" s="776"/>
      <c r="C955" s="776"/>
      <c r="D955" s="776"/>
      <c r="E955" s="777"/>
      <c r="F955" s="776"/>
      <c r="G955" s="777"/>
      <c r="H955" s="776"/>
      <c r="I955" s="777"/>
      <c r="J955" s="777"/>
      <c r="K955" s="786"/>
      <c r="L955" s="777"/>
      <c r="M955" s="785"/>
      <c r="N955" s="785"/>
      <c r="O955" s="785"/>
      <c r="P955" s="785"/>
      <c r="Q955" s="785"/>
      <c r="R955" s="785"/>
      <c r="S955" s="776"/>
      <c r="T955" s="776"/>
      <c r="U955" s="776"/>
      <c r="V955" s="776"/>
      <c r="W955" s="776"/>
      <c r="X955" s="776"/>
      <c r="Y955" s="785"/>
      <c r="Z955" s="776"/>
      <c r="AA955" s="776"/>
      <c r="AB955" s="776"/>
    </row>
    <row r="956" spans="1:28" ht="15.75" customHeight="1">
      <c r="A956" s="776"/>
      <c r="B956" s="776"/>
      <c r="C956" s="776"/>
      <c r="D956" s="776"/>
      <c r="E956" s="777"/>
      <c r="F956" s="776"/>
      <c r="G956" s="777"/>
      <c r="H956" s="776"/>
      <c r="I956" s="777"/>
      <c r="J956" s="777"/>
      <c r="K956" s="786"/>
      <c r="L956" s="777"/>
      <c r="M956" s="785"/>
      <c r="N956" s="785"/>
      <c r="O956" s="785"/>
      <c r="P956" s="785"/>
      <c r="Q956" s="785"/>
      <c r="R956" s="785"/>
      <c r="S956" s="776"/>
      <c r="T956" s="776"/>
      <c r="U956" s="776"/>
      <c r="V956" s="776"/>
      <c r="W956" s="776"/>
      <c r="X956" s="776"/>
      <c r="Y956" s="785"/>
      <c r="Z956" s="776"/>
      <c r="AA956" s="776"/>
      <c r="AB956" s="776"/>
    </row>
    <row r="957" spans="1:28" ht="15.75" customHeight="1">
      <c r="A957" s="776"/>
      <c r="B957" s="776"/>
      <c r="C957" s="776"/>
      <c r="D957" s="776"/>
      <c r="E957" s="777"/>
      <c r="F957" s="776"/>
      <c r="G957" s="777"/>
      <c r="H957" s="776"/>
      <c r="I957" s="777"/>
      <c r="J957" s="777"/>
      <c r="K957" s="786"/>
      <c r="L957" s="777"/>
      <c r="M957" s="785"/>
      <c r="N957" s="785"/>
      <c r="O957" s="785"/>
      <c r="P957" s="785"/>
      <c r="Q957" s="785"/>
      <c r="R957" s="785"/>
      <c r="S957" s="776"/>
      <c r="T957" s="776"/>
      <c r="U957" s="776"/>
      <c r="V957" s="776"/>
      <c r="W957" s="776"/>
      <c r="X957" s="776"/>
      <c r="Y957" s="785"/>
      <c r="Z957" s="776"/>
      <c r="AA957" s="776"/>
      <c r="AB957" s="776"/>
    </row>
    <row r="958" spans="1:28" ht="15.75" customHeight="1">
      <c r="A958" s="776"/>
      <c r="B958" s="776"/>
      <c r="C958" s="776"/>
      <c r="D958" s="776"/>
      <c r="E958" s="777"/>
      <c r="F958" s="776"/>
      <c r="G958" s="777"/>
      <c r="H958" s="776"/>
      <c r="I958" s="777"/>
      <c r="J958" s="777"/>
      <c r="K958" s="786"/>
      <c r="L958" s="777"/>
      <c r="M958" s="785"/>
      <c r="N958" s="785"/>
      <c r="O958" s="785"/>
      <c r="P958" s="785"/>
      <c r="Q958" s="785"/>
      <c r="R958" s="785"/>
      <c r="S958" s="776"/>
      <c r="T958" s="776"/>
      <c r="U958" s="776"/>
      <c r="V958" s="776"/>
      <c r="W958" s="776"/>
      <c r="X958" s="776"/>
      <c r="Y958" s="785"/>
      <c r="Z958" s="776"/>
      <c r="AA958" s="776"/>
      <c r="AB958" s="776"/>
    </row>
    <row r="959" spans="1:28" ht="15.75" customHeight="1">
      <c r="A959" s="776"/>
      <c r="B959" s="776"/>
      <c r="C959" s="776"/>
      <c r="D959" s="776"/>
      <c r="E959" s="777"/>
      <c r="F959" s="776"/>
      <c r="G959" s="777"/>
      <c r="H959" s="776"/>
      <c r="I959" s="777"/>
      <c r="J959" s="777"/>
      <c r="K959" s="786"/>
      <c r="L959" s="777"/>
      <c r="M959" s="785"/>
      <c r="N959" s="785"/>
      <c r="O959" s="785"/>
      <c r="P959" s="785"/>
      <c r="Q959" s="785"/>
      <c r="R959" s="785"/>
      <c r="S959" s="776"/>
      <c r="T959" s="776"/>
      <c r="U959" s="776"/>
      <c r="V959" s="776"/>
      <c r="W959" s="776"/>
      <c r="X959" s="776"/>
      <c r="Y959" s="785"/>
      <c r="Z959" s="776"/>
      <c r="AA959" s="776"/>
      <c r="AB959" s="776"/>
    </row>
    <row r="960" spans="1:28" ht="15.75" customHeight="1">
      <c r="A960" s="776"/>
      <c r="B960" s="776"/>
      <c r="C960" s="776"/>
      <c r="D960" s="776"/>
      <c r="E960" s="777"/>
      <c r="F960" s="776"/>
      <c r="G960" s="777"/>
      <c r="H960" s="776"/>
      <c r="I960" s="777"/>
      <c r="J960" s="777"/>
      <c r="K960" s="786"/>
      <c r="L960" s="777"/>
      <c r="M960" s="785"/>
      <c r="N960" s="785"/>
      <c r="O960" s="785"/>
      <c r="P960" s="785"/>
      <c r="Q960" s="785"/>
      <c r="R960" s="785"/>
      <c r="S960" s="776"/>
      <c r="T960" s="776"/>
      <c r="U960" s="776"/>
      <c r="V960" s="776"/>
      <c r="W960" s="776"/>
      <c r="X960" s="776"/>
      <c r="Y960" s="785"/>
      <c r="Z960" s="776"/>
      <c r="AA960" s="776"/>
      <c r="AB960" s="776"/>
    </row>
    <row r="961" spans="1:28" ht="15.75" customHeight="1">
      <c r="A961" s="776"/>
      <c r="B961" s="776"/>
      <c r="C961" s="776"/>
      <c r="D961" s="776"/>
      <c r="E961" s="777"/>
      <c r="F961" s="776"/>
      <c r="G961" s="777"/>
      <c r="H961" s="776"/>
      <c r="I961" s="777"/>
      <c r="J961" s="777"/>
      <c r="K961" s="786"/>
      <c r="L961" s="777"/>
      <c r="M961" s="785"/>
      <c r="N961" s="785"/>
      <c r="O961" s="785"/>
      <c r="P961" s="785"/>
      <c r="Q961" s="785"/>
      <c r="R961" s="785"/>
      <c r="S961" s="776"/>
      <c r="T961" s="776"/>
      <c r="U961" s="776"/>
      <c r="V961" s="776"/>
      <c r="W961" s="776"/>
      <c r="X961" s="776"/>
      <c r="Y961" s="785"/>
      <c r="Z961" s="776"/>
      <c r="AA961" s="776"/>
      <c r="AB961" s="776"/>
    </row>
    <row r="962" spans="1:28" ht="15.75" customHeight="1">
      <c r="A962" s="776"/>
      <c r="B962" s="776"/>
      <c r="C962" s="776"/>
      <c r="D962" s="776"/>
      <c r="E962" s="777"/>
      <c r="F962" s="776"/>
      <c r="G962" s="777"/>
      <c r="H962" s="776"/>
      <c r="I962" s="777"/>
      <c r="J962" s="777"/>
      <c r="K962" s="786"/>
      <c r="L962" s="777"/>
      <c r="M962" s="785"/>
      <c r="N962" s="785"/>
      <c r="O962" s="785"/>
      <c r="P962" s="785"/>
      <c r="Q962" s="785"/>
      <c r="R962" s="785"/>
      <c r="S962" s="776"/>
      <c r="T962" s="776"/>
      <c r="U962" s="776"/>
      <c r="V962" s="776"/>
      <c r="W962" s="776"/>
      <c r="X962" s="776"/>
      <c r="Y962" s="785"/>
      <c r="Z962" s="776"/>
      <c r="AA962" s="776"/>
      <c r="AB962" s="776"/>
    </row>
    <row r="963" spans="1:28" ht="15.75" customHeight="1">
      <c r="A963" s="776"/>
      <c r="B963" s="776"/>
      <c r="C963" s="776"/>
      <c r="D963" s="776"/>
      <c r="E963" s="777"/>
      <c r="F963" s="776"/>
      <c r="G963" s="777"/>
      <c r="H963" s="776"/>
      <c r="I963" s="777"/>
      <c r="J963" s="777"/>
      <c r="K963" s="786"/>
      <c r="L963" s="777"/>
      <c r="M963" s="785"/>
      <c r="N963" s="785"/>
      <c r="O963" s="785"/>
      <c r="P963" s="785"/>
      <c r="Q963" s="785"/>
      <c r="R963" s="785"/>
      <c r="S963" s="776"/>
      <c r="T963" s="776"/>
      <c r="U963" s="776"/>
      <c r="V963" s="776"/>
      <c r="W963" s="776"/>
      <c r="X963" s="776"/>
      <c r="Y963" s="785"/>
      <c r="Z963" s="776"/>
      <c r="AA963" s="776"/>
      <c r="AB963" s="776"/>
    </row>
    <row r="964" spans="1:28" ht="15.75" customHeight="1">
      <c r="A964" s="776"/>
      <c r="B964" s="776"/>
      <c r="C964" s="776"/>
      <c r="D964" s="776"/>
      <c r="E964" s="777"/>
      <c r="F964" s="776"/>
      <c r="G964" s="777"/>
      <c r="H964" s="776"/>
      <c r="I964" s="777"/>
      <c r="J964" s="777"/>
      <c r="K964" s="786"/>
      <c r="L964" s="777"/>
      <c r="M964" s="785"/>
      <c r="N964" s="785"/>
      <c r="O964" s="785"/>
      <c r="P964" s="785"/>
      <c r="Q964" s="785"/>
      <c r="R964" s="785"/>
      <c r="S964" s="776"/>
      <c r="T964" s="776"/>
      <c r="U964" s="776"/>
      <c r="V964" s="776"/>
      <c r="W964" s="776"/>
      <c r="X964" s="776"/>
      <c r="Y964" s="785"/>
      <c r="Z964" s="776"/>
      <c r="AA964" s="776"/>
      <c r="AB964" s="776"/>
    </row>
    <row r="965" spans="1:28" ht="15.75" customHeight="1">
      <c r="A965" s="776"/>
      <c r="B965" s="776"/>
      <c r="C965" s="776"/>
      <c r="D965" s="776"/>
      <c r="E965" s="777"/>
      <c r="F965" s="776"/>
      <c r="G965" s="777"/>
      <c r="H965" s="776"/>
      <c r="I965" s="777"/>
      <c r="J965" s="777"/>
      <c r="K965" s="786"/>
      <c r="L965" s="777"/>
      <c r="M965" s="785"/>
      <c r="N965" s="785"/>
      <c r="O965" s="785"/>
      <c r="P965" s="785"/>
      <c r="Q965" s="785"/>
      <c r="R965" s="785"/>
      <c r="S965" s="776"/>
      <c r="T965" s="776"/>
      <c r="U965" s="776"/>
      <c r="V965" s="776"/>
      <c r="W965" s="776"/>
      <c r="X965" s="776"/>
      <c r="Y965" s="785"/>
      <c r="Z965" s="776"/>
      <c r="AA965" s="776"/>
      <c r="AB965" s="776"/>
    </row>
    <row r="966" spans="1:28" ht="15.75" customHeight="1">
      <c r="A966" s="776"/>
      <c r="B966" s="776"/>
      <c r="C966" s="776"/>
      <c r="D966" s="776"/>
      <c r="E966" s="777"/>
      <c r="F966" s="776"/>
      <c r="G966" s="777"/>
      <c r="H966" s="776"/>
      <c r="I966" s="777"/>
      <c r="J966" s="777"/>
      <c r="K966" s="786"/>
      <c r="L966" s="777"/>
      <c r="M966" s="785"/>
      <c r="N966" s="785"/>
      <c r="O966" s="785"/>
      <c r="P966" s="785"/>
      <c r="Q966" s="785"/>
      <c r="R966" s="785"/>
      <c r="S966" s="776"/>
      <c r="T966" s="776"/>
      <c r="U966" s="776"/>
      <c r="V966" s="776"/>
      <c r="W966" s="776"/>
      <c r="X966" s="776"/>
      <c r="Y966" s="785"/>
      <c r="Z966" s="776"/>
      <c r="AA966" s="776"/>
      <c r="AB966" s="776"/>
    </row>
    <row r="967" spans="1:28" ht="15.75" customHeight="1">
      <c r="A967" s="776"/>
      <c r="B967" s="776"/>
      <c r="C967" s="776"/>
      <c r="D967" s="776"/>
      <c r="E967" s="777"/>
      <c r="F967" s="776"/>
      <c r="G967" s="777"/>
      <c r="H967" s="776"/>
      <c r="I967" s="777"/>
      <c r="J967" s="777"/>
      <c r="K967" s="786"/>
      <c r="L967" s="777"/>
      <c r="M967" s="785"/>
      <c r="N967" s="785"/>
      <c r="O967" s="785"/>
      <c r="P967" s="785"/>
      <c r="Q967" s="785"/>
      <c r="R967" s="785"/>
      <c r="S967" s="776"/>
      <c r="T967" s="776"/>
      <c r="U967" s="776"/>
      <c r="V967" s="776"/>
      <c r="W967" s="776"/>
      <c r="X967" s="776"/>
      <c r="Y967" s="785"/>
      <c r="Z967" s="776"/>
      <c r="AA967" s="776"/>
      <c r="AB967" s="776"/>
    </row>
    <row r="968" spans="1:28" ht="15.75" customHeight="1">
      <c r="A968" s="776"/>
      <c r="B968" s="776"/>
      <c r="C968" s="776"/>
      <c r="D968" s="776"/>
      <c r="E968" s="777"/>
      <c r="F968" s="776"/>
      <c r="G968" s="777"/>
      <c r="H968" s="776"/>
      <c r="I968" s="777"/>
      <c r="J968" s="777"/>
      <c r="K968" s="786"/>
      <c r="L968" s="777"/>
      <c r="M968" s="785"/>
      <c r="N968" s="785"/>
      <c r="O968" s="785"/>
      <c r="P968" s="785"/>
      <c r="Q968" s="785"/>
      <c r="R968" s="785"/>
      <c r="S968" s="776"/>
      <c r="T968" s="776"/>
      <c r="U968" s="776"/>
      <c r="V968" s="776"/>
      <c r="W968" s="776"/>
      <c r="X968" s="776"/>
      <c r="Y968" s="785"/>
      <c r="Z968" s="776"/>
      <c r="AA968" s="776"/>
      <c r="AB968" s="776"/>
    </row>
    <row r="969" spans="1:28" ht="15.75" customHeight="1">
      <c r="A969" s="776"/>
      <c r="B969" s="776"/>
      <c r="C969" s="776"/>
      <c r="D969" s="776"/>
      <c r="E969" s="777"/>
      <c r="F969" s="776"/>
      <c r="G969" s="777"/>
      <c r="H969" s="776"/>
      <c r="I969" s="777"/>
      <c r="J969" s="777"/>
      <c r="K969" s="786"/>
      <c r="L969" s="777"/>
      <c r="M969" s="785"/>
      <c r="N969" s="785"/>
      <c r="O969" s="785"/>
      <c r="P969" s="785"/>
      <c r="Q969" s="785"/>
      <c r="R969" s="785"/>
      <c r="S969" s="776"/>
      <c r="T969" s="776"/>
      <c r="U969" s="776"/>
      <c r="V969" s="776"/>
      <c r="W969" s="776"/>
      <c r="X969" s="776"/>
      <c r="Y969" s="785"/>
      <c r="Z969" s="776"/>
      <c r="AA969" s="776"/>
      <c r="AB969" s="776"/>
    </row>
    <row r="970" spans="1:28" ht="15.75" customHeight="1">
      <c r="A970" s="776"/>
      <c r="B970" s="776"/>
      <c r="C970" s="776"/>
      <c r="D970" s="776"/>
      <c r="E970" s="777"/>
      <c r="F970" s="776"/>
      <c r="G970" s="777"/>
      <c r="H970" s="776"/>
      <c r="I970" s="777"/>
      <c r="J970" s="777"/>
      <c r="K970" s="786"/>
      <c r="L970" s="777"/>
      <c r="M970" s="785"/>
      <c r="N970" s="785"/>
      <c r="O970" s="785"/>
      <c r="P970" s="785"/>
      <c r="Q970" s="785"/>
      <c r="R970" s="785"/>
      <c r="S970" s="776"/>
      <c r="T970" s="776"/>
      <c r="U970" s="776"/>
      <c r="V970" s="776"/>
      <c r="W970" s="776"/>
      <c r="X970" s="776"/>
      <c r="Y970" s="785"/>
      <c r="Z970" s="776"/>
      <c r="AA970" s="776"/>
      <c r="AB970" s="776"/>
    </row>
    <row r="971" spans="1:28" ht="15.75" customHeight="1">
      <c r="A971" s="776"/>
      <c r="B971" s="776"/>
      <c r="C971" s="776"/>
      <c r="D971" s="776"/>
      <c r="E971" s="777"/>
      <c r="F971" s="776"/>
      <c r="G971" s="777"/>
      <c r="H971" s="776"/>
      <c r="I971" s="777"/>
      <c r="J971" s="777"/>
      <c r="K971" s="786"/>
      <c r="L971" s="777"/>
      <c r="M971" s="785"/>
      <c r="N971" s="785"/>
      <c r="O971" s="785"/>
      <c r="P971" s="785"/>
      <c r="Q971" s="785"/>
      <c r="R971" s="785"/>
      <c r="S971" s="776"/>
      <c r="T971" s="776"/>
      <c r="U971" s="776"/>
      <c r="V971" s="776"/>
      <c r="W971" s="776"/>
      <c r="X971" s="776"/>
      <c r="Y971" s="785"/>
      <c r="Z971" s="776"/>
      <c r="AA971" s="776"/>
      <c r="AB971" s="776"/>
    </row>
    <row r="972" spans="1:28" ht="15.75" customHeight="1">
      <c r="A972" s="776"/>
      <c r="B972" s="776"/>
      <c r="C972" s="776"/>
      <c r="D972" s="776"/>
      <c r="E972" s="777"/>
      <c r="F972" s="776"/>
      <c r="G972" s="777"/>
      <c r="H972" s="776"/>
      <c r="I972" s="777"/>
      <c r="J972" s="777"/>
      <c r="K972" s="786"/>
      <c r="L972" s="777"/>
      <c r="M972" s="785"/>
      <c r="N972" s="785"/>
      <c r="O972" s="785"/>
      <c r="P972" s="785"/>
      <c r="Q972" s="785"/>
      <c r="R972" s="785"/>
      <c r="S972" s="776"/>
      <c r="T972" s="776"/>
      <c r="U972" s="776"/>
      <c r="V972" s="776"/>
      <c r="W972" s="776"/>
      <c r="X972" s="776"/>
      <c r="Y972" s="785"/>
      <c r="Z972" s="776"/>
      <c r="AA972" s="776"/>
      <c r="AB972" s="776"/>
    </row>
    <row r="973" spans="1:28" ht="15.75" customHeight="1">
      <c r="A973" s="776"/>
      <c r="B973" s="776"/>
      <c r="C973" s="776"/>
      <c r="D973" s="776"/>
      <c r="E973" s="777"/>
      <c r="F973" s="776"/>
      <c r="G973" s="777"/>
      <c r="H973" s="776"/>
      <c r="I973" s="777"/>
      <c r="J973" s="777"/>
      <c r="K973" s="786"/>
      <c r="L973" s="777"/>
      <c r="M973" s="785"/>
      <c r="N973" s="785"/>
      <c r="O973" s="785"/>
      <c r="P973" s="785"/>
      <c r="Q973" s="785"/>
      <c r="R973" s="785"/>
      <c r="S973" s="776"/>
      <c r="T973" s="776"/>
      <c r="U973" s="776"/>
      <c r="V973" s="776"/>
      <c r="W973" s="776"/>
      <c r="X973" s="776"/>
      <c r="Y973" s="785"/>
      <c r="Z973" s="776"/>
      <c r="AA973" s="776"/>
      <c r="AB973" s="776"/>
    </row>
    <row r="974" spans="1:28" ht="15.75" customHeight="1">
      <c r="A974" s="776"/>
      <c r="B974" s="776"/>
      <c r="C974" s="776"/>
      <c r="D974" s="776"/>
      <c r="E974" s="777"/>
      <c r="F974" s="776"/>
      <c r="G974" s="777"/>
      <c r="H974" s="776"/>
      <c r="I974" s="777"/>
      <c r="J974" s="777"/>
      <c r="K974" s="786"/>
      <c r="L974" s="777"/>
      <c r="M974" s="785"/>
      <c r="N974" s="785"/>
      <c r="O974" s="785"/>
      <c r="P974" s="785"/>
      <c r="Q974" s="785"/>
      <c r="R974" s="785"/>
      <c r="S974" s="776"/>
      <c r="T974" s="776"/>
      <c r="U974" s="776"/>
      <c r="V974" s="776"/>
      <c r="W974" s="776"/>
      <c r="X974" s="776"/>
      <c r="Y974" s="785"/>
      <c r="Z974" s="776"/>
      <c r="AA974" s="776"/>
      <c r="AB974" s="776"/>
    </row>
    <row r="975" spans="1:28" ht="15.75" customHeight="1">
      <c r="A975" s="776"/>
      <c r="B975" s="776"/>
      <c r="C975" s="776"/>
      <c r="D975" s="776"/>
      <c r="E975" s="777"/>
      <c r="F975" s="776"/>
      <c r="G975" s="777"/>
      <c r="H975" s="776"/>
      <c r="I975" s="777"/>
      <c r="J975" s="777"/>
      <c r="K975" s="786"/>
      <c r="L975" s="777"/>
      <c r="M975" s="785"/>
      <c r="N975" s="785"/>
      <c r="O975" s="785"/>
      <c r="P975" s="785"/>
      <c r="Q975" s="785"/>
      <c r="R975" s="785"/>
      <c r="S975" s="776"/>
      <c r="T975" s="776"/>
      <c r="U975" s="776"/>
      <c r="V975" s="776"/>
      <c r="W975" s="776"/>
      <c r="X975" s="776"/>
      <c r="Y975" s="785"/>
      <c r="Z975" s="776"/>
      <c r="AA975" s="776"/>
      <c r="AB975" s="776"/>
    </row>
    <row r="976" spans="1:28" ht="15.75" customHeight="1">
      <c r="A976" s="776"/>
      <c r="B976" s="776"/>
      <c r="C976" s="776"/>
      <c r="D976" s="776"/>
      <c r="E976" s="777"/>
      <c r="F976" s="776"/>
      <c r="G976" s="777"/>
      <c r="H976" s="776"/>
      <c r="I976" s="777"/>
      <c r="J976" s="777"/>
      <c r="K976" s="786"/>
      <c r="L976" s="777"/>
      <c r="M976" s="785"/>
      <c r="N976" s="785"/>
      <c r="O976" s="785"/>
      <c r="P976" s="785"/>
      <c r="Q976" s="785"/>
      <c r="R976" s="785"/>
      <c r="S976" s="776"/>
      <c r="T976" s="776"/>
      <c r="U976" s="776"/>
      <c r="V976" s="776"/>
      <c r="W976" s="776"/>
      <c r="X976" s="776"/>
      <c r="Y976" s="785"/>
      <c r="Z976" s="776"/>
      <c r="AA976" s="776"/>
      <c r="AB976" s="776"/>
    </row>
    <row r="977" spans="1:28" ht="15.75" customHeight="1">
      <c r="A977" s="776"/>
      <c r="B977" s="776"/>
      <c r="C977" s="776"/>
      <c r="D977" s="776"/>
      <c r="E977" s="777"/>
      <c r="F977" s="776"/>
      <c r="G977" s="777"/>
      <c r="H977" s="776"/>
      <c r="I977" s="777"/>
      <c r="J977" s="777"/>
      <c r="K977" s="786"/>
      <c r="L977" s="777"/>
      <c r="M977" s="785"/>
      <c r="N977" s="785"/>
      <c r="O977" s="785"/>
      <c r="P977" s="785"/>
      <c r="Q977" s="785"/>
      <c r="R977" s="785"/>
      <c r="S977" s="776"/>
      <c r="T977" s="776"/>
      <c r="U977" s="776"/>
      <c r="V977" s="776"/>
      <c r="W977" s="776"/>
      <c r="X977" s="776"/>
      <c r="Y977" s="785"/>
      <c r="Z977" s="776"/>
      <c r="AA977" s="776"/>
      <c r="AB977" s="776"/>
    </row>
    <row r="978" spans="1:28" ht="15.75" customHeight="1">
      <c r="A978" s="776"/>
      <c r="B978" s="776"/>
      <c r="C978" s="776"/>
      <c r="D978" s="776"/>
      <c r="E978" s="777"/>
      <c r="F978" s="776"/>
      <c r="G978" s="777"/>
      <c r="H978" s="776"/>
      <c r="I978" s="777"/>
      <c r="J978" s="777"/>
      <c r="K978" s="786"/>
      <c r="L978" s="777"/>
      <c r="M978" s="785"/>
      <c r="N978" s="785"/>
      <c r="O978" s="785"/>
      <c r="P978" s="785"/>
      <c r="Q978" s="785"/>
      <c r="R978" s="785"/>
      <c r="S978" s="776"/>
      <c r="T978" s="776"/>
      <c r="U978" s="776"/>
      <c r="V978" s="776"/>
      <c r="W978" s="776"/>
      <c r="X978" s="776"/>
      <c r="Y978" s="785"/>
      <c r="Z978" s="776"/>
      <c r="AA978" s="776"/>
      <c r="AB978" s="776"/>
    </row>
    <row r="979" spans="1:28" ht="15.75" customHeight="1">
      <c r="A979" s="776"/>
      <c r="B979" s="776"/>
      <c r="C979" s="776"/>
      <c r="D979" s="776"/>
      <c r="E979" s="777"/>
      <c r="F979" s="776"/>
      <c r="G979" s="777"/>
      <c r="H979" s="776"/>
      <c r="I979" s="777"/>
      <c r="J979" s="777"/>
      <c r="K979" s="786"/>
      <c r="L979" s="777"/>
      <c r="M979" s="785"/>
      <c r="N979" s="785"/>
      <c r="O979" s="785"/>
      <c r="P979" s="785"/>
      <c r="Q979" s="785"/>
      <c r="R979" s="785"/>
      <c r="S979" s="776"/>
      <c r="T979" s="776"/>
      <c r="U979" s="776"/>
      <c r="V979" s="776"/>
      <c r="W979" s="776"/>
      <c r="X979" s="776"/>
      <c r="Y979" s="785"/>
      <c r="Z979" s="776"/>
      <c r="AA979" s="776"/>
      <c r="AB979" s="776"/>
    </row>
    <row r="980" spans="1:28" ht="15.75" customHeight="1">
      <c r="A980" s="776"/>
      <c r="B980" s="776"/>
      <c r="C980" s="776"/>
      <c r="D980" s="776"/>
      <c r="E980" s="777"/>
      <c r="F980" s="776"/>
      <c r="G980" s="777"/>
      <c r="H980" s="776"/>
      <c r="I980" s="777"/>
      <c r="J980" s="777"/>
      <c r="K980" s="786"/>
      <c r="L980" s="777"/>
      <c r="M980" s="785"/>
      <c r="N980" s="785"/>
      <c r="O980" s="785"/>
      <c r="P980" s="785"/>
      <c r="Q980" s="785"/>
      <c r="R980" s="785"/>
      <c r="S980" s="776"/>
      <c r="T980" s="776"/>
      <c r="U980" s="776"/>
      <c r="V980" s="776"/>
      <c r="W980" s="776"/>
      <c r="X980" s="776"/>
      <c r="Y980" s="785"/>
      <c r="Z980" s="776"/>
      <c r="AA980" s="776"/>
      <c r="AB980" s="776"/>
    </row>
    <row r="981" spans="1:28" ht="15.75" customHeight="1">
      <c r="A981" s="776"/>
      <c r="B981" s="776"/>
      <c r="C981" s="776"/>
      <c r="D981" s="776"/>
      <c r="E981" s="777"/>
      <c r="F981" s="776"/>
      <c r="G981" s="777"/>
      <c r="H981" s="776"/>
      <c r="I981" s="777"/>
      <c r="J981" s="777"/>
      <c r="K981" s="786"/>
      <c r="L981" s="777"/>
      <c r="M981" s="785"/>
      <c r="N981" s="785"/>
      <c r="O981" s="785"/>
      <c r="P981" s="785"/>
      <c r="Q981" s="785"/>
      <c r="R981" s="785"/>
      <c r="S981" s="776"/>
      <c r="T981" s="776"/>
      <c r="U981" s="776"/>
      <c r="V981" s="776"/>
      <c r="W981" s="776"/>
      <c r="X981" s="776"/>
      <c r="Y981" s="785"/>
      <c r="Z981" s="776"/>
      <c r="AA981" s="776"/>
      <c r="AB981" s="776"/>
    </row>
    <row r="982" spans="1:28" ht="15.75" customHeight="1">
      <c r="A982" s="776"/>
      <c r="B982" s="776"/>
      <c r="C982" s="776"/>
      <c r="D982" s="776"/>
      <c r="E982" s="777"/>
      <c r="F982" s="776"/>
      <c r="G982" s="777"/>
      <c r="H982" s="776"/>
      <c r="I982" s="777"/>
      <c r="J982" s="777"/>
      <c r="K982" s="786"/>
      <c r="L982" s="777"/>
      <c r="M982" s="785"/>
      <c r="N982" s="785"/>
      <c r="O982" s="785"/>
      <c r="P982" s="785"/>
      <c r="Q982" s="785"/>
      <c r="R982" s="785"/>
      <c r="S982" s="776"/>
      <c r="T982" s="776"/>
      <c r="U982" s="776"/>
      <c r="V982" s="776"/>
      <c r="W982" s="776"/>
      <c r="X982" s="776"/>
      <c r="Y982" s="785"/>
      <c r="Z982" s="776"/>
      <c r="AA982" s="776"/>
      <c r="AB982" s="776"/>
    </row>
    <row r="983" spans="1:28" ht="15.75" customHeight="1">
      <c r="A983" s="776"/>
      <c r="B983" s="776"/>
      <c r="C983" s="776"/>
      <c r="D983" s="776"/>
      <c r="E983" s="777"/>
      <c r="F983" s="776"/>
      <c r="G983" s="777"/>
      <c r="H983" s="776"/>
      <c r="I983" s="777"/>
      <c r="J983" s="777"/>
      <c r="K983" s="786"/>
      <c r="L983" s="777"/>
      <c r="M983" s="785"/>
      <c r="N983" s="785"/>
      <c r="O983" s="785"/>
      <c r="P983" s="785"/>
      <c r="Q983" s="785"/>
      <c r="R983" s="785"/>
      <c r="S983" s="776"/>
      <c r="T983" s="776"/>
      <c r="U983" s="776"/>
      <c r="V983" s="776"/>
      <c r="W983" s="776"/>
      <c r="X983" s="776"/>
      <c r="Y983" s="785"/>
      <c r="Z983" s="776"/>
      <c r="AA983" s="776"/>
      <c r="AB983" s="776"/>
    </row>
    <row r="984" spans="1:28" ht="15.75" customHeight="1">
      <c r="A984" s="776"/>
      <c r="B984" s="776"/>
      <c r="C984" s="776"/>
      <c r="D984" s="776"/>
      <c r="E984" s="777"/>
      <c r="F984" s="776"/>
      <c r="G984" s="777"/>
      <c r="H984" s="776"/>
      <c r="I984" s="777"/>
      <c r="J984" s="777"/>
      <c r="K984" s="786"/>
      <c r="L984" s="777"/>
      <c r="M984" s="785"/>
      <c r="N984" s="785"/>
      <c r="O984" s="785"/>
      <c r="P984" s="785"/>
      <c r="Q984" s="785"/>
      <c r="R984" s="785"/>
      <c r="S984" s="776"/>
      <c r="T984" s="776"/>
      <c r="U984" s="776"/>
      <c r="V984" s="776"/>
      <c r="W984" s="776"/>
      <c r="X984" s="776"/>
      <c r="Y984" s="785"/>
      <c r="Z984" s="776"/>
      <c r="AA984" s="776"/>
      <c r="AB984" s="776"/>
    </row>
    <row r="985" spans="1:28" ht="15.75" customHeight="1">
      <c r="A985" s="776"/>
      <c r="B985" s="776"/>
      <c r="C985" s="776"/>
      <c r="D985" s="776"/>
      <c r="E985" s="777"/>
      <c r="F985" s="776"/>
      <c r="G985" s="777"/>
      <c r="H985" s="776"/>
      <c r="I985" s="777"/>
      <c r="J985" s="777"/>
      <c r="K985" s="786"/>
      <c r="L985" s="777"/>
      <c r="M985" s="785"/>
      <c r="N985" s="785"/>
      <c r="O985" s="785"/>
      <c r="P985" s="785"/>
      <c r="Q985" s="785"/>
      <c r="R985" s="785"/>
      <c r="S985" s="776"/>
      <c r="T985" s="776"/>
      <c r="U985" s="776"/>
      <c r="V985" s="776"/>
      <c r="W985" s="776"/>
      <c r="X985" s="776"/>
      <c r="Y985" s="785"/>
      <c r="Z985" s="776"/>
      <c r="AA985" s="776"/>
      <c r="AB985" s="776"/>
    </row>
    <row r="986" spans="1:28" ht="15.75" customHeight="1">
      <c r="A986" s="776"/>
      <c r="B986" s="776"/>
      <c r="C986" s="776"/>
      <c r="D986" s="776"/>
      <c r="E986" s="777"/>
      <c r="F986" s="776"/>
      <c r="G986" s="777"/>
      <c r="H986" s="776"/>
      <c r="I986" s="777"/>
      <c r="J986" s="777"/>
      <c r="K986" s="786"/>
      <c r="L986" s="777"/>
      <c r="M986" s="785"/>
      <c r="N986" s="785"/>
      <c r="O986" s="785"/>
      <c r="P986" s="785"/>
      <c r="Q986" s="785"/>
      <c r="R986" s="785"/>
      <c r="S986" s="776"/>
      <c r="T986" s="776"/>
      <c r="U986" s="776"/>
      <c r="V986" s="776"/>
      <c r="W986" s="776"/>
      <c r="X986" s="776"/>
      <c r="Y986" s="785"/>
      <c r="Z986" s="776"/>
      <c r="AA986" s="776"/>
      <c r="AB986" s="776"/>
    </row>
    <row r="987" spans="1:28" ht="15.75" customHeight="1">
      <c r="A987" s="776"/>
      <c r="B987" s="776"/>
      <c r="C987" s="776"/>
      <c r="D987" s="776"/>
      <c r="E987" s="777"/>
      <c r="F987" s="776"/>
      <c r="G987" s="777"/>
      <c r="H987" s="776"/>
      <c r="I987" s="777"/>
      <c r="J987" s="777"/>
      <c r="K987" s="786"/>
      <c r="L987" s="777"/>
      <c r="M987" s="785"/>
      <c r="N987" s="785"/>
      <c r="O987" s="785"/>
      <c r="P987" s="785"/>
      <c r="Q987" s="785"/>
      <c r="R987" s="785"/>
      <c r="S987" s="776"/>
      <c r="T987" s="776"/>
      <c r="U987" s="776"/>
      <c r="V987" s="776"/>
      <c r="W987" s="776"/>
      <c r="X987" s="776"/>
      <c r="Y987" s="785"/>
      <c r="Z987" s="776"/>
      <c r="AA987" s="776"/>
      <c r="AB987" s="776"/>
    </row>
    <row r="988" spans="1:28" ht="15.75" customHeight="1">
      <c r="A988" s="776"/>
      <c r="B988" s="776"/>
      <c r="C988" s="776"/>
      <c r="D988" s="776"/>
      <c r="E988" s="777"/>
      <c r="F988" s="776"/>
      <c r="G988" s="777"/>
      <c r="H988" s="776"/>
      <c r="I988" s="777"/>
      <c r="J988" s="777"/>
      <c r="K988" s="786"/>
      <c r="L988" s="777"/>
      <c r="M988" s="785"/>
      <c r="N988" s="785"/>
      <c r="O988" s="785"/>
      <c r="P988" s="785"/>
      <c r="Q988" s="785"/>
      <c r="R988" s="785"/>
      <c r="S988" s="776"/>
      <c r="T988" s="776"/>
      <c r="U988" s="776"/>
      <c r="V988" s="776"/>
      <c r="W988" s="776"/>
      <c r="X988" s="776"/>
      <c r="Y988" s="785"/>
      <c r="Z988" s="776"/>
      <c r="AA988" s="776"/>
      <c r="AB988" s="776"/>
    </row>
    <row r="989" spans="1:28" ht="15.75" customHeight="1">
      <c r="A989" s="776"/>
      <c r="B989" s="776"/>
      <c r="C989" s="776"/>
      <c r="D989" s="776"/>
      <c r="E989" s="777"/>
      <c r="F989" s="776"/>
      <c r="G989" s="777"/>
      <c r="H989" s="776"/>
      <c r="I989" s="777"/>
      <c r="J989" s="777"/>
      <c r="K989" s="786"/>
      <c r="L989" s="777"/>
      <c r="M989" s="785"/>
      <c r="N989" s="785"/>
      <c r="O989" s="785"/>
      <c r="P989" s="785"/>
      <c r="Q989" s="785"/>
      <c r="R989" s="785"/>
      <c r="S989" s="776"/>
      <c r="T989" s="776"/>
      <c r="U989" s="776"/>
      <c r="V989" s="776"/>
      <c r="W989" s="776"/>
      <c r="X989" s="776"/>
      <c r="Y989" s="785"/>
      <c r="Z989" s="776"/>
      <c r="AA989" s="776"/>
      <c r="AB989" s="776"/>
    </row>
    <row r="990" spans="1:28" ht="15.75" customHeight="1">
      <c r="A990" s="776"/>
      <c r="B990" s="776"/>
      <c r="C990" s="776"/>
      <c r="D990" s="776"/>
      <c r="E990" s="777"/>
      <c r="F990" s="776"/>
      <c r="G990" s="777"/>
      <c r="H990" s="776"/>
      <c r="I990" s="777"/>
      <c r="J990" s="777"/>
      <c r="K990" s="786"/>
      <c r="L990" s="777"/>
      <c r="M990" s="785"/>
      <c r="N990" s="785"/>
      <c r="O990" s="785"/>
      <c r="P990" s="785"/>
      <c r="Q990" s="785"/>
      <c r="R990" s="785"/>
      <c r="S990" s="776"/>
      <c r="T990" s="776"/>
      <c r="U990" s="776"/>
      <c r="V990" s="776"/>
      <c r="W990" s="776"/>
      <c r="X990" s="776"/>
      <c r="Y990" s="785"/>
      <c r="Z990" s="776"/>
      <c r="AA990" s="776"/>
      <c r="AB990" s="776"/>
    </row>
    <row r="991" spans="1:28" ht="15.75" customHeight="1">
      <c r="A991" s="776"/>
      <c r="B991" s="776"/>
      <c r="C991" s="776"/>
      <c r="D991" s="776"/>
      <c r="E991" s="777"/>
      <c r="F991" s="776"/>
      <c r="G991" s="777"/>
      <c r="H991" s="776"/>
      <c r="I991" s="777"/>
      <c r="J991" s="777"/>
      <c r="K991" s="786"/>
      <c r="L991" s="777"/>
      <c r="M991" s="785"/>
      <c r="N991" s="785"/>
      <c r="O991" s="785"/>
      <c r="P991" s="785"/>
      <c r="Q991" s="785"/>
      <c r="R991" s="785"/>
      <c r="S991" s="776"/>
      <c r="T991" s="776"/>
      <c r="U991" s="776"/>
      <c r="V991" s="776"/>
      <c r="W991" s="776"/>
      <c r="X991" s="776"/>
      <c r="Y991" s="785"/>
      <c r="Z991" s="776"/>
      <c r="AA991" s="776"/>
      <c r="AB991" s="776"/>
    </row>
    <row r="992" spans="1:28" ht="15.75" customHeight="1">
      <c r="A992" s="776"/>
      <c r="B992" s="776"/>
      <c r="C992" s="776"/>
      <c r="D992" s="776"/>
      <c r="E992" s="777"/>
      <c r="F992" s="776"/>
      <c r="G992" s="777"/>
      <c r="H992" s="776"/>
      <c r="I992" s="777"/>
      <c r="J992" s="777"/>
      <c r="K992" s="786"/>
      <c r="L992" s="777"/>
      <c r="M992" s="785"/>
      <c r="N992" s="785"/>
      <c r="O992" s="785"/>
      <c r="P992" s="785"/>
      <c r="Q992" s="785"/>
      <c r="R992" s="785"/>
      <c r="S992" s="776"/>
      <c r="T992" s="776"/>
      <c r="U992" s="776"/>
      <c r="V992" s="776"/>
      <c r="W992" s="776"/>
      <c r="X992" s="776"/>
      <c r="Y992" s="785"/>
      <c r="Z992" s="776"/>
      <c r="AA992" s="776"/>
      <c r="AB992" s="776"/>
    </row>
    <row r="993" spans="1:28" ht="15.75" customHeight="1">
      <c r="A993" s="776"/>
      <c r="B993" s="776"/>
      <c r="C993" s="776"/>
      <c r="D993" s="776"/>
      <c r="E993" s="777"/>
      <c r="F993" s="776"/>
      <c r="G993" s="777"/>
      <c r="H993" s="776"/>
      <c r="I993" s="777"/>
      <c r="J993" s="777"/>
      <c r="K993" s="786"/>
      <c r="L993" s="777"/>
      <c r="M993" s="785"/>
      <c r="N993" s="785"/>
      <c r="O993" s="785"/>
      <c r="P993" s="785"/>
      <c r="Q993" s="785"/>
      <c r="R993" s="785"/>
      <c r="S993" s="776"/>
      <c r="T993" s="776"/>
      <c r="U993" s="776"/>
      <c r="V993" s="776"/>
      <c r="W993" s="776"/>
      <c r="X993" s="776"/>
      <c r="Y993" s="785"/>
      <c r="Z993" s="776"/>
      <c r="AA993" s="776"/>
      <c r="AB993" s="776"/>
    </row>
    <row r="994" spans="1:28" ht="15.75" customHeight="1">
      <c r="A994" s="776"/>
      <c r="B994" s="776"/>
      <c r="C994" s="776"/>
      <c r="D994" s="776"/>
      <c r="E994" s="777"/>
      <c r="F994" s="776"/>
      <c r="G994" s="777"/>
      <c r="H994" s="776"/>
      <c r="I994" s="777"/>
      <c r="J994" s="777"/>
      <c r="K994" s="786"/>
      <c r="L994" s="777"/>
      <c r="M994" s="785"/>
      <c r="N994" s="785"/>
      <c r="O994" s="785"/>
      <c r="P994" s="785"/>
      <c r="Q994" s="785"/>
      <c r="R994" s="785"/>
      <c r="S994" s="776"/>
      <c r="T994" s="776"/>
      <c r="U994" s="776"/>
      <c r="V994" s="776"/>
      <c r="W994" s="776"/>
      <c r="X994" s="776"/>
      <c r="Y994" s="785"/>
      <c r="Z994" s="776"/>
      <c r="AA994" s="776"/>
      <c r="AB994" s="776"/>
    </row>
    <row r="995" spans="1:28" ht="15.75" customHeight="1">
      <c r="A995" s="776"/>
      <c r="B995" s="776"/>
      <c r="C995" s="776"/>
      <c r="D995" s="776"/>
      <c r="E995" s="777"/>
      <c r="F995" s="776"/>
      <c r="G995" s="777"/>
      <c r="H995" s="776"/>
      <c r="I995" s="777"/>
      <c r="J995" s="777"/>
      <c r="K995" s="786"/>
      <c r="L995" s="777"/>
      <c r="M995" s="785"/>
      <c r="N995" s="785"/>
      <c r="O995" s="785"/>
      <c r="P995" s="785"/>
      <c r="Q995" s="785"/>
      <c r="R995" s="785"/>
      <c r="S995" s="776"/>
      <c r="T995" s="776"/>
      <c r="U995" s="776"/>
      <c r="V995" s="776"/>
      <c r="W995" s="776"/>
      <c r="X995" s="776"/>
      <c r="Y995" s="785"/>
      <c r="Z995" s="776"/>
      <c r="AA995" s="776"/>
      <c r="AB995" s="776"/>
    </row>
    <row r="996" spans="1:28" ht="15.75" customHeight="1">
      <c r="A996" s="776"/>
      <c r="B996" s="776"/>
      <c r="C996" s="776"/>
      <c r="D996" s="776"/>
      <c r="E996" s="777"/>
      <c r="F996" s="776"/>
      <c r="G996" s="777"/>
      <c r="H996" s="776"/>
      <c r="I996" s="777"/>
      <c r="J996" s="777"/>
      <c r="K996" s="786"/>
      <c r="L996" s="777"/>
      <c r="M996" s="785"/>
      <c r="N996" s="785"/>
      <c r="O996" s="785"/>
      <c r="P996" s="785"/>
      <c r="Q996" s="785"/>
      <c r="R996" s="785"/>
      <c r="S996" s="776"/>
      <c r="T996" s="776"/>
      <c r="U996" s="776"/>
      <c r="V996" s="776"/>
      <c r="W996" s="776"/>
      <c r="X996" s="776"/>
      <c r="Y996" s="785"/>
      <c r="Z996" s="776"/>
      <c r="AA996" s="776"/>
      <c r="AB996" s="776"/>
    </row>
    <row r="997" spans="1:28" ht="15.75" customHeight="1">
      <c r="A997" s="776"/>
      <c r="B997" s="776"/>
      <c r="C997" s="776"/>
      <c r="D997" s="776"/>
      <c r="E997" s="777"/>
      <c r="F997" s="776"/>
      <c r="G997" s="777"/>
      <c r="H997" s="776"/>
      <c r="I997" s="777"/>
      <c r="J997" s="777"/>
      <c r="K997" s="786"/>
      <c r="L997" s="777"/>
      <c r="M997" s="785"/>
      <c r="N997" s="785"/>
      <c r="O997" s="785"/>
      <c r="P997" s="785"/>
      <c r="Q997" s="785"/>
      <c r="R997" s="785"/>
      <c r="S997" s="776"/>
      <c r="T997" s="776"/>
      <c r="U997" s="776"/>
      <c r="V997" s="776"/>
      <c r="W997" s="776"/>
      <c r="X997" s="776"/>
      <c r="Y997" s="785"/>
      <c r="Z997" s="776"/>
      <c r="AA997" s="776"/>
      <c r="AB997" s="776"/>
    </row>
    <row r="998" spans="1:28" ht="15.75" customHeight="1">
      <c r="A998" s="776"/>
      <c r="B998" s="776"/>
      <c r="C998" s="776"/>
      <c r="D998" s="776"/>
      <c r="E998" s="777"/>
      <c r="F998" s="776"/>
      <c r="G998" s="777"/>
      <c r="H998" s="776"/>
      <c r="I998" s="777"/>
      <c r="J998" s="777"/>
      <c r="K998" s="786"/>
      <c r="L998" s="777"/>
      <c r="M998" s="785"/>
      <c r="N998" s="785"/>
      <c r="O998" s="785"/>
      <c r="P998" s="785"/>
      <c r="Q998" s="785"/>
      <c r="R998" s="785"/>
      <c r="S998" s="776"/>
      <c r="T998" s="776"/>
      <c r="U998" s="776"/>
      <c r="V998" s="776"/>
      <c r="W998" s="776"/>
      <c r="X998" s="776"/>
      <c r="Y998" s="785"/>
      <c r="Z998" s="776"/>
      <c r="AA998" s="776"/>
      <c r="AB998" s="776"/>
    </row>
    <row r="999" spans="1:28" ht="15.75" customHeight="1">
      <c r="A999" s="776"/>
      <c r="B999" s="776"/>
      <c r="C999" s="776"/>
      <c r="D999" s="776"/>
      <c r="E999" s="777"/>
      <c r="F999" s="776"/>
      <c r="G999" s="777"/>
      <c r="H999" s="776"/>
      <c r="I999" s="777"/>
      <c r="J999" s="777"/>
      <c r="K999" s="786"/>
      <c r="L999" s="777"/>
      <c r="M999" s="785"/>
      <c r="N999" s="785"/>
      <c r="O999" s="785"/>
      <c r="P999" s="785"/>
      <c r="Q999" s="785"/>
      <c r="R999" s="785"/>
      <c r="S999" s="776"/>
      <c r="T999" s="776"/>
      <c r="U999" s="776"/>
      <c r="V999" s="776"/>
      <c r="W999" s="776"/>
      <c r="X999" s="776"/>
      <c r="Y999" s="785"/>
      <c r="Z999" s="776"/>
      <c r="AA999" s="776"/>
      <c r="AB999" s="776"/>
    </row>
    <row r="1000" spans="1:28" ht="15.75" customHeight="1">
      <c r="A1000" s="776"/>
      <c r="B1000" s="776"/>
      <c r="C1000" s="776"/>
      <c r="D1000" s="776"/>
      <c r="E1000" s="777"/>
      <c r="F1000" s="776"/>
      <c r="G1000" s="777"/>
      <c r="H1000" s="776"/>
      <c r="I1000" s="777"/>
      <c r="J1000" s="777"/>
      <c r="K1000" s="786"/>
      <c r="L1000" s="777"/>
      <c r="M1000" s="785"/>
      <c r="N1000" s="785"/>
      <c r="O1000" s="785"/>
      <c r="P1000" s="785"/>
      <c r="Q1000" s="785"/>
      <c r="R1000" s="785"/>
      <c r="S1000" s="776"/>
      <c r="T1000" s="776"/>
      <c r="U1000" s="776"/>
      <c r="V1000" s="776"/>
      <c r="W1000" s="776"/>
      <c r="X1000" s="776"/>
      <c r="Y1000" s="785"/>
      <c r="Z1000" s="776"/>
      <c r="AA1000" s="776"/>
      <c r="AB1000" s="776"/>
    </row>
  </sheetData>
  <phoneticPr fontId="79" type="noConversion"/>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AF133"/>
  <sheetViews>
    <sheetView view="pageBreakPreview" topLeftCell="A56" zoomScale="55" zoomScaleNormal="80" zoomScaleSheetLayoutView="55" workbookViewId="0">
      <selection activeCell="N13" sqref="N13"/>
    </sheetView>
  </sheetViews>
  <sheetFormatPr defaultColWidth="10.81640625" defaultRowHeight="13"/>
  <cols>
    <col min="1" max="1" width="2.81640625" style="558" customWidth="1"/>
    <col min="2" max="2" width="44" style="558" bestFit="1" customWidth="1"/>
    <col min="3" max="3" width="2.81640625" style="558" customWidth="1"/>
    <col min="4" max="4" width="17.81640625" style="558" customWidth="1"/>
    <col min="5" max="5" width="12.453125" style="558" bestFit="1" customWidth="1"/>
    <col min="6" max="8" width="15" style="558" bestFit="1" customWidth="1"/>
    <col min="9" max="9" width="1.1796875" style="558" customWidth="1"/>
    <col min="10" max="10" width="1.453125" style="558" customWidth="1"/>
    <col min="11" max="11" width="1.81640625" style="558" customWidth="1"/>
    <col min="12" max="12" width="43" style="558" customWidth="1"/>
    <col min="13" max="13" width="3.453125" style="558" customWidth="1"/>
    <col min="14" max="14" width="2.453125" style="558" customWidth="1"/>
    <col min="15" max="15" width="19.36328125" style="558" customWidth="1"/>
    <col min="16" max="16" width="16.1796875" style="558" customWidth="1"/>
    <col min="17" max="17" width="7.1796875" style="558" bestFit="1" customWidth="1"/>
    <col min="18" max="18" width="18.08984375" style="558" customWidth="1"/>
    <col min="19" max="19" width="7.1796875" style="558" bestFit="1" customWidth="1"/>
    <col min="20" max="20" width="16.1796875" style="558" customWidth="1"/>
    <col min="21" max="21" width="7.6328125" style="558" customWidth="1"/>
    <col min="22" max="22" width="3.81640625" style="558" customWidth="1"/>
    <col min="23" max="16384" width="10.81640625" style="558"/>
  </cols>
  <sheetData>
    <row r="1" spans="2:21" ht="96" customHeight="1">
      <c r="B1" s="814" t="s">
        <v>1202</v>
      </c>
    </row>
    <row r="2" spans="2:21" ht="19" customHeight="1">
      <c r="B2" s="317" t="s">
        <v>671</v>
      </c>
    </row>
    <row r="3" spans="2:21" ht="19" customHeight="1"/>
    <row r="4" spans="2:21" ht="19" customHeight="1">
      <c r="B4" s="555" t="s">
        <v>629</v>
      </c>
      <c r="C4" s="556"/>
      <c r="D4" s="556"/>
      <c r="E4" s="556"/>
      <c r="F4" s="948" t="s">
        <v>227</v>
      </c>
      <c r="G4" s="948"/>
      <c r="H4" s="949"/>
      <c r="I4" s="557"/>
      <c r="J4" s="557"/>
      <c r="L4" s="555" t="s">
        <v>630</v>
      </c>
      <c r="M4" s="556"/>
      <c r="N4" s="556"/>
      <c r="O4" s="556"/>
      <c r="P4" s="948" t="s">
        <v>227</v>
      </c>
      <c r="Q4" s="948"/>
      <c r="R4" s="948"/>
      <c r="S4" s="948"/>
      <c r="T4" s="948"/>
      <c r="U4" s="559"/>
    </row>
    <row r="5" spans="2:21" ht="19" customHeight="1">
      <c r="B5" s="560"/>
      <c r="C5" s="561"/>
      <c r="D5" s="561"/>
      <c r="E5" s="561"/>
      <c r="F5" s="562" t="s">
        <v>193</v>
      </c>
      <c r="G5" s="562" t="s">
        <v>225</v>
      </c>
      <c r="H5" s="563" t="s">
        <v>226</v>
      </c>
      <c r="I5" s="564"/>
      <c r="J5" s="564"/>
      <c r="L5" s="560"/>
      <c r="M5" s="561"/>
      <c r="N5" s="561"/>
      <c r="O5" s="562" t="s">
        <v>17</v>
      </c>
      <c r="P5" s="562" t="s">
        <v>193</v>
      </c>
      <c r="Q5" s="562"/>
      <c r="R5" s="562" t="s">
        <v>225</v>
      </c>
      <c r="S5" s="562"/>
      <c r="T5" s="562" t="s">
        <v>226</v>
      </c>
      <c r="U5" s="563"/>
    </row>
    <row r="6" spans="2:21" ht="19" customHeight="1">
      <c r="B6" s="565" t="s">
        <v>104</v>
      </c>
      <c r="C6" s="557"/>
      <c r="D6" s="557"/>
      <c r="E6" s="566"/>
      <c r="F6" s="566">
        <f>Assumptions!F22</f>
        <v>44561</v>
      </c>
      <c r="G6" s="566">
        <f>Assumptions!G22</f>
        <v>45291</v>
      </c>
      <c r="H6" s="567">
        <f>Assumptions!H22</f>
        <v>46022</v>
      </c>
      <c r="I6" s="568"/>
      <c r="J6" s="568"/>
      <c r="L6" s="569" t="str">
        <f>Assumptions!B7</f>
        <v>Project (Unlevered) Returns</v>
      </c>
      <c r="M6" s="570"/>
      <c r="N6" s="570"/>
      <c r="O6" s="570"/>
      <c r="P6" s="571"/>
      <c r="Q6" s="571"/>
      <c r="R6" s="571"/>
      <c r="S6" s="571"/>
      <c r="T6" s="571"/>
      <c r="U6" s="572"/>
    </row>
    <row r="7" spans="2:21" ht="19" customHeight="1">
      <c r="B7" s="565" t="s">
        <v>106</v>
      </c>
      <c r="C7" s="557"/>
      <c r="D7" s="573"/>
      <c r="E7" s="557"/>
      <c r="F7" s="566">
        <f>Assumptions!F24</f>
        <v>44926</v>
      </c>
      <c r="G7" s="566">
        <f>Assumptions!G24</f>
        <v>45657</v>
      </c>
      <c r="H7" s="567">
        <f>Assumptions!H24</f>
        <v>46387</v>
      </c>
      <c r="I7" s="566"/>
      <c r="J7" s="566"/>
      <c r="L7" s="574" t="str">
        <f>Assumptions!B8</f>
        <v>Total Cost less Subsidies</v>
      </c>
      <c r="M7" s="575"/>
      <c r="N7" s="575"/>
      <c r="O7" s="576">
        <f ca="1">+SUM(P7:T7)</f>
        <v>725436688.89740705</v>
      </c>
      <c r="P7" s="576">
        <f ca="1">Assumptions!E8</f>
        <v>299515681.58216327</v>
      </c>
      <c r="Q7" s="576"/>
      <c r="R7" s="576">
        <f ca="1">Assumptions!M8</f>
        <v>149769658.83677346</v>
      </c>
      <c r="S7" s="576"/>
      <c r="T7" s="576">
        <f ca="1">Assumptions!U8</f>
        <v>276151348.47847033</v>
      </c>
      <c r="U7" s="577"/>
    </row>
    <row r="8" spans="2:21" ht="19" customHeight="1">
      <c r="B8" s="565" t="s">
        <v>108</v>
      </c>
      <c r="C8" s="557"/>
      <c r="D8" s="557"/>
      <c r="E8" s="557"/>
      <c r="F8" s="566">
        <f>Assumptions!F26</f>
        <v>45657</v>
      </c>
      <c r="G8" s="566">
        <f>Assumptions!G26</f>
        <v>46387</v>
      </c>
      <c r="H8" s="567">
        <f>Assumptions!H26</f>
        <v>47483</v>
      </c>
      <c r="I8" s="566"/>
      <c r="J8" s="566"/>
      <c r="L8" s="578" t="s">
        <v>303</v>
      </c>
      <c r="M8" s="573"/>
      <c r="N8" s="573"/>
      <c r="O8" s="579">
        <f ca="1">+SUM(P8:T8)</f>
        <v>1242931204.5207863</v>
      </c>
      <c r="P8" s="579">
        <f ca="1">Assumptions!E9</f>
        <v>530053907.70684987</v>
      </c>
      <c r="Q8" s="579"/>
      <c r="R8" s="579">
        <f ca="1">Assumptions!M9</f>
        <v>157817689.24613222</v>
      </c>
      <c r="S8" s="579"/>
      <c r="T8" s="579">
        <f ca="1">Assumptions!U9</f>
        <v>555059607.56780422</v>
      </c>
      <c r="U8" s="580"/>
    </row>
    <row r="9" spans="2:21" ht="19" customHeight="1">
      <c r="B9" s="565" t="s">
        <v>110</v>
      </c>
      <c r="C9" s="557"/>
      <c r="D9" s="557"/>
      <c r="E9" s="557"/>
      <c r="F9" s="566">
        <f>Assumptions!F28</f>
        <v>46387</v>
      </c>
      <c r="G9" s="566">
        <f>Assumptions!G28</f>
        <v>47118</v>
      </c>
      <c r="H9" s="567">
        <f>Assumptions!H28</f>
        <v>48213</v>
      </c>
      <c r="I9" s="566"/>
      <c r="J9" s="566"/>
      <c r="L9" s="574" t="str">
        <f>Assumptions!B10</f>
        <v>Yield-to-Cost</v>
      </c>
      <c r="M9" s="575"/>
      <c r="N9" s="575"/>
      <c r="O9" s="581">
        <f ca="1">+'Loan Sizing'!$E$62/O7</f>
        <v>0.11582023176235329</v>
      </c>
      <c r="P9" s="581">
        <f ca="1">Assumptions!E10</f>
        <v>0.11405903859770976</v>
      </c>
      <c r="Q9" s="581"/>
      <c r="R9" s="581">
        <f ca="1">Assumptions!M10</f>
        <v>9.1669590368691739E-2</v>
      </c>
      <c r="S9" s="581"/>
      <c r="T9" s="581">
        <f ca="1">Assumptions!U10</f>
        <v>0.13082844488953679</v>
      </c>
      <c r="U9" s="582"/>
    </row>
    <row r="10" spans="2:21" ht="19" customHeight="1">
      <c r="B10" s="583" t="s">
        <v>112</v>
      </c>
      <c r="C10" s="584"/>
      <c r="D10" s="584"/>
      <c r="E10" s="584"/>
      <c r="F10" s="585">
        <f>Assumptions!F30</f>
        <v>48213</v>
      </c>
      <c r="G10" s="585">
        <f>Assumptions!G30</f>
        <v>48213</v>
      </c>
      <c r="H10" s="586">
        <f>Assumptions!H30</f>
        <v>48213</v>
      </c>
      <c r="I10" s="566"/>
      <c r="J10" s="566"/>
      <c r="L10" s="583" t="str">
        <f>Assumptions!B11</f>
        <v>Blended Exit Cap</v>
      </c>
      <c r="M10" s="584"/>
      <c r="N10" s="584"/>
      <c r="O10" s="587">
        <f ca="1">+'Loan Sizing'!$E$62/$O$8</f>
        <v>6.7598468146437746E-2</v>
      </c>
      <c r="P10" s="587">
        <f ca="1">Assumptions!E11</f>
        <v>6.4450936384932961E-2</v>
      </c>
      <c r="Q10" s="587"/>
      <c r="R10" s="587">
        <f ca="1">Assumptions!M11</f>
        <v>8.6994831446388143E-2</v>
      </c>
      <c r="S10" s="587"/>
      <c r="T10" s="587">
        <f ca="1">Assumptions!U11</f>
        <v>6.5089318305644309E-2</v>
      </c>
      <c r="U10" s="588"/>
    </row>
    <row r="11" spans="2:21" ht="19" customHeight="1">
      <c r="B11" s="573"/>
      <c r="C11" s="573"/>
      <c r="D11" s="573"/>
      <c r="E11" s="589"/>
      <c r="F11" s="590"/>
      <c r="G11" s="590"/>
      <c r="H11" s="590"/>
      <c r="I11" s="566"/>
      <c r="J11" s="566"/>
      <c r="L11" s="569" t="str">
        <f>Assumptions!B13</f>
        <v>Equity Returns</v>
      </c>
      <c r="M11" s="570"/>
      <c r="N11" s="570"/>
      <c r="O11" s="570"/>
      <c r="P11" s="573"/>
      <c r="Q11" s="573"/>
      <c r="R11" s="573"/>
      <c r="S11" s="573"/>
      <c r="T11" s="573"/>
      <c r="U11" s="591"/>
    </row>
    <row r="12" spans="2:21" ht="19" customHeight="1">
      <c r="B12" s="555" t="s">
        <v>631</v>
      </c>
      <c r="C12" s="556"/>
      <c r="D12" s="946" t="s">
        <v>632</v>
      </c>
      <c r="E12" s="556"/>
      <c r="F12" s="948" t="s">
        <v>227</v>
      </c>
      <c r="G12" s="948"/>
      <c r="H12" s="949"/>
      <c r="L12" s="578" t="str">
        <f>Assumptions!B15</f>
        <v>Unlevered IRR</v>
      </c>
      <c r="M12" s="573"/>
      <c r="N12" s="573"/>
      <c r="O12" s="594">
        <f ca="1">+Assumptions!E4</f>
        <v>0.15581331388884045</v>
      </c>
      <c r="P12" s="594">
        <f ca="1">Assumptions!E15</f>
        <v>0.14466080366738621</v>
      </c>
      <c r="Q12" s="594"/>
      <c r="R12" s="594">
        <f ca="1">Assumptions!M15</f>
        <v>0.15590292187162347</v>
      </c>
      <c r="S12" s="594"/>
      <c r="T12" s="594">
        <f ca="1">Assumptions!U15</f>
        <v>0.18557150677640988</v>
      </c>
      <c r="U12" s="595"/>
    </row>
    <row r="13" spans="2:21" ht="19" customHeight="1">
      <c r="B13" s="560"/>
      <c r="C13" s="561"/>
      <c r="D13" s="947"/>
      <c r="E13" s="592" t="s">
        <v>17</v>
      </c>
      <c r="F13" s="592" t="s">
        <v>193</v>
      </c>
      <c r="G13" s="592" t="s">
        <v>225</v>
      </c>
      <c r="H13" s="593" t="s">
        <v>226</v>
      </c>
      <c r="I13" s="557"/>
      <c r="J13" s="557"/>
      <c r="L13" s="578" t="s">
        <v>684</v>
      </c>
      <c r="M13" s="573"/>
      <c r="N13" s="573"/>
      <c r="O13" s="594">
        <f ca="1">+Assumptions!E3</f>
        <v>0.28068633693696654</v>
      </c>
      <c r="P13" s="594">
        <f ca="1">Assumptions!E14</f>
        <v>0.26008083120371395</v>
      </c>
      <c r="Q13" s="594"/>
      <c r="R13" s="594">
        <f ca="1">Assumptions!M14</f>
        <v>0.32546783189453388</v>
      </c>
      <c r="S13" s="594"/>
      <c r="T13" s="594">
        <f ca="1">Assumptions!U14</f>
        <v>0.31217669917177293</v>
      </c>
      <c r="U13" s="595"/>
    </row>
    <row r="14" spans="2:21" ht="19" customHeight="1">
      <c r="B14" s="596" t="s">
        <v>804</v>
      </c>
      <c r="C14" s="557"/>
      <c r="D14" s="557"/>
      <c r="E14" s="589"/>
      <c r="F14" s="590"/>
      <c r="G14" s="590"/>
      <c r="H14" s="597"/>
      <c r="I14" s="590"/>
      <c r="J14" s="590"/>
      <c r="L14" s="578" t="s">
        <v>683</v>
      </c>
      <c r="M14" s="573"/>
      <c r="N14" s="573"/>
      <c r="O14" s="594">
        <f ca="1">+Assumptions!$M$3</f>
        <v>0.39367920567822079</v>
      </c>
      <c r="P14" s="594">
        <f ca="1">+Assumptions!E16</f>
        <v>0.37369436990935428</v>
      </c>
      <c r="Q14" s="594"/>
      <c r="R14" s="594">
        <f ca="1">+Assumptions!M16</f>
        <v>0.54026291475144628</v>
      </c>
      <c r="S14" s="594"/>
      <c r="T14" s="594">
        <f ca="1">+Assumptions!U16</f>
        <v>0.36994413526402048</v>
      </c>
      <c r="U14" s="595"/>
    </row>
    <row r="15" spans="2:21" ht="19" customHeight="1">
      <c r="B15" s="598" t="s">
        <v>114</v>
      </c>
      <c r="C15" s="557"/>
      <c r="D15" s="599">
        <f>Assumptions!E62</f>
        <v>565</v>
      </c>
      <c r="E15" s="589">
        <f>SUM(F15:H15)</f>
        <v>300.00000999999997</v>
      </c>
      <c r="F15" s="590">
        <f>VLOOKUP(B15,Assumptions!$B$61:$H$80,5,FALSE)</f>
        <v>100</v>
      </c>
      <c r="G15" s="590">
        <f>VLOOKUP(B15,Assumptions!$B$61:$H$80,6,FALSE)</f>
        <v>1.0000000000000001E-5</v>
      </c>
      <c r="H15" s="597">
        <f>VLOOKUP(B15,Assumptions!$B$61:$H$80,7,FALSE)</f>
        <v>200</v>
      </c>
      <c r="I15" s="590"/>
      <c r="J15" s="590"/>
      <c r="L15" s="583" t="str">
        <f>Assumptions!B18</f>
        <v>Equity Multiple</v>
      </c>
      <c r="M15" s="584"/>
      <c r="N15" s="584"/>
      <c r="O15" s="600">
        <f ca="1">+SUM('Phase I Pro Forma'!D308,'Phase II Pro Forma'!D312,'Phase III Pro Forma'!D308)/-SUM('Phase I Pro Forma'!D307,'Phase II Pro Forma'!D311,'Phase III Pro Forma'!D307)</f>
        <v>3.8915182345023998</v>
      </c>
      <c r="P15" s="600">
        <f ca="1">Assumptions!E18</f>
        <v>5.1316851365808551</v>
      </c>
      <c r="Q15" s="600"/>
      <c r="R15" s="600">
        <f ca="1">Assumptions!M18</f>
        <v>1.7672662586668497</v>
      </c>
      <c r="S15" s="600"/>
      <c r="T15" s="600">
        <f ca="1">Assumptions!U18</f>
        <v>4.2594058093610494</v>
      </c>
      <c r="U15" s="601"/>
    </row>
    <row r="16" spans="2:21" ht="19" customHeight="1">
      <c r="B16" s="598" t="s">
        <v>121</v>
      </c>
      <c r="C16" s="557"/>
      <c r="D16" s="599">
        <f>Assumptions!E66</f>
        <v>650</v>
      </c>
      <c r="E16" s="589">
        <f t="shared" ref="E16:E26" si="0">SUM(F16:H16)</f>
        <v>220</v>
      </c>
      <c r="F16" s="590">
        <f>VLOOKUP(B16,Assumptions!$B$61:$H$80,5,FALSE)</f>
        <v>100</v>
      </c>
      <c r="G16" s="590">
        <f>VLOOKUP(B16,Assumptions!$B$61:$H$80,6,FALSE)</f>
        <v>0</v>
      </c>
      <c r="H16" s="597">
        <f>VLOOKUP(B16,Assumptions!$B$61:$H$80,7,FALSE)</f>
        <v>120</v>
      </c>
      <c r="I16" s="590"/>
      <c r="J16" s="590"/>
    </row>
    <row r="17" spans="2:21" ht="19" customHeight="1">
      <c r="B17" s="598" t="s">
        <v>124</v>
      </c>
      <c r="C17" s="557"/>
      <c r="D17" s="599">
        <f>Assumptions!E70</f>
        <v>900</v>
      </c>
      <c r="E17" s="589">
        <f t="shared" si="0"/>
        <v>145</v>
      </c>
      <c r="F17" s="590">
        <f>VLOOKUP(B17,Assumptions!$B$61:$H$80,5,FALSE)</f>
        <v>55</v>
      </c>
      <c r="G17" s="590">
        <f>VLOOKUP(B17,Assumptions!$B$61:$H$80,6,FALSE)</f>
        <v>0</v>
      </c>
      <c r="H17" s="597">
        <f>VLOOKUP(B17,Assumptions!$B$61:$H$80,7,FALSE)</f>
        <v>90</v>
      </c>
      <c r="I17" s="590"/>
      <c r="J17" s="590"/>
      <c r="L17" s="555" t="s">
        <v>633</v>
      </c>
      <c r="M17" s="556"/>
      <c r="N17" s="556"/>
      <c r="O17" s="556"/>
      <c r="P17" s="948" t="s">
        <v>227</v>
      </c>
      <c r="Q17" s="948"/>
      <c r="R17" s="948"/>
      <c r="S17" s="948"/>
      <c r="T17" s="948"/>
      <c r="U17" s="559"/>
    </row>
    <row r="18" spans="2:21" ht="19" customHeight="1">
      <c r="B18" s="598" t="s">
        <v>128</v>
      </c>
      <c r="C18" s="557"/>
      <c r="D18" s="599">
        <f>Assumptions!E74</f>
        <v>1400</v>
      </c>
      <c r="E18" s="589">
        <f t="shared" si="0"/>
        <v>137</v>
      </c>
      <c r="F18" s="590">
        <f>VLOOKUP(B18,Assumptions!$B$61:$H$80,5,FALSE)</f>
        <v>52</v>
      </c>
      <c r="G18" s="590">
        <f>VLOOKUP(B18,Assumptions!$B$61:$H$80,6,FALSE)</f>
        <v>0</v>
      </c>
      <c r="H18" s="597">
        <f>VLOOKUP(B18,Assumptions!$B$61:$H$80,7,FALSE)</f>
        <v>85</v>
      </c>
      <c r="I18" s="590"/>
      <c r="J18" s="590"/>
      <c r="L18" s="560"/>
      <c r="M18" s="561"/>
      <c r="N18" s="561"/>
      <c r="O18" s="561"/>
      <c r="P18" s="562" t="s">
        <v>193</v>
      </c>
      <c r="Q18" s="562"/>
      <c r="R18" s="562" t="s">
        <v>225</v>
      </c>
      <c r="S18" s="562"/>
      <c r="T18" s="562" t="s">
        <v>226</v>
      </c>
      <c r="U18" s="563"/>
    </row>
    <row r="19" spans="2:21" ht="19" customHeight="1">
      <c r="B19" s="598" t="s">
        <v>703</v>
      </c>
      <c r="C19" s="557"/>
      <c r="D19" s="599">
        <f>Assumptions!E78</f>
        <v>1800</v>
      </c>
      <c r="E19" s="589">
        <f t="shared" si="0"/>
        <v>4.0000020000000003</v>
      </c>
      <c r="F19" s="590">
        <f>VLOOKUP(B19,Assumptions!$B$61:$H$80,5,FALSE)</f>
        <v>9.9999999999999995E-7</v>
      </c>
      <c r="G19" s="590">
        <f>VLOOKUP(B19,Assumptions!$B$61:$H$80,6,FALSE)</f>
        <v>9.9999999999999995E-7</v>
      </c>
      <c r="H19" s="597">
        <f>VLOOKUP(B19,Assumptions!$B$61:$H$80,7,FALSE)</f>
        <v>4</v>
      </c>
      <c r="I19" s="590"/>
      <c r="J19" s="590"/>
      <c r="L19" s="602" t="s">
        <v>248</v>
      </c>
      <c r="M19" s="603"/>
      <c r="N19" s="603"/>
      <c r="O19" s="603"/>
      <c r="P19" s="603"/>
      <c r="Q19" s="603"/>
      <c r="R19" s="603"/>
      <c r="S19" s="603"/>
      <c r="T19" s="603"/>
      <c r="U19" s="604"/>
    </row>
    <row r="20" spans="2:21" ht="19" customHeight="1">
      <c r="B20" s="605" t="s">
        <v>513</v>
      </c>
      <c r="C20" s="606"/>
      <c r="D20" s="606"/>
      <c r="E20" s="607">
        <f>SUM(E15:E19)</f>
        <v>806.00001199999997</v>
      </c>
      <c r="F20" s="608">
        <f t="shared" ref="F20:H20" si="1">SUM(F15:F19)</f>
        <v>307.000001</v>
      </c>
      <c r="G20" s="608">
        <f t="shared" si="1"/>
        <v>1.1000000000000001E-5</v>
      </c>
      <c r="H20" s="609">
        <f t="shared" si="1"/>
        <v>499</v>
      </c>
      <c r="I20" s="590"/>
      <c r="J20" s="590"/>
      <c r="L20" s="610" t="s">
        <v>686</v>
      </c>
      <c r="M20" s="603"/>
      <c r="N20" s="603"/>
      <c r="O20" s="603"/>
      <c r="P20" s="611">
        <f>Assumptions!N151</f>
        <v>6.5000000000000002E-2</v>
      </c>
      <c r="Q20" s="611"/>
      <c r="R20" s="611">
        <f>Assumptions!O151</f>
        <v>0.06</v>
      </c>
      <c r="S20" s="611"/>
      <c r="T20" s="611">
        <f>Assumptions!P151</f>
        <v>6.5000000000000002E-2</v>
      </c>
      <c r="U20" s="612"/>
    </row>
    <row r="21" spans="2:21" ht="19" customHeight="1">
      <c r="B21" s="596" t="s">
        <v>1248</v>
      </c>
      <c r="C21" s="573"/>
      <c r="D21" s="573"/>
      <c r="E21" s="589"/>
      <c r="F21" s="590"/>
      <c r="G21" s="590"/>
      <c r="H21" s="597"/>
      <c r="I21" s="590"/>
      <c r="J21" s="590"/>
      <c r="L21" s="610" t="s">
        <v>693</v>
      </c>
      <c r="M21" s="603"/>
      <c r="N21" s="603"/>
      <c r="O21" s="603"/>
      <c r="P21" s="613">
        <f ca="1">SUM('Loan Sizing'!F15:F20)</f>
        <v>34162470.542280585</v>
      </c>
      <c r="Q21" s="613"/>
      <c r="R21" s="613">
        <f ca="1">SUM('Loan Sizing'!G15:G20)</f>
        <v>9935175.2630360276</v>
      </c>
      <c r="S21" s="613"/>
      <c r="T21" s="613">
        <f ca="1">SUM('Loan Sizing'!H15:H20)</f>
        <v>36128451.462820403</v>
      </c>
      <c r="U21" s="614"/>
    </row>
    <row r="22" spans="2:21" ht="19" customHeight="1">
      <c r="B22" s="598" t="str">
        <f>B15</f>
        <v>Studio Units</v>
      </c>
      <c r="C22" s="571"/>
      <c r="D22" s="599">
        <f>D15</f>
        <v>565</v>
      </c>
      <c r="E22" s="589">
        <f t="shared" si="0"/>
        <v>300.00001999999995</v>
      </c>
      <c r="F22" s="590">
        <f>VLOOKUP($B22,Assumptions!$B$34:$H$58,5,FALSE)</f>
        <v>300</v>
      </c>
      <c r="G22" s="590">
        <f>VLOOKUP($B22,Assumptions!$B$34:$H$58,6,FALSE)</f>
        <v>1.0000000000000001E-5</v>
      </c>
      <c r="H22" s="597">
        <f>VLOOKUP($B22,Assumptions!$B$34:$H$58,7,FALSE)</f>
        <v>1.0000000000000001E-5</v>
      </c>
      <c r="I22" s="590"/>
      <c r="J22" s="590"/>
      <c r="L22" s="610" t="s">
        <v>694</v>
      </c>
      <c r="M22" s="603"/>
      <c r="N22" s="603"/>
      <c r="O22" s="603"/>
      <c r="P22" s="613">
        <f ca="1">SUM('Loan Sizing'!F5:F10)</f>
        <v>530053905.69694042</v>
      </c>
      <c r="Q22" s="613"/>
      <c r="R22" s="613">
        <f ca="1">SUM('Loan Sizing'!G5:G10)</f>
        <v>110390837.23622271</v>
      </c>
      <c r="S22" s="613"/>
      <c r="T22" s="613">
        <f ca="1">SUM('Loan Sizing'!H5:H10)</f>
        <v>555059605.55789471</v>
      </c>
      <c r="U22" s="614"/>
    </row>
    <row r="23" spans="2:21" ht="19" customHeight="1">
      <c r="B23" s="598" t="str">
        <f>B16</f>
        <v>1-BR Units</v>
      </c>
      <c r="C23" s="571"/>
      <c r="D23" s="599">
        <f t="shared" ref="D23:D26" si="2">D16</f>
        <v>650</v>
      </c>
      <c r="E23" s="589">
        <f t="shared" si="0"/>
        <v>200</v>
      </c>
      <c r="F23" s="590">
        <f>VLOOKUP($B23,Assumptions!$B$34:$H$58,5,FALSE)</f>
        <v>200</v>
      </c>
      <c r="G23" s="590">
        <f>VLOOKUP($B23,Assumptions!$B$34:$H$58,6,FALSE)</f>
        <v>0</v>
      </c>
      <c r="H23" s="597">
        <f>VLOOKUP($B23,Assumptions!$B$34:$H$58,7,FALSE)</f>
        <v>0</v>
      </c>
      <c r="I23" s="590"/>
      <c r="J23" s="590"/>
      <c r="L23" s="610" t="s">
        <v>634</v>
      </c>
      <c r="M23" s="603"/>
      <c r="N23" s="603"/>
      <c r="O23" s="603"/>
      <c r="P23" s="615">
        <f>'Loan Sizing'!F12</f>
        <v>0.6</v>
      </c>
      <c r="Q23" s="615"/>
      <c r="R23" s="615">
        <f>'Loan Sizing'!G12</f>
        <v>0.6</v>
      </c>
      <c r="S23" s="615"/>
      <c r="T23" s="615">
        <f>'Loan Sizing'!H12</f>
        <v>0.6</v>
      </c>
      <c r="U23" s="616"/>
    </row>
    <row r="24" spans="2:21" ht="19" customHeight="1">
      <c r="B24" s="598" t="str">
        <f>B17</f>
        <v>2-BR Units</v>
      </c>
      <c r="C24" s="571"/>
      <c r="D24" s="599">
        <f t="shared" si="2"/>
        <v>900</v>
      </c>
      <c r="E24" s="589">
        <f t="shared" si="0"/>
        <v>100</v>
      </c>
      <c r="F24" s="590">
        <f>VLOOKUP($B24,Assumptions!$B$34:$H$58,5,FALSE)</f>
        <v>100</v>
      </c>
      <c r="G24" s="590">
        <f>VLOOKUP($B24,Assumptions!$B$34:$H$58,6,FALSE)</f>
        <v>0</v>
      </c>
      <c r="H24" s="597">
        <f>VLOOKUP($B24,Assumptions!$B$34:$H$58,7,FALSE)</f>
        <v>0</v>
      </c>
      <c r="I24" s="590"/>
      <c r="J24" s="590"/>
      <c r="L24" s="610" t="s">
        <v>635</v>
      </c>
      <c r="M24" s="603"/>
      <c r="N24" s="603"/>
      <c r="O24" s="603"/>
      <c r="P24" s="613">
        <f ca="1">'Loan Sizing'!F13</f>
        <v>318032343.41816425</v>
      </c>
      <c r="Q24" s="613"/>
      <c r="R24" s="613">
        <f ca="1">'Loan Sizing'!G13</f>
        <v>66234502.341733627</v>
      </c>
      <c r="S24" s="613"/>
      <c r="T24" s="613">
        <f ca="1">'Loan Sizing'!H13</f>
        <v>333035763.33473682</v>
      </c>
      <c r="U24" s="614"/>
    </row>
    <row r="25" spans="2:21" ht="19" customHeight="1">
      <c r="B25" s="598" t="str">
        <f>B18</f>
        <v>3-BR Units</v>
      </c>
      <c r="C25" s="571"/>
      <c r="D25" s="599">
        <f t="shared" si="2"/>
        <v>1400</v>
      </c>
      <c r="E25" s="589">
        <f t="shared" si="0"/>
        <v>55</v>
      </c>
      <c r="F25" s="590">
        <f>VLOOKUP($B25,Assumptions!$B$34:$H$58,5,FALSE)</f>
        <v>55</v>
      </c>
      <c r="G25" s="590">
        <f>VLOOKUP($B25,Assumptions!$B$34:$H$58,6,FALSE)</f>
        <v>0</v>
      </c>
      <c r="H25" s="597">
        <f>VLOOKUP($B25,Assumptions!$B$34:$H$58,7,FALSE)</f>
        <v>0</v>
      </c>
      <c r="L25" s="610" t="s">
        <v>187</v>
      </c>
      <c r="M25" s="603"/>
      <c r="N25" s="603"/>
      <c r="O25" s="603"/>
      <c r="P25" s="714">
        <f>'Loan Sizing'!F22</f>
        <v>1.3</v>
      </c>
      <c r="Q25" s="714"/>
      <c r="R25" s="714">
        <f>'Loan Sizing'!G22</f>
        <v>1.3</v>
      </c>
      <c r="S25" s="714"/>
      <c r="T25" s="714">
        <f>'Loan Sizing'!H22</f>
        <v>1.3</v>
      </c>
      <c r="U25" s="604"/>
    </row>
    <row r="26" spans="2:21" ht="19" customHeight="1">
      <c r="B26" s="598" t="str">
        <f>Assumptions!B50</f>
        <v>Co-living Units (4-BR)</v>
      </c>
      <c r="C26" s="571"/>
      <c r="D26" s="599">
        <f t="shared" si="2"/>
        <v>1800</v>
      </c>
      <c r="E26" s="589">
        <f t="shared" si="0"/>
        <v>100.00000199999999</v>
      </c>
      <c r="F26" s="590">
        <f>VLOOKUP($B26,Assumptions!$B$34:$H$58,5,FALSE)</f>
        <v>100</v>
      </c>
      <c r="G26" s="590">
        <f>VLOOKUP($B26,Assumptions!$B$34:$H$58,6,FALSE)</f>
        <v>9.9999999999999995E-7</v>
      </c>
      <c r="H26" s="597">
        <f>VLOOKUP($B26,Assumptions!$B$34:$H$58,7,FALSE)</f>
        <v>9.9999999999999995E-7</v>
      </c>
      <c r="J26" s="557"/>
      <c r="L26" s="610" t="s">
        <v>636</v>
      </c>
      <c r="M26" s="603"/>
      <c r="N26" s="603"/>
      <c r="O26" s="603"/>
      <c r="P26" s="613">
        <f ca="1">'Loan Sizing'!F26</f>
        <v>343166639.20000958</v>
      </c>
      <c r="Q26" s="613"/>
      <c r="R26" s="613">
        <f ca="1">'Loan Sizing'!G26</f>
        <v>105196930.73549654</v>
      </c>
      <c r="S26" s="613"/>
      <c r="T26" s="613">
        <f ca="1">'Loan Sizing'!H26</f>
        <v>362915183.56825167</v>
      </c>
      <c r="U26" s="614"/>
    </row>
    <row r="27" spans="2:21" ht="19" customHeight="1">
      <c r="B27" s="605" t="s">
        <v>513</v>
      </c>
      <c r="C27" s="606"/>
      <c r="D27" s="606"/>
      <c r="E27" s="607">
        <f>SUM(E22:E26)</f>
        <v>755.00002199999994</v>
      </c>
      <c r="F27" s="608">
        <f t="shared" ref="F27:H27" si="3">SUM(F22:F26)</f>
        <v>755</v>
      </c>
      <c r="G27" s="608">
        <f t="shared" si="3"/>
        <v>1.1000000000000001E-5</v>
      </c>
      <c r="H27" s="609">
        <f t="shared" si="3"/>
        <v>1.1000000000000001E-5</v>
      </c>
      <c r="J27" s="617"/>
      <c r="L27" s="610"/>
      <c r="M27" s="603"/>
      <c r="N27" s="603"/>
      <c r="O27" s="603"/>
      <c r="P27" s="613"/>
      <c r="Q27" s="613"/>
      <c r="R27" s="613"/>
      <c r="S27" s="613"/>
      <c r="T27" s="613"/>
      <c r="U27" s="614"/>
    </row>
    <row r="28" spans="2:21" ht="19" customHeight="1">
      <c r="J28" s="590"/>
      <c r="L28" s="876" t="s">
        <v>158</v>
      </c>
      <c r="M28" s="877"/>
      <c r="N28" s="877"/>
      <c r="O28" s="877"/>
      <c r="P28" s="877"/>
      <c r="Q28" s="877"/>
      <c r="R28" s="877"/>
      <c r="S28" s="877"/>
      <c r="T28" s="877"/>
      <c r="U28" s="878"/>
    </row>
    <row r="29" spans="2:21" ht="19" customHeight="1">
      <c r="B29" s="555" t="s">
        <v>637</v>
      </c>
      <c r="C29" s="556"/>
      <c r="D29" s="556"/>
      <c r="E29" s="556"/>
      <c r="F29" s="948" t="s">
        <v>227</v>
      </c>
      <c r="G29" s="948"/>
      <c r="H29" s="949"/>
      <c r="J29" s="618"/>
      <c r="L29" s="879" t="s">
        <v>687</v>
      </c>
      <c r="M29" s="877"/>
      <c r="N29" s="877"/>
      <c r="O29" s="877"/>
      <c r="P29" s="880">
        <f>'Loan Sizing'!F41</f>
        <v>6.5000000000000002E-2</v>
      </c>
      <c r="Q29" s="880"/>
      <c r="R29" s="880">
        <f>'Loan Sizing'!G41</f>
        <v>6.5000000000000002E-2</v>
      </c>
      <c r="S29" s="880"/>
      <c r="T29" s="880">
        <f>'Loan Sizing'!H41</f>
        <v>6.5000000000000002E-2</v>
      </c>
      <c r="U29" s="881"/>
    </row>
    <row r="30" spans="2:21" ht="19" customHeight="1">
      <c r="B30" s="560"/>
      <c r="C30" s="561"/>
      <c r="D30" s="619"/>
      <c r="E30" s="592" t="s">
        <v>17</v>
      </c>
      <c r="F30" s="592" t="s">
        <v>193</v>
      </c>
      <c r="G30" s="592" t="s">
        <v>225</v>
      </c>
      <c r="H30" s="593" t="s">
        <v>226</v>
      </c>
      <c r="J30" s="618"/>
      <c r="L30" s="879" t="s">
        <v>695</v>
      </c>
      <c r="M30" s="877"/>
      <c r="N30" s="877"/>
      <c r="O30" s="877"/>
      <c r="P30" s="882">
        <f ca="1">'Loan Sizing'!F36</f>
        <v>0.14391872945884249</v>
      </c>
      <c r="Q30" s="882"/>
      <c r="R30" s="882">
        <f ca="1">'Loan Sizing'!G36</f>
        <v>1.2189700491353636E-2</v>
      </c>
      <c r="S30" s="882"/>
      <c r="T30" s="882">
        <f ca="1">'Loan Sizing'!H36</f>
        <v>1.2766414393458473E-2</v>
      </c>
      <c r="U30" s="883"/>
    </row>
    <row r="31" spans="2:21" ht="19" customHeight="1">
      <c r="B31" s="596" t="s">
        <v>25</v>
      </c>
      <c r="C31" s="571"/>
      <c r="D31" s="571"/>
      <c r="E31" s="571"/>
      <c r="F31" s="571"/>
      <c r="G31" s="571"/>
      <c r="H31" s="572"/>
      <c r="J31" s="620"/>
      <c r="L31" s="879" t="s">
        <v>696</v>
      </c>
      <c r="M31" s="877"/>
      <c r="N31" s="877"/>
      <c r="O31" s="877"/>
      <c r="P31" s="882">
        <f ca="1">'Loan Sizing'!F31</f>
        <v>2.0099094307355312</v>
      </c>
      <c r="Q31" s="882"/>
      <c r="R31" s="882">
        <f ca="1">'Loan Sizing'!G31</f>
        <v>2.0099094307355312</v>
      </c>
      <c r="S31" s="882"/>
      <c r="T31" s="882">
        <f ca="1">'Loan Sizing'!H31</f>
        <v>2.0099094307355312</v>
      </c>
      <c r="U31" s="883"/>
    </row>
    <row r="32" spans="2:21" ht="19" customHeight="1">
      <c r="B32" s="598" t="s">
        <v>689</v>
      </c>
      <c r="C32" s="571"/>
      <c r="D32" s="599"/>
      <c r="E32" s="589">
        <f t="shared" ref="E32" si="4">SUM(F32:H32)</f>
        <v>294772.00000200002</v>
      </c>
      <c r="F32" s="590">
        <f>Assumptions!F125</f>
        <v>294772</v>
      </c>
      <c r="G32" s="590">
        <f>Assumptions!G125</f>
        <v>9.9999999999999995E-7</v>
      </c>
      <c r="H32" s="597">
        <f>Assumptions!H125</f>
        <v>9.9999999999999995E-7</v>
      </c>
      <c r="J32" s="618"/>
      <c r="L32" s="879" t="s">
        <v>634</v>
      </c>
      <c r="M32" s="877"/>
      <c r="N32" s="877"/>
      <c r="O32" s="877"/>
      <c r="P32" s="884">
        <f>'Loan Sizing'!F33</f>
        <v>0.6</v>
      </c>
      <c r="Q32" s="884"/>
      <c r="R32" s="884">
        <f>'Loan Sizing'!G33</f>
        <v>0.6</v>
      </c>
      <c r="S32" s="884"/>
      <c r="T32" s="884">
        <f>'Loan Sizing'!H33</f>
        <v>0.6</v>
      </c>
      <c r="U32" s="885"/>
    </row>
    <row r="33" spans="2:21" ht="19" customHeight="1">
      <c r="B33" s="598" t="str">
        <f>Assumptions!B132</f>
        <v>Food Hall</v>
      </c>
      <c r="C33" s="571"/>
      <c r="D33" s="599"/>
      <c r="E33" s="589">
        <f>SUM(F33:H33)</f>
        <v>100000</v>
      </c>
      <c r="F33" s="590">
        <f>Assumptions!F133</f>
        <v>100000</v>
      </c>
      <c r="G33" s="590">
        <f>Assumptions!G133</f>
        <v>0</v>
      </c>
      <c r="H33" s="597">
        <f>Assumptions!H133</f>
        <v>0</v>
      </c>
      <c r="J33" s="618"/>
      <c r="L33" s="879" t="s">
        <v>635</v>
      </c>
      <c r="M33" s="877"/>
      <c r="N33" s="877"/>
      <c r="O33" s="877"/>
      <c r="P33" s="882">
        <f ca="1">'Loan Sizing'!F34</f>
        <v>1.2059456584413186</v>
      </c>
      <c r="Q33" s="882"/>
      <c r="R33" s="882">
        <f ca="1">'Loan Sizing'!G34</f>
        <v>1.2059456584413186</v>
      </c>
      <c r="S33" s="882"/>
      <c r="T33" s="882">
        <f ca="1">'Loan Sizing'!H34</f>
        <v>1.2059456584413186</v>
      </c>
      <c r="U33" s="883"/>
    </row>
    <row r="34" spans="2:21" ht="19" customHeight="1">
      <c r="B34" s="621" t="s">
        <v>513</v>
      </c>
      <c r="C34" s="622"/>
      <c r="D34" s="622"/>
      <c r="E34" s="623">
        <f>SUM(E32:E33)</f>
        <v>394772.00000200002</v>
      </c>
      <c r="F34" s="624">
        <f>SUM(F32:F33)</f>
        <v>394772</v>
      </c>
      <c r="G34" s="624">
        <f t="shared" ref="G34:H34" si="5">SUM(G32:G33)</f>
        <v>9.9999999999999995E-7</v>
      </c>
      <c r="H34" s="625">
        <f t="shared" si="5"/>
        <v>9.9999999999999995E-7</v>
      </c>
      <c r="J34" s="618"/>
      <c r="L34" s="879" t="s">
        <v>187</v>
      </c>
      <c r="M34" s="877"/>
      <c r="N34" s="877"/>
      <c r="O34" s="877"/>
      <c r="P34" s="886">
        <f>'Loan Sizing'!F38</f>
        <v>1.3</v>
      </c>
      <c r="Q34" s="886"/>
      <c r="R34" s="886">
        <f>'Loan Sizing'!G38</f>
        <v>1.3</v>
      </c>
      <c r="S34" s="886"/>
      <c r="T34" s="886">
        <f>'Loan Sizing'!H38</f>
        <v>1.3</v>
      </c>
      <c r="U34" s="878"/>
    </row>
    <row r="35" spans="2:21" ht="19" customHeight="1">
      <c r="B35" s="596" t="s">
        <v>139</v>
      </c>
      <c r="C35" s="571"/>
      <c r="D35" s="571"/>
      <c r="E35" s="589"/>
      <c r="F35" s="571"/>
      <c r="G35" s="571"/>
      <c r="H35" s="572"/>
      <c r="J35" s="618"/>
      <c r="L35" s="879" t="s">
        <v>636</v>
      </c>
      <c r="M35" s="877"/>
      <c r="N35" s="877"/>
      <c r="O35" s="877"/>
      <c r="P35" s="882">
        <f ca="1">'Loan Sizing'!F42</f>
        <v>1.7031802302821595</v>
      </c>
      <c r="Q35" s="882"/>
      <c r="R35" s="882">
        <f ca="1">'Loan Sizing'!G42</f>
        <v>0.14425681054856374</v>
      </c>
      <c r="S35" s="882"/>
      <c r="T35" s="882">
        <f ca="1">'Loan Sizing'!H42</f>
        <v>0.15108182714152038</v>
      </c>
      <c r="U35" s="883"/>
    </row>
    <row r="36" spans="2:21" ht="19" customHeight="1">
      <c r="B36" s="598" t="str">
        <f>Assumptions!B159</f>
        <v>Coworking Spaces</v>
      </c>
      <c r="C36" s="571"/>
      <c r="D36" s="599"/>
      <c r="E36" s="589">
        <f>SUM(F36:H36)</f>
        <v>193534.00000200002</v>
      </c>
      <c r="F36" s="590">
        <f>Assumptions!F160</f>
        <v>193534</v>
      </c>
      <c r="G36" s="590">
        <f>Assumptions!G160</f>
        <v>9.9999999999999995E-7</v>
      </c>
      <c r="H36" s="597">
        <f>Assumptions!H160</f>
        <v>9.9999999999999995E-7</v>
      </c>
      <c r="J36" s="618"/>
      <c r="L36" s="610"/>
      <c r="M36" s="603"/>
      <c r="N36" s="603"/>
      <c r="O36" s="603"/>
      <c r="P36" s="613"/>
      <c r="Q36" s="613"/>
      <c r="R36" s="613"/>
      <c r="S36" s="613"/>
      <c r="T36" s="613"/>
      <c r="U36" s="614"/>
    </row>
    <row r="37" spans="2:21" ht="19" customHeight="1">
      <c r="B37" s="621" t="s">
        <v>513</v>
      </c>
      <c r="C37" s="622"/>
      <c r="D37" s="622"/>
      <c r="E37" s="623">
        <f>SUM(E36)</f>
        <v>193534.00000200002</v>
      </c>
      <c r="F37" s="624">
        <f>SUM(F36)</f>
        <v>193534</v>
      </c>
      <c r="G37" s="624">
        <f t="shared" ref="G37:H37" si="6">SUM(G36)</f>
        <v>9.9999999999999995E-7</v>
      </c>
      <c r="H37" s="625">
        <f t="shared" si="6"/>
        <v>9.9999999999999995E-7</v>
      </c>
      <c r="J37" s="618"/>
      <c r="L37" s="602" t="s">
        <v>246</v>
      </c>
      <c r="M37" s="603"/>
      <c r="N37" s="603"/>
      <c r="O37" s="603"/>
      <c r="P37" s="603"/>
      <c r="Q37" s="603"/>
      <c r="R37" s="603"/>
      <c r="S37" s="603"/>
      <c r="T37" s="603"/>
      <c r="U37" s="604"/>
    </row>
    <row r="38" spans="2:21" ht="19" customHeight="1">
      <c r="B38" s="596" t="s">
        <v>1200</v>
      </c>
      <c r="C38" s="571"/>
      <c r="D38" s="571"/>
      <c r="E38" s="589"/>
      <c r="F38" s="571"/>
      <c r="G38" s="571"/>
      <c r="H38" s="572"/>
      <c r="J38" s="618"/>
      <c r="L38" s="610" t="s">
        <v>687</v>
      </c>
      <c r="M38" s="603"/>
      <c r="N38" s="603"/>
      <c r="O38" s="603"/>
      <c r="P38" s="611">
        <f>'Loan Sizing'!F57</f>
        <v>0.06</v>
      </c>
      <c r="Q38" s="611"/>
      <c r="R38" s="611">
        <f>'Loan Sizing'!G57</f>
        <v>0.06</v>
      </c>
      <c r="S38" s="611"/>
      <c r="T38" s="611">
        <f>'Loan Sizing'!H57</f>
        <v>0.06</v>
      </c>
      <c r="U38" s="612"/>
    </row>
    <row r="39" spans="2:21" ht="19" customHeight="1">
      <c r="B39" s="598" t="s">
        <v>708</v>
      </c>
      <c r="C39" s="571"/>
      <c r="D39" s="599"/>
      <c r="E39" s="589">
        <f>SUM(F39:H39)</f>
        <v>140524.00010100001</v>
      </c>
      <c r="F39" s="590">
        <f>Assumptions!F210</f>
        <v>9.9999999999999995E-7</v>
      </c>
      <c r="G39" s="590">
        <f>Assumptions!G210</f>
        <v>140524</v>
      </c>
      <c r="H39" s="597">
        <f>Assumptions!H210</f>
        <v>1E-4</v>
      </c>
      <c r="J39" s="618"/>
      <c r="L39" s="610" t="s">
        <v>817</v>
      </c>
      <c r="M39" s="603"/>
      <c r="N39" s="603"/>
      <c r="O39" s="603"/>
      <c r="P39" s="613">
        <f ca="1">'Loan Sizing'!F52</f>
        <v>0</v>
      </c>
      <c r="Q39" s="613"/>
      <c r="R39" s="613">
        <f>'Loan Sizing'!G52</f>
        <v>3794148</v>
      </c>
      <c r="S39" s="613"/>
      <c r="T39" s="613">
        <f ca="1">'Loan Sizing'!H52</f>
        <v>0</v>
      </c>
      <c r="U39" s="614"/>
    </row>
    <row r="40" spans="2:21" ht="19" customHeight="1">
      <c r="B40" s="621" t="s">
        <v>513</v>
      </c>
      <c r="C40" s="622"/>
      <c r="D40" s="622"/>
      <c r="E40" s="623">
        <f>SUM(E39:E39)</f>
        <v>140524.00010100001</v>
      </c>
      <c r="F40" s="624">
        <f>SUM(F39:F39)</f>
        <v>9.9999999999999995E-7</v>
      </c>
      <c r="G40" s="624">
        <f>SUM(G39:G39)</f>
        <v>140524</v>
      </c>
      <c r="H40" s="625">
        <f>SUM(H39:H39)</f>
        <v>1E-4</v>
      </c>
      <c r="J40" s="620"/>
      <c r="L40" s="610" t="s">
        <v>818</v>
      </c>
      <c r="M40" s="603"/>
      <c r="N40" s="603"/>
      <c r="O40" s="603"/>
      <c r="P40" s="613">
        <f ca="1">'Loan Sizing'!F47</f>
        <v>0</v>
      </c>
      <c r="Q40" s="613"/>
      <c r="R40" s="613">
        <f>'Loan Sizing'!G47</f>
        <v>47426850</v>
      </c>
      <c r="S40" s="613"/>
      <c r="T40" s="613">
        <f ca="1">'Loan Sizing'!H47</f>
        <v>0</v>
      </c>
      <c r="U40" s="614"/>
    </row>
    <row r="41" spans="2:21" ht="19" customHeight="1">
      <c r="J41" s="618"/>
      <c r="L41" s="610" t="s">
        <v>634</v>
      </c>
      <c r="M41" s="603"/>
      <c r="N41" s="603"/>
      <c r="O41" s="603"/>
      <c r="P41" s="615">
        <f>'Loan Sizing'!F49</f>
        <v>0.6</v>
      </c>
      <c r="Q41" s="615"/>
      <c r="R41" s="615">
        <f>'Loan Sizing'!G49</f>
        <v>0.6</v>
      </c>
      <c r="S41" s="615"/>
      <c r="T41" s="615">
        <f>'Loan Sizing'!H49</f>
        <v>0.6</v>
      </c>
      <c r="U41" s="616"/>
    </row>
    <row r="42" spans="2:21" ht="19" customHeight="1">
      <c r="B42" s="555" t="s">
        <v>638</v>
      </c>
      <c r="C42" s="556"/>
      <c r="D42" s="946" t="s">
        <v>639</v>
      </c>
      <c r="E42" s="556"/>
      <c r="F42" s="948" t="s">
        <v>227</v>
      </c>
      <c r="G42" s="948"/>
      <c r="H42" s="949"/>
      <c r="J42" s="618"/>
      <c r="L42" s="610" t="s">
        <v>635</v>
      </c>
      <c r="M42" s="603"/>
      <c r="N42" s="603"/>
      <c r="O42" s="603"/>
      <c r="P42" s="613">
        <f ca="1">'Loan Sizing'!F50</f>
        <v>0</v>
      </c>
      <c r="Q42" s="613"/>
      <c r="R42" s="613">
        <f>'Loan Sizing'!G50</f>
        <v>28456110</v>
      </c>
      <c r="S42" s="613"/>
      <c r="T42" s="613">
        <f ca="1">'Loan Sizing'!H50</f>
        <v>0</v>
      </c>
      <c r="U42" s="614"/>
    </row>
    <row r="43" spans="2:21" ht="19" customHeight="1">
      <c r="B43" s="560"/>
      <c r="C43" s="561"/>
      <c r="D43" s="947"/>
      <c r="E43" s="592" t="s">
        <v>17</v>
      </c>
      <c r="F43" s="592" t="s">
        <v>193</v>
      </c>
      <c r="G43" s="592" t="s">
        <v>225</v>
      </c>
      <c r="H43" s="593" t="s">
        <v>226</v>
      </c>
      <c r="J43" s="618"/>
      <c r="L43" s="610" t="s">
        <v>187</v>
      </c>
      <c r="M43" s="603"/>
      <c r="N43" s="603"/>
      <c r="O43" s="603"/>
      <c r="P43" s="714">
        <f>'Loan Sizing'!F54</f>
        <v>1.3</v>
      </c>
      <c r="Q43" s="714"/>
      <c r="R43" s="714">
        <f>'Loan Sizing'!G54</f>
        <v>1.3</v>
      </c>
      <c r="S43" s="714"/>
      <c r="T43" s="714">
        <f>'Loan Sizing'!H54</f>
        <v>1.3</v>
      </c>
      <c r="U43" s="604"/>
    </row>
    <row r="44" spans="2:21" ht="19" customHeight="1">
      <c r="B44" s="596" t="s">
        <v>640</v>
      </c>
      <c r="C44" s="571"/>
      <c r="D44" s="571"/>
      <c r="E44" s="589"/>
      <c r="F44" s="571"/>
      <c r="G44" s="571"/>
      <c r="H44" s="572"/>
      <c r="J44" s="618"/>
      <c r="L44" s="610" t="s">
        <v>636</v>
      </c>
      <c r="M44" s="603"/>
      <c r="N44" s="603"/>
      <c r="O44" s="603"/>
      <c r="P44" s="613">
        <f ca="1">'Loan Sizing'!F58</f>
        <v>0</v>
      </c>
      <c r="Q44" s="613"/>
      <c r="R44" s="613">
        <f>'Loan Sizing'!G58</f>
        <v>48642923.07692308</v>
      </c>
      <c r="S44" s="613"/>
      <c r="T44" s="613">
        <f ca="1">'Loan Sizing'!H58</f>
        <v>0</v>
      </c>
      <c r="U44" s="614"/>
    </row>
    <row r="45" spans="2:21" ht="19" customHeight="1">
      <c r="B45" s="598" t="s">
        <v>661</v>
      </c>
      <c r="C45" s="571"/>
      <c r="D45" s="599">
        <f>Assumptions!E94</f>
        <v>450</v>
      </c>
      <c r="E45" s="589">
        <f>SUM(F45:H45)</f>
        <v>1.0000000000000001E-5</v>
      </c>
      <c r="F45" s="590">
        <f>Assumptions!$F$93</f>
        <v>1.0000000000000001E-5</v>
      </c>
      <c r="G45" s="590">
        <v>0</v>
      </c>
      <c r="H45" s="597">
        <v>0</v>
      </c>
      <c r="J45" s="618"/>
      <c r="L45" s="610"/>
      <c r="M45" s="603"/>
      <c r="N45" s="603"/>
      <c r="O45" s="603"/>
      <c r="P45" s="613"/>
      <c r="Q45" s="613"/>
      <c r="R45" s="613"/>
      <c r="S45" s="613"/>
      <c r="T45" s="613"/>
      <c r="U45" s="614"/>
    </row>
    <row r="46" spans="2:21" ht="19" customHeight="1">
      <c r="B46" s="598" t="s">
        <v>662</v>
      </c>
      <c r="C46" s="571"/>
      <c r="D46" s="599">
        <f>+D45</f>
        <v>450</v>
      </c>
      <c r="E46" s="589">
        <f>SUM(F46:H46)</f>
        <v>9.9999999999999995E-7</v>
      </c>
      <c r="F46" s="590">
        <v>0</v>
      </c>
      <c r="G46" s="590">
        <f>Assumptions!$G$93</f>
        <v>9.9999999999999995E-7</v>
      </c>
      <c r="H46" s="597">
        <v>0</v>
      </c>
      <c r="J46" s="618"/>
      <c r="L46" s="602" t="s">
        <v>659</v>
      </c>
      <c r="M46" s="571"/>
      <c r="N46" s="571"/>
      <c r="O46" s="571"/>
      <c r="P46" s="627">
        <f ca="1">'Phase I Pro Forma'!D300</f>
        <v>235709391.27993742</v>
      </c>
      <c r="Q46" s="627"/>
      <c r="R46" s="627">
        <f ca="1">'Phase II Pro Forma'!D303</f>
        <v>94690612.485990435</v>
      </c>
      <c r="S46" s="627"/>
      <c r="T46" s="627">
        <f ca="1">'Phase III Pro Forma'!D300</f>
        <v>235466710.66699639</v>
      </c>
      <c r="U46" s="628"/>
    </row>
    <row r="47" spans="2:21" ht="19" customHeight="1">
      <c r="B47" s="598" t="s">
        <v>663</v>
      </c>
      <c r="C47" s="571"/>
      <c r="D47" s="599">
        <f>+D45</f>
        <v>450</v>
      </c>
      <c r="E47" s="589">
        <f>SUM(F47:H47)</f>
        <v>9.9999999999999995E-7</v>
      </c>
      <c r="F47" s="590">
        <v>0</v>
      </c>
      <c r="G47" s="590">
        <v>0</v>
      </c>
      <c r="H47" s="597">
        <f>Assumptions!$H$93</f>
        <v>9.9999999999999995E-7</v>
      </c>
      <c r="J47" s="618"/>
      <c r="L47" s="602" t="s">
        <v>658</v>
      </c>
      <c r="M47" s="571"/>
      <c r="N47" s="571"/>
      <c r="O47" s="571"/>
      <c r="P47" s="627">
        <f ca="1">'Loan Sizing'!F64</f>
        <v>318032344.62410992</v>
      </c>
      <c r="Q47" s="627"/>
      <c r="R47" s="627">
        <f ca="1">'Loan Sizing'!G64</f>
        <v>94690612.485990435</v>
      </c>
      <c r="S47" s="627"/>
      <c r="T47" s="627">
        <f ca="1">'Loan Sizing'!H64</f>
        <v>333035763.48581862</v>
      </c>
      <c r="U47" s="628"/>
    </row>
    <row r="48" spans="2:21" ht="19" customHeight="1">
      <c r="B48" s="621" t="s">
        <v>513</v>
      </c>
      <c r="C48" s="622"/>
      <c r="D48" s="622"/>
      <c r="E48" s="623">
        <f>SUM(E45:E47)</f>
        <v>1.2000000000000002E-5</v>
      </c>
      <c r="F48" s="624">
        <f t="shared" ref="F48:H48" si="7">SUM(F45:F47)</f>
        <v>1.0000000000000001E-5</v>
      </c>
      <c r="G48" s="624">
        <f t="shared" si="7"/>
        <v>9.9999999999999995E-7</v>
      </c>
      <c r="H48" s="625">
        <f t="shared" si="7"/>
        <v>9.9999999999999995E-7</v>
      </c>
      <c r="J48" s="618"/>
      <c r="L48" s="629" t="s">
        <v>660</v>
      </c>
      <c r="M48" s="630"/>
      <c r="N48" s="630"/>
      <c r="O48" s="630"/>
      <c r="P48" s="631">
        <f ca="1">'Phase I Pro Forma'!J280</f>
        <v>24354103.410436079</v>
      </c>
      <c r="Q48" s="631"/>
      <c r="R48" s="631">
        <f ca="1">'Phase II Pro Forma'!J283</f>
        <v>6519231.0982119348</v>
      </c>
      <c r="S48" s="631"/>
      <c r="T48" s="631">
        <f ca="1">'Phase III Pro Forma'!J280</f>
        <v>28833384.565935932</v>
      </c>
      <c r="U48" s="632"/>
    </row>
    <row r="49" spans="2:21" ht="19" customHeight="1">
      <c r="B49" s="596" t="s">
        <v>829</v>
      </c>
      <c r="C49" s="571"/>
      <c r="D49" s="571"/>
      <c r="E49" s="589"/>
      <c r="F49" s="571"/>
      <c r="G49" s="571"/>
      <c r="H49" s="572"/>
      <c r="J49" s="620"/>
    </row>
    <row r="50" spans="2:21" ht="19" customHeight="1">
      <c r="B50" s="598" t="str">
        <f>Assumptions!B141</f>
        <v>Public Facilities</v>
      </c>
      <c r="C50" s="571"/>
      <c r="D50" s="599"/>
      <c r="E50" s="589">
        <f t="shared" ref="E50:E52" si="8">SUM(F50:H50)</f>
        <v>124575</v>
      </c>
      <c r="F50" s="590">
        <f>Assumptions!F142</f>
        <v>0</v>
      </c>
      <c r="G50" s="590">
        <f>Assumptions!G142</f>
        <v>124575</v>
      </c>
      <c r="H50" s="597">
        <f>Assumptions!H142</f>
        <v>0</v>
      </c>
      <c r="J50" s="618"/>
      <c r="L50" s="555" t="s">
        <v>641</v>
      </c>
      <c r="M50" s="556"/>
      <c r="N50" s="556"/>
      <c r="O50" s="556"/>
      <c r="P50" s="948" t="s">
        <v>227</v>
      </c>
      <c r="Q50" s="948"/>
      <c r="R50" s="948"/>
      <c r="S50" s="948"/>
      <c r="T50" s="948"/>
      <c r="U50" s="559"/>
    </row>
    <row r="51" spans="2:21" ht="19" customHeight="1">
      <c r="B51" s="598" t="str">
        <f>Assumptions!B145</f>
        <v>Office</v>
      </c>
      <c r="C51" s="571"/>
      <c r="D51" s="599"/>
      <c r="E51" s="589">
        <f t="shared" si="8"/>
        <v>162400</v>
      </c>
      <c r="F51" s="590">
        <f>Assumptions!F146</f>
        <v>0</v>
      </c>
      <c r="G51" s="590">
        <f>Assumptions!G146</f>
        <v>162400</v>
      </c>
      <c r="H51" s="597">
        <f>Assumptions!H146</f>
        <v>0</v>
      </c>
      <c r="J51" s="618"/>
      <c r="L51" s="633"/>
      <c r="M51" s="634"/>
      <c r="N51" s="634"/>
      <c r="O51" s="635" t="s">
        <v>17</v>
      </c>
      <c r="P51" s="635" t="s">
        <v>193</v>
      </c>
      <c r="Q51" s="635" t="s">
        <v>642</v>
      </c>
      <c r="R51" s="635" t="s">
        <v>225</v>
      </c>
      <c r="S51" s="635" t="s">
        <v>642</v>
      </c>
      <c r="T51" s="635" t="s">
        <v>226</v>
      </c>
      <c r="U51" s="636" t="s">
        <v>642</v>
      </c>
    </row>
    <row r="52" spans="2:21" ht="19" customHeight="1">
      <c r="B52" s="598" t="str">
        <f>Assumptions!B149</f>
        <v>Retail (gifts &amp; sourvenirs)</v>
      </c>
      <c r="C52" s="571"/>
      <c r="D52" s="599"/>
      <c r="E52" s="589">
        <f t="shared" si="8"/>
        <v>32480.000019999999</v>
      </c>
      <c r="F52" s="590">
        <f>Assumptions!F150</f>
        <v>1.0000000000000001E-5</v>
      </c>
      <c r="G52" s="590">
        <f>Assumptions!G150</f>
        <v>32480</v>
      </c>
      <c r="H52" s="597">
        <f>Assumptions!H150</f>
        <v>1.0000000000000001E-5</v>
      </c>
      <c r="J52" s="618"/>
      <c r="L52" s="596" t="s">
        <v>643</v>
      </c>
      <c r="M52" s="573"/>
      <c r="N52" s="573"/>
      <c r="O52" s="573"/>
      <c r="P52" s="573"/>
      <c r="Q52" s="573"/>
      <c r="R52" s="573"/>
      <c r="S52" s="573"/>
      <c r="T52" s="573"/>
      <c r="U52" s="591"/>
    </row>
    <row r="53" spans="2:21" ht="19" customHeight="1">
      <c r="B53" s="621" t="s">
        <v>513</v>
      </c>
      <c r="C53" s="622"/>
      <c r="D53" s="622"/>
      <c r="E53" s="623">
        <f>SUM(E50:E52)</f>
        <v>319455.00001999998</v>
      </c>
      <c r="F53" s="624">
        <f>SUM(F50:F52)</f>
        <v>1.0000000000000001E-5</v>
      </c>
      <c r="G53" s="624">
        <f t="shared" ref="G53:H53" si="9">SUM(G50:G52)</f>
        <v>319455</v>
      </c>
      <c r="H53" s="625">
        <f t="shared" si="9"/>
        <v>1.0000000000000001E-5</v>
      </c>
      <c r="J53" s="618"/>
      <c r="L53" s="637" t="s">
        <v>644</v>
      </c>
      <c r="M53" s="557"/>
      <c r="N53" s="557"/>
      <c r="O53" s="620"/>
      <c r="P53" s="620"/>
      <c r="Q53" s="620"/>
      <c r="R53" s="590"/>
      <c r="S53" s="590"/>
      <c r="T53" s="590"/>
      <c r="U53" s="597"/>
    </row>
    <row r="54" spans="2:21" ht="19" customHeight="1">
      <c r="B54" s="596" t="s">
        <v>646</v>
      </c>
      <c r="C54" s="571"/>
      <c r="D54" s="571"/>
      <c r="E54" s="589"/>
      <c r="F54" s="571"/>
      <c r="G54" s="571"/>
      <c r="H54" s="572"/>
      <c r="J54" s="618"/>
      <c r="L54" s="598" t="s">
        <v>573</v>
      </c>
      <c r="M54" s="557"/>
      <c r="N54" s="557"/>
      <c r="O54" s="638">
        <f t="shared" ref="O54:O64" si="10">SUM(P54:T54)</f>
        <v>242929503.86687696</v>
      </c>
      <c r="P54" s="638">
        <f>'S&amp;U'!H3</f>
        <v>62857885.033285916</v>
      </c>
      <c r="Q54" s="639">
        <f>P54/P$55</f>
        <v>1</v>
      </c>
      <c r="R54" s="638">
        <f>'S&amp;U'!I3</f>
        <v>100152177.31526883</v>
      </c>
      <c r="S54" s="639">
        <f>R54/R$55</f>
        <v>1</v>
      </c>
      <c r="T54" s="638">
        <f>'S&amp;U'!J3</f>
        <v>79919439.518322229</v>
      </c>
      <c r="U54" s="640">
        <f>T54/T$55</f>
        <v>1</v>
      </c>
    </row>
    <row r="55" spans="2:21" ht="19" customHeight="1">
      <c r="B55" s="598" t="s">
        <v>201</v>
      </c>
      <c r="C55" s="571"/>
      <c r="D55" s="599">
        <f>Assumptions!F178</f>
        <v>300</v>
      </c>
      <c r="E55" s="589">
        <f>SUM(F55:H55)</f>
        <v>1953.0166676666665</v>
      </c>
      <c r="F55" s="590">
        <f>Assumptions!F177</f>
        <v>541.92333333333329</v>
      </c>
      <c r="G55" s="590">
        <f>Assumptions!G177</f>
        <v>9.9999999999999995E-7</v>
      </c>
      <c r="H55" s="597">
        <f>Assumptions!H177</f>
        <v>1411.0933333333332</v>
      </c>
      <c r="J55" s="618"/>
      <c r="L55" s="718" t="s">
        <v>95</v>
      </c>
      <c r="M55" s="719"/>
      <c r="N55" s="719"/>
      <c r="O55" s="720">
        <f t="shared" si="10"/>
        <v>242929501.86687696</v>
      </c>
      <c r="P55" s="720">
        <f>'S&amp;U'!H4</f>
        <v>62857885.033285916</v>
      </c>
      <c r="Q55" s="721"/>
      <c r="R55" s="720">
        <f>'S&amp;U'!I4</f>
        <v>100152177.31526883</v>
      </c>
      <c r="S55" s="721"/>
      <c r="T55" s="720">
        <f>'S&amp;U'!J4</f>
        <v>79919439.518322229</v>
      </c>
      <c r="U55" s="722"/>
    </row>
    <row r="56" spans="2:21" ht="19" customHeight="1">
      <c r="B56" s="598" t="s">
        <v>28</v>
      </c>
      <c r="C56" s="571"/>
      <c r="D56" s="599">
        <f>Assumptions!F192</f>
        <v>300</v>
      </c>
      <c r="E56" s="589">
        <f>SUM(F56:H56)</f>
        <v>0</v>
      </c>
      <c r="F56" s="590">
        <f>Assumptions!F191</f>
        <v>0</v>
      </c>
      <c r="G56" s="590">
        <f>Assumptions!G191</f>
        <v>0</v>
      </c>
      <c r="H56" s="597">
        <f>Assumptions!H191</f>
        <v>0</v>
      </c>
      <c r="J56" s="618"/>
      <c r="L56" s="637" t="s">
        <v>645</v>
      </c>
      <c r="M56" s="557"/>
      <c r="N56" s="557"/>
      <c r="O56" s="638"/>
      <c r="P56" s="643"/>
      <c r="Q56" s="644"/>
      <c r="R56" s="643"/>
      <c r="S56" s="644"/>
      <c r="T56" s="643"/>
      <c r="U56" s="645"/>
    </row>
    <row r="57" spans="2:21" ht="19" customHeight="1">
      <c r="B57" s="621" t="s">
        <v>513</v>
      </c>
      <c r="C57" s="622"/>
      <c r="D57" s="622"/>
      <c r="E57" s="623">
        <f>SUM(E55:E56)</f>
        <v>1953.0166676666665</v>
      </c>
      <c r="F57" s="624">
        <f>SUM(F55:F56)</f>
        <v>541.92333333333329</v>
      </c>
      <c r="G57" s="624">
        <f t="shared" ref="G57:H57" si="11">SUM(G55:G56)</f>
        <v>9.9999999999999995E-7</v>
      </c>
      <c r="H57" s="625">
        <f t="shared" si="11"/>
        <v>1411.0933333333332</v>
      </c>
      <c r="J57" s="618"/>
      <c r="L57" s="598" t="s">
        <v>60</v>
      </c>
      <c r="M57" s="557"/>
      <c r="N57" s="557"/>
      <c r="O57" s="638">
        <f t="shared" si="10"/>
        <v>163028562.43433824</v>
      </c>
      <c r="P57" s="638">
        <f>'S&amp;U'!H7</f>
        <v>23250525.361561798</v>
      </c>
      <c r="Q57" s="639">
        <f t="shared" ref="Q57:Q63" si="12">P57/P$64</f>
        <v>0.36989035423717581</v>
      </c>
      <c r="R57" s="638">
        <f>'S&amp;U'!I7</f>
        <v>81611947</v>
      </c>
      <c r="S57" s="639">
        <f t="shared" ref="S57:S63" si="13">R57/R$64</f>
        <v>0.81487940839362805</v>
      </c>
      <c r="T57" s="638">
        <f>'S&amp;U'!J7</f>
        <v>58166088.88800668</v>
      </c>
      <c r="U57" s="640">
        <f t="shared" ref="U57:U63" si="14">T57/T$64</f>
        <v>0.72780901916449992</v>
      </c>
    </row>
    <row r="58" spans="2:21" ht="19" customHeight="1">
      <c r="B58" s="715"/>
      <c r="J58" s="626"/>
      <c r="L58" s="598" t="s">
        <v>8</v>
      </c>
      <c r="M58" s="557"/>
      <c r="N58" s="557"/>
      <c r="O58" s="638">
        <f t="shared" si="10"/>
        <v>47023380.435835198</v>
      </c>
      <c r="P58" s="638">
        <f>'S&amp;U'!H8</f>
        <v>25343149.042553194</v>
      </c>
      <c r="Q58" s="639">
        <f t="shared" si="12"/>
        <v>0.4031817015340704</v>
      </c>
      <c r="R58" s="638">
        <f>'S&amp;U'!I8</f>
        <v>13924805.425531914</v>
      </c>
      <c r="S58" s="639">
        <f t="shared" si="13"/>
        <v>0.13903647228455202</v>
      </c>
      <c r="T58" s="638">
        <f>'S&amp;U'!J8</f>
        <v>7755425.4255319145</v>
      </c>
      <c r="U58" s="640">
        <f t="shared" si="14"/>
        <v>9.7040538225420303E-2</v>
      </c>
    </row>
    <row r="59" spans="2:21" ht="19" customHeight="1">
      <c r="B59" s="555" t="s">
        <v>647</v>
      </c>
      <c r="C59" s="556"/>
      <c r="D59" s="556"/>
      <c r="E59" s="948" t="s">
        <v>648</v>
      </c>
      <c r="F59" s="948"/>
      <c r="G59" s="646" t="s">
        <v>649</v>
      </c>
      <c r="H59" s="559" t="s">
        <v>115</v>
      </c>
      <c r="J59" s="620"/>
      <c r="L59" s="598" t="s">
        <v>344</v>
      </c>
      <c r="M59" s="573"/>
      <c r="N59" s="573"/>
      <c r="O59" s="638">
        <f t="shared" si="10"/>
        <v>160000.00167210447</v>
      </c>
      <c r="P59" s="638">
        <f>'S&amp;U'!H9</f>
        <v>80000</v>
      </c>
      <c r="Q59" s="639">
        <f t="shared" si="12"/>
        <v>1.2727122453712308E-3</v>
      </c>
      <c r="R59" s="638">
        <f>'S&amp;U'!I9</f>
        <v>40000</v>
      </c>
      <c r="S59" s="639">
        <f t="shared" si="13"/>
        <v>3.9939221564883292E-4</v>
      </c>
      <c r="T59" s="638">
        <f>'S&amp;U'!J9</f>
        <v>40000</v>
      </c>
      <c r="U59" s="640">
        <f t="shared" si="14"/>
        <v>5.0050401055214675E-4</v>
      </c>
    </row>
    <row r="60" spans="2:21" ht="19" customHeight="1">
      <c r="B60" s="633"/>
      <c r="C60" s="634"/>
      <c r="D60" s="647"/>
      <c r="E60" s="648" t="s">
        <v>119</v>
      </c>
      <c r="F60" s="648" t="s">
        <v>118</v>
      </c>
      <c r="G60" s="648" t="s">
        <v>650</v>
      </c>
      <c r="H60" s="649" t="s">
        <v>651</v>
      </c>
      <c r="J60" s="618"/>
      <c r="L60" s="598" t="s">
        <v>57</v>
      </c>
      <c r="M60" s="573"/>
      <c r="N60" s="573"/>
      <c r="O60" s="638">
        <f t="shared" si="10"/>
        <v>32000578.155449033</v>
      </c>
      <c r="P60" s="638">
        <f>'S&amp;U'!H10</f>
        <v>13861260.518399568</v>
      </c>
      <c r="Q60" s="639">
        <f t="shared" si="12"/>
        <v>0.2205174499755988</v>
      </c>
      <c r="R60" s="638">
        <f>'S&amp;U'!I10</f>
        <v>4473480.1146556279</v>
      </c>
      <c r="S60" s="639">
        <f t="shared" si="13"/>
        <v>4.4666828366332657E-2</v>
      </c>
      <c r="T60" s="638">
        <f>'S&amp;U'!J10</f>
        <v>13665837.257209564</v>
      </c>
      <c r="U60" s="640">
        <f t="shared" si="14"/>
        <v>0.17099515886965838</v>
      </c>
    </row>
    <row r="61" spans="2:21" ht="19" customHeight="1">
      <c r="B61" s="650" t="s">
        <v>1249</v>
      </c>
      <c r="C61" s="651"/>
      <c r="D61" s="651"/>
      <c r="E61" s="651"/>
      <c r="F61" s="651"/>
      <c r="G61" s="651"/>
      <c r="H61" s="652"/>
      <c r="J61" s="618"/>
      <c r="L61" s="598" t="s">
        <v>79</v>
      </c>
      <c r="M61" s="573"/>
      <c r="N61" s="573"/>
      <c r="O61" s="638">
        <f t="shared" si="10"/>
        <v>0</v>
      </c>
      <c r="P61" s="638">
        <f>'S&amp;U'!H11</f>
        <v>0</v>
      </c>
      <c r="Q61" s="639">
        <f t="shared" si="12"/>
        <v>0</v>
      </c>
      <c r="R61" s="638">
        <f>'S&amp;U'!I11</f>
        <v>0</v>
      </c>
      <c r="S61" s="639">
        <f t="shared" si="13"/>
        <v>0</v>
      </c>
      <c r="T61" s="638">
        <f>'S&amp;U'!J11</f>
        <v>0</v>
      </c>
      <c r="U61" s="640">
        <f t="shared" si="14"/>
        <v>0</v>
      </c>
    </row>
    <row r="62" spans="2:21" ht="19" customHeight="1">
      <c r="B62" s="653" t="s">
        <v>114</v>
      </c>
      <c r="C62" s="571"/>
      <c r="D62" s="571"/>
      <c r="E62" s="654">
        <f>Assumptions!F64</f>
        <v>1553.75</v>
      </c>
      <c r="F62" s="723">
        <f>Assumptions!F63</f>
        <v>33</v>
      </c>
      <c r="G62" s="655">
        <f>Assumptions!$M$64</f>
        <v>0.03</v>
      </c>
      <c r="H62" s="656">
        <f>Assumptions!$M$55</f>
        <v>0.14000000000000001</v>
      </c>
      <c r="J62" s="618"/>
      <c r="L62" s="598" t="s">
        <v>82</v>
      </c>
      <c r="M62" s="573"/>
      <c r="N62" s="573"/>
      <c r="O62" s="638">
        <f t="shared" si="10"/>
        <v>0</v>
      </c>
      <c r="P62" s="638">
        <f>'S&amp;U'!H12</f>
        <v>0</v>
      </c>
      <c r="Q62" s="639">
        <f t="shared" si="12"/>
        <v>0</v>
      </c>
      <c r="R62" s="638">
        <f>'S&amp;U'!I12</f>
        <v>0</v>
      </c>
      <c r="S62" s="639">
        <f t="shared" si="13"/>
        <v>0</v>
      </c>
      <c r="T62" s="638">
        <f>'S&amp;U'!J12</f>
        <v>0</v>
      </c>
      <c r="U62" s="640">
        <f t="shared" si="14"/>
        <v>0</v>
      </c>
    </row>
    <row r="63" spans="2:21" ht="19" customHeight="1">
      <c r="B63" s="653" t="s">
        <v>121</v>
      </c>
      <c r="C63" s="571"/>
      <c r="D63" s="571"/>
      <c r="E63" s="654">
        <f>Assumptions!F68</f>
        <v>1733.3333333333333</v>
      </c>
      <c r="F63" s="723">
        <f>Assumptions!F67</f>
        <v>32</v>
      </c>
      <c r="G63" s="655">
        <f>Assumptions!$M$64</f>
        <v>0.03</v>
      </c>
      <c r="H63" s="656">
        <f>Assumptions!$M$55</f>
        <v>0.14000000000000001</v>
      </c>
      <c r="J63" s="618"/>
      <c r="L63" s="598" t="s">
        <v>59</v>
      </c>
      <c r="M63" s="571"/>
      <c r="N63" s="571"/>
      <c r="O63" s="638">
        <f t="shared" si="10"/>
        <v>716982.83958240075</v>
      </c>
      <c r="P63" s="638">
        <f>'S&amp;U'!H13</f>
        <v>322950.11077135976</v>
      </c>
      <c r="Q63" s="639">
        <f t="shared" si="12"/>
        <v>5.1377820077838122E-3</v>
      </c>
      <c r="R63" s="638">
        <f>'S&amp;U'!I13</f>
        <v>101944.77508129374</v>
      </c>
      <c r="S63" s="639">
        <f t="shared" si="13"/>
        <v>1.017898739838496E-3</v>
      </c>
      <c r="T63" s="638">
        <f>'S&amp;U'!J13</f>
        <v>292087.94757406652</v>
      </c>
      <c r="U63" s="640">
        <f t="shared" si="14"/>
        <v>3.6547797298691368E-3</v>
      </c>
    </row>
    <row r="64" spans="2:21" ht="19" customHeight="1">
      <c r="B64" s="653" t="s">
        <v>124</v>
      </c>
      <c r="C64" s="571"/>
      <c r="D64" s="571"/>
      <c r="E64" s="654">
        <f>Assumptions!F72</f>
        <v>2175</v>
      </c>
      <c r="F64" s="723">
        <f>Assumptions!F71</f>
        <v>29</v>
      </c>
      <c r="G64" s="655">
        <f>Assumptions!$M$64</f>
        <v>0.03</v>
      </c>
      <c r="H64" s="656">
        <f>Assumptions!$M$55</f>
        <v>0.14000000000000001</v>
      </c>
      <c r="J64" s="618"/>
      <c r="L64" s="718" t="s">
        <v>96</v>
      </c>
      <c r="M64" s="719"/>
      <c r="N64" s="719"/>
      <c r="O64" s="720">
        <f t="shared" si="10"/>
        <v>242929501.86687696</v>
      </c>
      <c r="P64" s="720">
        <f>'S&amp;U'!H14</f>
        <v>62857885.033285916</v>
      </c>
      <c r="Q64" s="721"/>
      <c r="R64" s="720">
        <f>'S&amp;U'!I14</f>
        <v>100152177.31526883</v>
      </c>
      <c r="S64" s="721"/>
      <c r="T64" s="720">
        <f>'S&amp;U'!J14</f>
        <v>79919439.518322229</v>
      </c>
      <c r="U64" s="722"/>
    </row>
    <row r="65" spans="2:21" ht="19" customHeight="1">
      <c r="B65" s="653" t="s">
        <v>128</v>
      </c>
      <c r="C65" s="571"/>
      <c r="D65" s="571"/>
      <c r="E65" s="654">
        <f>Assumptions!F76</f>
        <v>3150</v>
      </c>
      <c r="F65" s="723">
        <f>Assumptions!F75</f>
        <v>27</v>
      </c>
      <c r="G65" s="655">
        <f>Assumptions!$M$64</f>
        <v>0.03</v>
      </c>
      <c r="H65" s="656">
        <f>Assumptions!$M$55</f>
        <v>0.14000000000000001</v>
      </c>
      <c r="J65" s="618"/>
      <c r="L65" s="598"/>
      <c r="M65" s="557"/>
      <c r="N65" s="557"/>
      <c r="O65" s="638"/>
      <c r="P65" s="638"/>
      <c r="Q65" s="641"/>
      <c r="R65" s="638"/>
      <c r="S65" s="641"/>
      <c r="T65" s="638"/>
      <c r="U65" s="642"/>
    </row>
    <row r="66" spans="2:21" ht="19" customHeight="1">
      <c r="B66" s="653" t="s">
        <v>354</v>
      </c>
      <c r="C66" s="571"/>
      <c r="D66" s="571"/>
      <c r="E66" s="654">
        <f>Assumptions!F80</f>
        <v>5100</v>
      </c>
      <c r="F66" s="723">
        <f>Assumptions!F79</f>
        <v>34</v>
      </c>
      <c r="G66" s="655">
        <f>Assumptions!$M$64</f>
        <v>0.03</v>
      </c>
      <c r="H66" s="656">
        <f>Assumptions!$M$55</f>
        <v>0.14000000000000001</v>
      </c>
      <c r="J66" s="618"/>
      <c r="L66" s="602" t="s">
        <v>602</v>
      </c>
      <c r="M66" s="571"/>
      <c r="N66" s="571"/>
      <c r="O66" s="638"/>
      <c r="P66" s="657"/>
      <c r="Q66" s="658"/>
      <c r="R66" s="657"/>
      <c r="S66" s="658"/>
      <c r="T66" s="657"/>
      <c r="U66" s="659"/>
    </row>
    <row r="67" spans="2:21" ht="19" customHeight="1">
      <c r="B67" s="621" t="s">
        <v>562</v>
      </c>
      <c r="C67" s="622"/>
      <c r="D67" s="622"/>
      <c r="E67" s="660">
        <f>Assumptions!F86</f>
        <v>1993.9196626691</v>
      </c>
      <c r="F67" s="724">
        <f>Assumptions!F85</f>
        <v>30.129614466639435</v>
      </c>
      <c r="G67" s="660"/>
      <c r="H67" s="661"/>
      <c r="J67" s="618"/>
      <c r="L67" s="637" t="s">
        <v>644</v>
      </c>
      <c r="M67" s="571"/>
      <c r="N67" s="571"/>
      <c r="O67" s="638"/>
      <c r="P67" s="643"/>
      <c r="Q67" s="644"/>
      <c r="R67" s="643"/>
      <c r="S67" s="644"/>
      <c r="T67" s="643"/>
      <c r="U67" s="645"/>
    </row>
    <row r="68" spans="2:21" ht="19" customHeight="1">
      <c r="B68" s="650" t="s">
        <v>1201</v>
      </c>
      <c r="C68" s="651"/>
      <c r="D68" s="651"/>
      <c r="E68" s="662"/>
      <c r="F68" s="725"/>
      <c r="G68" s="662"/>
      <c r="H68" s="663"/>
      <c r="J68" s="618"/>
      <c r="L68" s="598" t="s">
        <v>312</v>
      </c>
      <c r="M68" s="571"/>
      <c r="N68" s="571"/>
      <c r="O68" s="638">
        <f t="shared" ref="O68:O75" ca="1" si="15">SUM(P68:T68)</f>
        <v>565866715.45466518</v>
      </c>
      <c r="P68" s="638">
        <f ca="1">'S&amp;U'!H17</f>
        <v>235709391.27993742</v>
      </c>
      <c r="Q68" s="639">
        <f t="shared" ref="Q68:Q74" ca="1" si="16">P68/P$75</f>
        <v>0.56588586182649148</v>
      </c>
      <c r="R68" s="638">
        <f ca="1">'S&amp;U'!I17</f>
        <v>94690612.485990435</v>
      </c>
      <c r="S68" s="639">
        <f t="shared" ref="S68:S74" ca="1" si="17">R68/R$75</f>
        <v>0.45585503079752071</v>
      </c>
      <c r="T68" s="638">
        <f ca="1">'S&amp;U'!J17</f>
        <v>235466710.66699639</v>
      </c>
      <c r="U68" s="640">
        <f t="shared" ref="U68:U74" ca="1" si="18">T68/T$75</f>
        <v>0.54840242223457103</v>
      </c>
    </row>
    <row r="69" spans="2:21" ht="19" customHeight="1">
      <c r="B69" s="653" t="s">
        <v>114</v>
      </c>
      <c r="C69" s="571"/>
      <c r="D69" s="571"/>
      <c r="E69" s="654">
        <f>Assumptions!F37</f>
        <v>895.83333333333337</v>
      </c>
      <c r="F69" s="723">
        <f>Assumptions!F36</f>
        <v>25</v>
      </c>
      <c r="G69" s="655">
        <f>Assumptions!$M$63</f>
        <v>0.02</v>
      </c>
      <c r="H69" s="656">
        <f>Assumptions!$M$54</f>
        <v>0.05</v>
      </c>
      <c r="J69" s="618"/>
      <c r="L69" s="598" t="s">
        <v>97</v>
      </c>
      <c r="M69" s="571"/>
      <c r="N69" s="571"/>
      <c r="O69" s="638">
        <f t="shared" ca="1" si="15"/>
        <v>151702181.32183367</v>
      </c>
      <c r="P69" s="638">
        <f ca="1">'S&amp;U'!H18</f>
        <v>51774802.650901601</v>
      </c>
      <c r="Q69" s="639">
        <f t="shared" ca="1" si="16"/>
        <v>0.12429979416562915</v>
      </c>
      <c r="R69" s="638">
        <f ca="1">'S&amp;U'!I18</f>
        <v>16009703.256704569</v>
      </c>
      <c r="S69" s="639">
        <f t="shared" ca="1" si="17"/>
        <v>7.7073149909385047E-2</v>
      </c>
      <c r="T69" s="638">
        <f ca="1">'S&amp;U'!J18</f>
        <v>83917675.21285449</v>
      </c>
      <c r="U69" s="640">
        <f t="shared" ca="1" si="18"/>
        <v>0.19544442704729981</v>
      </c>
    </row>
    <row r="70" spans="2:21" ht="19" customHeight="1">
      <c r="B70" s="653" t="s">
        <v>121</v>
      </c>
      <c r="C70" s="571"/>
      <c r="D70" s="571"/>
      <c r="E70" s="654">
        <f>Assumptions!F41</f>
        <v>1130.8333333333333</v>
      </c>
      <c r="F70" s="723">
        <f>Assumptions!F40</f>
        <v>23</v>
      </c>
      <c r="G70" s="655">
        <f>Assumptions!$M$63</f>
        <v>0.02</v>
      </c>
      <c r="H70" s="656">
        <f>Assumptions!$M$54</f>
        <v>0.05</v>
      </c>
      <c r="J70" s="620"/>
      <c r="L70" s="598" t="s">
        <v>840</v>
      </c>
      <c r="M70" s="571"/>
      <c r="N70" s="571"/>
      <c r="O70" s="638">
        <f t="shared" ca="1" si="15"/>
        <v>0</v>
      </c>
      <c r="P70" s="638">
        <f>'S&amp;U'!H19</f>
        <v>0</v>
      </c>
      <c r="Q70" s="639">
        <f t="shared" ca="1" si="16"/>
        <v>0</v>
      </c>
      <c r="R70" s="638">
        <f>'S&amp;U'!I19</f>
        <v>0</v>
      </c>
      <c r="S70" s="639">
        <f t="shared" ca="1" si="17"/>
        <v>0</v>
      </c>
      <c r="T70" s="638">
        <f>'S&amp;U'!J19</f>
        <v>0</v>
      </c>
      <c r="U70" s="640">
        <f t="shared" ca="1" si="18"/>
        <v>0</v>
      </c>
    </row>
    <row r="71" spans="2:21" ht="38" customHeight="1">
      <c r="B71" s="653" t="s">
        <v>124</v>
      </c>
      <c r="C71" s="571"/>
      <c r="D71" s="571"/>
      <c r="E71" s="654">
        <f>Assumptions!F45</f>
        <v>1375</v>
      </c>
      <c r="F71" s="723">
        <f>Assumptions!F44</f>
        <v>22</v>
      </c>
      <c r="G71" s="655">
        <f>Assumptions!$M$63</f>
        <v>0.02</v>
      </c>
      <c r="H71" s="656">
        <f>Assumptions!$M$54</f>
        <v>0.05</v>
      </c>
      <c r="J71" s="618"/>
      <c r="L71" s="598" t="s">
        <v>566</v>
      </c>
      <c r="M71" s="571"/>
      <c r="N71" s="571"/>
      <c r="O71" s="638">
        <f t="shared" ca="1" si="15"/>
        <v>96262500.23150906</v>
      </c>
      <c r="P71" s="638">
        <f>'S&amp;U'!H20</f>
        <v>32087500</v>
      </c>
      <c r="Q71" s="639">
        <f t="shared" ca="1" si="16"/>
        <v>7.7034956022573473E-2</v>
      </c>
      <c r="R71" s="638">
        <f>'S&amp;U'!I20</f>
        <v>32087500</v>
      </c>
      <c r="S71" s="639">
        <f t="shared" ca="1" si="17"/>
        <v>0.15447411223451069</v>
      </c>
      <c r="T71" s="638">
        <f>'S&amp;U'!J20</f>
        <v>32087500</v>
      </c>
      <c r="U71" s="640">
        <f t="shared" ca="1" si="18"/>
        <v>7.4731849243597645E-2</v>
      </c>
    </row>
    <row r="72" spans="2:21" ht="38" customHeight="1">
      <c r="B72" s="653" t="s">
        <v>128</v>
      </c>
      <c r="C72" s="571"/>
      <c r="D72" s="571"/>
      <c r="E72" s="654">
        <f>Assumptions!F49</f>
        <v>1783.3333333333333</v>
      </c>
      <c r="F72" s="723">
        <f>Assumptions!F48</f>
        <v>20</v>
      </c>
      <c r="G72" s="655">
        <f>Assumptions!$M$63</f>
        <v>0.02</v>
      </c>
      <c r="H72" s="656">
        <f>Assumptions!$M$54</f>
        <v>0.05</v>
      </c>
      <c r="J72" s="618"/>
      <c r="L72" s="598" t="s">
        <v>1239</v>
      </c>
      <c r="M72" s="571"/>
      <c r="N72" s="571"/>
      <c r="O72" s="638">
        <f t="shared" ca="1" si="15"/>
        <v>969272.49808733386</v>
      </c>
      <c r="P72" s="638">
        <f>'S&amp;U'!H21</f>
        <v>266062.01999999996</v>
      </c>
      <c r="Q72" s="639">
        <f t="shared" ca="1" si="16"/>
        <v>6.3875577748272888E-4</v>
      </c>
      <c r="R72" s="638">
        <f>'S&amp;U'!I21</f>
        <v>415216.38844709995</v>
      </c>
      <c r="S72" s="639">
        <f t="shared" ca="1" si="17"/>
        <v>1.9989149354292328E-3</v>
      </c>
      <c r="T72" s="638">
        <f>'S&amp;U'!J21</f>
        <v>287994.08700256317</v>
      </c>
      <c r="U72" s="640">
        <f t="shared" ca="1" si="18"/>
        <v>6.7073878279464262E-4</v>
      </c>
    </row>
    <row r="73" spans="2:21" ht="19" customHeight="1">
      <c r="B73" s="653" t="s">
        <v>355</v>
      </c>
      <c r="C73" s="571"/>
      <c r="D73" s="571"/>
      <c r="E73" s="654">
        <f>Assumptions!F53</f>
        <v>2500</v>
      </c>
      <c r="F73" s="723">
        <f>Assumptions!F52</f>
        <v>20</v>
      </c>
      <c r="G73" s="655">
        <f>Assumptions!$M$63</f>
        <v>0.02</v>
      </c>
      <c r="H73" s="656">
        <f>Assumptions!$M$54</f>
        <v>0.05</v>
      </c>
      <c r="J73" s="618"/>
      <c r="L73" s="598" t="s">
        <v>842</v>
      </c>
      <c r="M73" s="571"/>
      <c r="N73" s="571"/>
      <c r="O73" s="638">
        <f t="shared" ca="1" si="15"/>
        <v>9204939.2355964892</v>
      </c>
      <c r="P73" s="638">
        <f>'S&amp;U'!H22</f>
        <v>9204939.2134974767</v>
      </c>
      <c r="Q73" s="639">
        <f t="shared" ca="1" si="16"/>
        <v>2.2099013245102928E-2</v>
      </c>
      <c r="R73" s="638">
        <f>'S&amp;U'!I22</f>
        <v>0</v>
      </c>
      <c r="S73" s="639">
        <f t="shared" ca="1" si="17"/>
        <v>0</v>
      </c>
      <c r="T73" s="638">
        <f>'S&amp;U'!J22</f>
        <v>0</v>
      </c>
      <c r="U73" s="640">
        <f t="shared" ca="1" si="18"/>
        <v>0</v>
      </c>
    </row>
    <row r="74" spans="2:21" ht="19" customHeight="1">
      <c r="B74" s="621" t="s">
        <v>562</v>
      </c>
      <c r="C74" s="622"/>
      <c r="D74" s="622"/>
      <c r="E74" s="660">
        <f>Assumptions!F58</f>
        <v>1298.6754966887418</v>
      </c>
      <c r="F74" s="724">
        <f>Assumptions!F57</f>
        <v>22.164453235377223</v>
      </c>
      <c r="G74" s="660"/>
      <c r="H74" s="661"/>
      <c r="J74" s="618"/>
      <c r="L74" s="598" t="s">
        <v>573</v>
      </c>
      <c r="M74" s="571"/>
      <c r="N74" s="571"/>
      <c r="O74" s="638">
        <f t="shared" ca="1" si="15"/>
        <v>229615440.38141051</v>
      </c>
      <c r="P74" s="638">
        <f ca="1">'S&amp;U'!H23</f>
        <v>87488989.368558347</v>
      </c>
      <c r="Q74" s="639">
        <f t="shared" ca="1" si="16"/>
        <v>0.21004161896272042</v>
      </c>
      <c r="R74" s="638">
        <f ca="1">'S&amp;U'!I23</f>
        <v>64517857.38131699</v>
      </c>
      <c r="S74" s="639">
        <f t="shared" ca="1" si="17"/>
        <v>0.31059879212315433</v>
      </c>
      <c r="T74" s="638">
        <f ca="1">'S&amp;U'!J23</f>
        <v>77608593.110894859</v>
      </c>
      <c r="U74" s="640">
        <f t="shared" ca="1" si="18"/>
        <v>0.18075056269173684</v>
      </c>
    </row>
    <row r="75" spans="2:21" ht="19" customHeight="1">
      <c r="J75" s="618"/>
      <c r="L75" s="718" t="s">
        <v>95</v>
      </c>
      <c r="M75" s="719"/>
      <c r="N75" s="719"/>
      <c r="O75" s="720">
        <f t="shared" ca="1" si="15"/>
        <v>1053621047.1231022</v>
      </c>
      <c r="P75" s="720">
        <f ca="1">'S&amp;U'!H26</f>
        <v>416531684.53289479</v>
      </c>
      <c r="Q75" s="721"/>
      <c r="R75" s="720">
        <f ca="1">'S&amp;U'!I26</f>
        <v>207720889.5124591</v>
      </c>
      <c r="S75" s="721"/>
      <c r="T75" s="720">
        <f ca="1">'S&amp;U'!J26</f>
        <v>429368473.0777483</v>
      </c>
      <c r="U75" s="722"/>
    </row>
    <row r="76" spans="2:21" ht="19" customHeight="1">
      <c r="B76" s="555" t="s">
        <v>652</v>
      </c>
      <c r="C76" s="556"/>
      <c r="D76" s="556"/>
      <c r="E76" s="664" t="s">
        <v>653</v>
      </c>
      <c r="F76" s="664" t="s">
        <v>648</v>
      </c>
      <c r="G76" s="646" t="s">
        <v>649</v>
      </c>
      <c r="H76" s="559" t="s">
        <v>115</v>
      </c>
      <c r="J76" s="618"/>
      <c r="L76" s="637" t="s">
        <v>645</v>
      </c>
      <c r="M76" s="571"/>
      <c r="N76" s="571"/>
      <c r="O76" s="638"/>
      <c r="P76" s="643"/>
      <c r="Q76" s="644"/>
      <c r="R76" s="643"/>
      <c r="S76" s="644"/>
      <c r="T76" s="643"/>
      <c r="U76" s="645"/>
    </row>
    <row r="77" spans="2:21" ht="19" customHeight="1">
      <c r="B77" s="560"/>
      <c r="C77" s="561"/>
      <c r="D77" s="619"/>
      <c r="E77" s="592"/>
      <c r="F77" s="592" t="s">
        <v>118</v>
      </c>
      <c r="G77" s="592" t="s">
        <v>650</v>
      </c>
      <c r="H77" s="593" t="s">
        <v>650</v>
      </c>
      <c r="J77" s="618"/>
      <c r="L77" s="598" t="s">
        <v>60</v>
      </c>
      <c r="M77" s="571"/>
      <c r="N77" s="571"/>
      <c r="O77" s="638">
        <f t="shared" ref="O77:O83" ca="1" si="19">SUM(P77:T77)</f>
        <v>163028561.69828016</v>
      </c>
      <c r="P77" s="638">
        <f>'S&amp;U'!H29</f>
        <v>23250525.361561798</v>
      </c>
      <c r="Q77" s="639">
        <f t="shared" ref="Q77:Q83" ca="1" si="20">P77/P$84</f>
        <v>5.581934394171071E-2</v>
      </c>
      <c r="R77" s="638">
        <f>'S&amp;U'!I29</f>
        <v>81611947</v>
      </c>
      <c r="S77" s="639">
        <f t="shared" ref="S77:S83" ca="1" si="21">R77/R$84</f>
        <v>0.39289234314156407</v>
      </c>
      <c r="T77" s="638">
        <f>'S&amp;U'!J29</f>
        <v>58166088.88800668</v>
      </c>
      <c r="U77" s="640">
        <f t="shared" ref="U77:U83" ca="1" si="22">T77/T$84</f>
        <v>0.13546893294486062</v>
      </c>
    </row>
    <row r="78" spans="2:21" ht="19" customHeight="1">
      <c r="B78" s="596" t="s">
        <v>25</v>
      </c>
      <c r="C78" s="571"/>
      <c r="D78" s="571"/>
      <c r="E78" s="571"/>
      <c r="F78" s="571"/>
      <c r="G78" s="571"/>
      <c r="H78" s="572"/>
      <c r="J78" s="618"/>
      <c r="L78" s="598" t="s">
        <v>8</v>
      </c>
      <c r="M78" s="571"/>
      <c r="N78" s="571"/>
      <c r="O78" s="638">
        <f t="shared" ca="1" si="19"/>
        <v>47023380.02149643</v>
      </c>
      <c r="P78" s="638">
        <f>'S&amp;U'!H30</f>
        <v>25343149.042553194</v>
      </c>
      <c r="Q78" s="639">
        <f t="shared" ca="1" si="20"/>
        <v>6.0843268312165501E-2</v>
      </c>
      <c r="R78" s="638">
        <f>'S&amp;U'!I30</f>
        <v>13924805.425531914</v>
      </c>
      <c r="S78" s="639">
        <f t="shared" ca="1" si="21"/>
        <v>6.7036134200150851E-2</v>
      </c>
      <c r="T78" s="638">
        <f>'S&amp;U'!J30</f>
        <v>7755425.4255319145</v>
      </c>
      <c r="U78" s="640">
        <f t="shared" ca="1" si="22"/>
        <v>1.8062400739254074E-2</v>
      </c>
    </row>
    <row r="79" spans="2:21" ht="19" customHeight="1">
      <c r="B79" s="598" t="str">
        <f>B32</f>
        <v>Conventional Retail</v>
      </c>
      <c r="C79" s="571"/>
      <c r="D79" s="599"/>
      <c r="E79" s="590" t="s">
        <v>669</v>
      </c>
      <c r="F79" s="723">
        <f>Assumptions!F126</f>
        <v>50</v>
      </c>
      <c r="G79" s="665">
        <f>Assumptions!$M$65/Assumptions!$M$66</f>
        <v>0.02</v>
      </c>
      <c r="H79" s="666">
        <f>Assumptions!M56</f>
        <v>0.10100000000000001</v>
      </c>
      <c r="L79" s="598" t="s">
        <v>56</v>
      </c>
      <c r="M79" s="571"/>
      <c r="N79" s="571"/>
      <c r="O79" s="638">
        <f t="shared" ca="1" si="19"/>
        <v>680319700.24093616</v>
      </c>
      <c r="P79" s="638">
        <f>'S&amp;U'!H31</f>
        <v>306778604.85938877</v>
      </c>
      <c r="Q79" s="639">
        <f t="shared" ca="1" si="20"/>
        <v>0.73650724843036885</v>
      </c>
      <c r="R79" s="638">
        <f>'S&amp;U'!I31</f>
        <v>86638131.338622525</v>
      </c>
      <c r="S79" s="639">
        <f t="shared" ca="1" si="21"/>
        <v>0.41708916008385361</v>
      </c>
      <c r="T79" s="638">
        <f>'S&amp;U'!J31</f>
        <v>286902962.88932848</v>
      </c>
      <c r="U79" s="640">
        <f t="shared" ca="1" si="22"/>
        <v>0.66819755263534975</v>
      </c>
    </row>
    <row r="80" spans="2:21" ht="19" customHeight="1">
      <c r="B80" s="598" t="str">
        <f>B33</f>
        <v>Food Hall</v>
      </c>
      <c r="C80" s="571"/>
      <c r="D80" s="599"/>
      <c r="E80" s="590" t="s">
        <v>669</v>
      </c>
      <c r="F80" s="723">
        <f>Assumptions!F134</f>
        <v>55</v>
      </c>
      <c r="G80" s="665">
        <f>Assumptions!$M$65/Assumptions!$M$66</f>
        <v>0.02</v>
      </c>
      <c r="H80" s="666">
        <f>$H$79</f>
        <v>0.10100000000000001</v>
      </c>
      <c r="L80" s="598" t="s">
        <v>57</v>
      </c>
      <c r="M80" s="571"/>
      <c r="N80" s="571"/>
      <c r="O80" s="638">
        <f t="shared" ca="1" si="19"/>
        <v>67304513.837337852</v>
      </c>
      <c r="P80" s="638">
        <f>'S&amp;U'!H32</f>
        <v>25818999.375817623</v>
      </c>
      <c r="Q80" s="639">
        <f t="shared" ca="1" si="20"/>
        <v>6.1985679204143752E-2</v>
      </c>
      <c r="R80" s="638">
        <f>'S&amp;U'!I32</f>
        <v>12453546.08706864</v>
      </c>
      <c r="S80" s="639">
        <f t="shared" ca="1" si="21"/>
        <v>5.9953267657857183E-2</v>
      </c>
      <c r="T80" s="638">
        <f>'S&amp;U'!J32</f>
        <v>29031968.252512634</v>
      </c>
      <c r="U80" s="640">
        <f t="shared" ca="1" si="22"/>
        <v>6.7615509924166331E-2</v>
      </c>
    </row>
    <row r="81" spans="2:32" ht="19" customHeight="1">
      <c r="B81" s="621" t="s">
        <v>562</v>
      </c>
      <c r="C81" s="622"/>
      <c r="D81" s="622"/>
      <c r="E81" s="692"/>
      <c r="F81" s="724">
        <f>Assumptions!E138</f>
        <v>51.266553858942743</v>
      </c>
      <c r="G81" s="667">
        <f>+SUMPRODUCT(G79:G80,$F79:$F80)/$F81</f>
        <v>4.0962378820664266E-2</v>
      </c>
      <c r="H81" s="668">
        <f>+SUMPRODUCT(H79:H80,$F79:$F80)/SUM($F79:$F80)</f>
        <v>0.10100000000000001</v>
      </c>
      <c r="L81" s="598" t="s">
        <v>79</v>
      </c>
      <c r="M81" s="571"/>
      <c r="N81" s="571"/>
      <c r="O81" s="638">
        <f t="shared" ca="1" si="19"/>
        <v>70045465.498584062</v>
      </c>
      <c r="P81" s="638">
        <f ca="1">'S&amp;U'!H33</f>
        <v>23682699.066332366</v>
      </c>
      <c r="Q81" s="639">
        <f t="shared" ca="1" si="20"/>
        <v>5.6856896955847475E-2</v>
      </c>
      <c r="R81" s="638">
        <f ca="1">'S&amp;U'!I33</f>
        <v>9438811.0305340122</v>
      </c>
      <c r="S81" s="639">
        <f t="shared" ca="1" si="21"/>
        <v>4.5439873922588185E-2</v>
      </c>
      <c r="T81" s="638">
        <f ca="1">'S&amp;U'!J33</f>
        <v>36923955.299420923</v>
      </c>
      <c r="U81" s="640">
        <f t="shared" ca="1" si="22"/>
        <v>8.599596294238139E-2</v>
      </c>
    </row>
    <row r="82" spans="2:32" ht="19" customHeight="1">
      <c r="B82" s="596" t="s">
        <v>139</v>
      </c>
      <c r="C82" s="571"/>
      <c r="D82" s="571"/>
      <c r="E82" s="571"/>
      <c r="F82" s="723"/>
      <c r="G82" s="665"/>
      <c r="H82" s="666"/>
      <c r="L82" s="598" t="s">
        <v>82</v>
      </c>
      <c r="M82" s="571"/>
      <c r="N82" s="571"/>
      <c r="O82" s="638">
        <f t="shared" ca="1" si="19"/>
        <v>2000000.003373147</v>
      </c>
      <c r="P82" s="638">
        <f>'S&amp;U'!H34</f>
        <v>892703.13486241782</v>
      </c>
      <c r="Q82" s="639">
        <f t="shared" ca="1" si="20"/>
        <v>2.1431818226829713E-3</v>
      </c>
      <c r="R82" s="638">
        <f>'S&amp;U'!I34</f>
        <v>255489.46132555051</v>
      </c>
      <c r="S82" s="639">
        <f t="shared" ca="1" si="21"/>
        <v>1.229965180320616E-3</v>
      </c>
      <c r="T82" s="638">
        <f>'S&amp;U'!J34</f>
        <v>851807.40381203161</v>
      </c>
      <c r="U82" s="640">
        <f t="shared" ca="1" si="22"/>
        <v>1.9838610825480656E-3</v>
      </c>
    </row>
    <row r="83" spans="2:32" ht="19" customHeight="1">
      <c r="B83" s="598" t="str">
        <f>B36</f>
        <v>Coworking Spaces</v>
      </c>
      <c r="C83" s="571"/>
      <c r="D83" s="599"/>
      <c r="E83" s="590" t="s">
        <v>669</v>
      </c>
      <c r="F83" s="723">
        <f>Assumptions!F161</f>
        <v>38</v>
      </c>
      <c r="G83" s="665">
        <f>Assumptions!M70/Assumptions!M71</f>
        <v>0.02</v>
      </c>
      <c r="H83" s="666">
        <f>Assumptions!M58</f>
        <v>0.13600000000000001</v>
      </c>
      <c r="L83" s="598" t="s">
        <v>59</v>
      </c>
      <c r="M83" s="571"/>
      <c r="N83" s="571"/>
      <c r="O83" s="638">
        <f t="shared" ca="1" si="19"/>
        <v>23899427.823094308</v>
      </c>
      <c r="P83" s="638">
        <f>'S&amp;U'!H35</f>
        <v>10765003.692378659</v>
      </c>
      <c r="Q83" s="639">
        <f t="shared" ca="1" si="20"/>
        <v>2.584438133308083E-2</v>
      </c>
      <c r="R83" s="638">
        <f>'S&amp;U'!I35</f>
        <v>3398159.1693764585</v>
      </c>
      <c r="S83" s="639">
        <f t="shared" ca="1" si="21"/>
        <v>1.6359255813665468E-2</v>
      </c>
      <c r="T83" s="638">
        <f>'S&amp;U'!J35</f>
        <v>9736264.9191355519</v>
      </c>
      <c r="U83" s="640">
        <f t="shared" ca="1" si="22"/>
        <v>2.2675779731439548E-2</v>
      </c>
    </row>
    <row r="84" spans="2:32" ht="19" customHeight="1">
      <c r="B84" s="621" t="s">
        <v>562</v>
      </c>
      <c r="C84" s="622"/>
      <c r="D84" s="622"/>
      <c r="E84" s="692"/>
      <c r="F84" s="724">
        <f>Assumptions!F173</f>
        <v>38</v>
      </c>
      <c r="G84" s="667">
        <f>G83</f>
        <v>0.02</v>
      </c>
      <c r="H84" s="669">
        <f>+H83</f>
        <v>0.13600000000000001</v>
      </c>
      <c r="L84" s="718" t="s">
        <v>96</v>
      </c>
      <c r="M84" s="719"/>
      <c r="N84" s="719"/>
      <c r="O84" s="720">
        <f ca="1">SUM(P84:T84)</f>
        <v>1053621047.1231022</v>
      </c>
      <c r="P84" s="720">
        <f ca="1">'S&amp;U'!H36</f>
        <v>416531684.53289479</v>
      </c>
      <c r="Q84" s="721"/>
      <c r="R84" s="720">
        <f ca="1">'S&amp;U'!I36</f>
        <v>207720889.5124591</v>
      </c>
      <c r="S84" s="721"/>
      <c r="T84" s="720">
        <f ca="1">'S&amp;U'!J36</f>
        <v>429368473.0777483</v>
      </c>
      <c r="U84" s="722"/>
    </row>
    <row r="85" spans="2:32" ht="19" customHeight="1">
      <c r="B85" s="596" t="s">
        <v>816</v>
      </c>
      <c r="C85" s="571"/>
      <c r="D85" s="571"/>
      <c r="E85" s="571"/>
      <c r="F85" s="723"/>
      <c r="G85" s="665"/>
      <c r="H85" s="666"/>
      <c r="L85" s="598"/>
      <c r="M85" s="557"/>
      <c r="N85" s="557"/>
      <c r="O85" s="638"/>
      <c r="P85" s="638"/>
      <c r="Q85" s="641"/>
      <c r="R85" s="638"/>
      <c r="S85" s="641"/>
      <c r="T85" s="638"/>
      <c r="U85" s="642"/>
    </row>
    <row r="86" spans="2:32" ht="19" customHeight="1">
      <c r="B86" s="598" t="str">
        <f>B39</f>
        <v>School of Arts</v>
      </c>
      <c r="C86" s="571"/>
      <c r="D86" s="599"/>
      <c r="E86" s="590" t="s">
        <v>668</v>
      </c>
      <c r="F86" s="723">
        <f>Assumptions!G211</f>
        <v>27</v>
      </c>
      <c r="G86" s="665">
        <f>Assumptions!M72/Assumptions!M73</f>
        <v>0.02</v>
      </c>
      <c r="H86" s="666">
        <f>Assumptions!M59</f>
        <v>0</v>
      </c>
      <c r="L86" s="602" t="s">
        <v>605</v>
      </c>
      <c r="M86" s="571"/>
      <c r="N86" s="571"/>
      <c r="O86" s="638"/>
      <c r="P86" s="657"/>
      <c r="Q86" s="658"/>
      <c r="R86" s="657"/>
      <c r="S86" s="658"/>
      <c r="T86" s="657"/>
      <c r="U86" s="659"/>
    </row>
    <row r="87" spans="2:32" ht="19" customHeight="1">
      <c r="B87" s="621" t="s">
        <v>562</v>
      </c>
      <c r="C87" s="622"/>
      <c r="D87" s="622"/>
      <c r="E87" s="624"/>
      <c r="F87" s="724">
        <f>Assumptions!E219</f>
        <v>26.999999980594058</v>
      </c>
      <c r="G87" s="667">
        <f>+G86</f>
        <v>0.02</v>
      </c>
      <c r="H87" s="669">
        <f>+H86</f>
        <v>0</v>
      </c>
      <c r="L87" s="637" t="s">
        <v>644</v>
      </c>
      <c r="M87" s="571"/>
      <c r="N87" s="571"/>
      <c r="O87" s="638"/>
      <c r="P87" s="643"/>
      <c r="Q87" s="644"/>
      <c r="R87" s="643"/>
      <c r="S87" s="644"/>
      <c r="T87" s="643"/>
      <c r="U87" s="645"/>
      <c r="W87" s="571"/>
      <c r="X87" s="571"/>
      <c r="Y87" s="571"/>
      <c r="Z87" s="638"/>
      <c r="AA87" s="638"/>
      <c r="AB87" s="639"/>
      <c r="AC87" s="638"/>
      <c r="AD87" s="639"/>
      <c r="AE87" s="638"/>
      <c r="AF87" s="640"/>
    </row>
    <row r="88" spans="2:32" ht="19" customHeight="1">
      <c r="L88" s="598" t="s">
        <v>688</v>
      </c>
      <c r="M88" s="571"/>
      <c r="N88" s="571"/>
      <c r="O88" s="638">
        <f t="shared" ref="O88:O90" ca="1" si="23">SUM(P88:T88)</f>
        <v>717302610.1770227</v>
      </c>
      <c r="P88" s="638">
        <f ca="1">'S&amp;U'!R17</f>
        <v>318032343.41816425</v>
      </c>
      <c r="Q88" s="639">
        <f t="shared" ref="Q88:Q95" ca="1" si="24">P88/P$96</f>
        <v>0.76352497355587901</v>
      </c>
      <c r="R88" s="638">
        <f ca="1">'S&amp;U'!S17</f>
        <v>66234502.341733627</v>
      </c>
      <c r="S88" s="639">
        <f t="shared" ref="S88:S95" ca="1" si="25">R88/R$96</f>
        <v>0.31886298242411909</v>
      </c>
      <c r="T88" s="638">
        <f ca="1">'S&amp;U'!T17</f>
        <v>333035763.33473682</v>
      </c>
      <c r="U88" s="640">
        <f t="shared" ref="U88:U95" ca="1" si="26">T88/T$96</f>
        <v>0.77564093364263398</v>
      </c>
    </row>
    <row r="89" spans="2:32" ht="19" customHeight="1">
      <c r="B89" s="866" t="s">
        <v>654</v>
      </c>
      <c r="C89" s="867"/>
      <c r="D89" s="867"/>
      <c r="E89" s="868"/>
      <c r="F89" s="950" t="s">
        <v>227</v>
      </c>
      <c r="G89" s="950"/>
      <c r="H89" s="951"/>
      <c r="L89" s="846" t="s">
        <v>158</v>
      </c>
      <c r="M89" s="847"/>
      <c r="N89" s="847"/>
      <c r="O89" s="848">
        <f t="shared" ca="1" si="23"/>
        <v>0</v>
      </c>
      <c r="P89" s="848">
        <f>'S&amp;U'!R18</f>
        <v>0</v>
      </c>
      <c r="Q89" s="849">
        <f t="shared" ca="1" si="24"/>
        <v>0</v>
      </c>
      <c r="R89" s="848">
        <f>'S&amp;U'!S18</f>
        <v>0</v>
      </c>
      <c r="S89" s="849">
        <f t="shared" ca="1" si="25"/>
        <v>0</v>
      </c>
      <c r="T89" s="848">
        <f>'S&amp;U'!T18</f>
        <v>0</v>
      </c>
      <c r="U89" s="850">
        <f t="shared" ca="1" si="26"/>
        <v>0</v>
      </c>
    </row>
    <row r="90" spans="2:32" ht="19" customHeight="1">
      <c r="B90" s="869"/>
      <c r="C90" s="870"/>
      <c r="D90" s="871"/>
      <c r="E90" s="872" t="s">
        <v>147</v>
      </c>
      <c r="F90" s="872" t="s">
        <v>193</v>
      </c>
      <c r="G90" s="872" t="s">
        <v>225</v>
      </c>
      <c r="H90" s="873" t="s">
        <v>226</v>
      </c>
      <c r="L90" s="598" t="s">
        <v>246</v>
      </c>
      <c r="M90" s="571"/>
      <c r="N90" s="571"/>
      <c r="O90" s="638">
        <f t="shared" ca="1" si="23"/>
        <v>28456110.136992048</v>
      </c>
      <c r="P90" s="638">
        <f ca="1">'S&amp;U'!R19</f>
        <v>0</v>
      </c>
      <c r="Q90" s="639">
        <f t="shared" ca="1" si="24"/>
        <v>0</v>
      </c>
      <c r="R90" s="638">
        <f>'S&amp;U'!S19</f>
        <v>28456110</v>
      </c>
      <c r="S90" s="639">
        <f t="shared" ca="1" si="25"/>
        <v>0.13699204767892736</v>
      </c>
      <c r="T90" s="638">
        <f ca="1">'S&amp;U'!T19</f>
        <v>0</v>
      </c>
      <c r="U90" s="640">
        <f t="shared" ca="1" si="26"/>
        <v>0</v>
      </c>
    </row>
    <row r="91" spans="2:32" ht="19" customHeight="1">
      <c r="B91" s="854" t="s">
        <v>26</v>
      </c>
      <c r="C91" s="847"/>
      <c r="D91" s="847"/>
      <c r="E91" s="847"/>
      <c r="F91" s="847"/>
      <c r="G91" s="847"/>
      <c r="H91" s="855"/>
      <c r="L91" s="598" t="s">
        <v>97</v>
      </c>
      <c r="M91" s="571"/>
      <c r="N91" s="571"/>
      <c r="O91" s="638">
        <f t="shared" ref="O91:O96" ca="1" si="27">SUM(P91:T91)</f>
        <v>151702181.32183367</v>
      </c>
      <c r="P91" s="638">
        <f ca="1">'S&amp;U'!R20</f>
        <v>51774802.650901601</v>
      </c>
      <c r="Q91" s="639">
        <f t="shared" ca="1" si="24"/>
        <v>0.12429979416562915</v>
      </c>
      <c r="R91" s="638">
        <f ca="1">'S&amp;U'!S20</f>
        <v>16009703.256704569</v>
      </c>
      <c r="S91" s="639">
        <f t="shared" ca="1" si="25"/>
        <v>7.7073149909385047E-2</v>
      </c>
      <c r="T91" s="638">
        <f ca="1">'S&amp;U'!T20</f>
        <v>83917675.21285449</v>
      </c>
      <c r="U91" s="640">
        <f t="shared" ca="1" si="26"/>
        <v>0.19544442704729981</v>
      </c>
    </row>
    <row r="92" spans="2:32" ht="19" customHeight="1">
      <c r="B92" s="846" t="s">
        <v>541</v>
      </c>
      <c r="C92" s="847"/>
      <c r="D92" s="847"/>
      <c r="E92" s="847"/>
      <c r="F92" s="856" t="s">
        <v>664</v>
      </c>
      <c r="G92" s="856" t="s">
        <v>665</v>
      </c>
      <c r="H92" s="857" t="s">
        <v>666</v>
      </c>
      <c r="L92" s="598" t="s">
        <v>566</v>
      </c>
      <c r="M92" s="571"/>
      <c r="N92" s="571"/>
      <c r="O92" s="638">
        <f t="shared" ca="1" si="27"/>
        <v>96262500.23150906</v>
      </c>
      <c r="P92" s="638">
        <f>'S&amp;U'!R22</f>
        <v>32087500</v>
      </c>
      <c r="Q92" s="639">
        <f t="shared" ca="1" si="24"/>
        <v>7.7034956022573473E-2</v>
      </c>
      <c r="R92" s="638">
        <f>'S&amp;U'!S22</f>
        <v>32087500</v>
      </c>
      <c r="S92" s="639">
        <f t="shared" ca="1" si="25"/>
        <v>0.15447411223451069</v>
      </c>
      <c r="T92" s="638">
        <f>'S&amp;U'!T22</f>
        <v>32087500</v>
      </c>
      <c r="U92" s="640">
        <f t="shared" ca="1" si="26"/>
        <v>7.4731849243597645E-2</v>
      </c>
    </row>
    <row r="93" spans="2:32" ht="19" customHeight="1">
      <c r="B93" s="846" t="s">
        <v>280</v>
      </c>
      <c r="C93" s="847"/>
      <c r="D93" s="847"/>
      <c r="E93" s="858">
        <f>Assumptions!E96</f>
        <v>0.7</v>
      </c>
      <c r="F93" s="859">
        <f>Assumptions!F97</f>
        <v>180</v>
      </c>
      <c r="G93" s="859">
        <f>Assumptions!G97</f>
        <v>135</v>
      </c>
      <c r="H93" s="860">
        <f>Assumptions!H97</f>
        <v>160</v>
      </c>
      <c r="L93" s="598" t="s">
        <v>568</v>
      </c>
      <c r="M93" s="571"/>
      <c r="N93" s="571"/>
      <c r="O93" s="638">
        <f t="shared" ca="1" si="27"/>
        <v>969272.49808733386</v>
      </c>
      <c r="P93" s="638">
        <f>'S&amp;U'!R23</f>
        <v>266062.01999999996</v>
      </c>
      <c r="Q93" s="639">
        <f t="shared" ca="1" si="24"/>
        <v>6.3875577748272888E-4</v>
      </c>
      <c r="R93" s="638">
        <f>'S&amp;U'!S23</f>
        <v>415216.38844709995</v>
      </c>
      <c r="S93" s="639">
        <f t="shared" ca="1" si="25"/>
        <v>1.9989149354292328E-3</v>
      </c>
      <c r="T93" s="638">
        <f>'S&amp;U'!T23</f>
        <v>287994.08700256317</v>
      </c>
      <c r="U93" s="640">
        <f t="shared" ca="1" si="26"/>
        <v>6.7073878279464262E-4</v>
      </c>
    </row>
    <row r="94" spans="2:32" ht="19" customHeight="1">
      <c r="B94" s="861" t="str">
        <f>Assumptions!B95</f>
        <v>RevPAR</v>
      </c>
      <c r="C94" s="862"/>
      <c r="D94" s="862"/>
      <c r="E94" s="863"/>
      <c r="F94" s="864">
        <f>Assumptions!F95</f>
        <v>125.99999999999999</v>
      </c>
      <c r="G94" s="864">
        <f>Assumptions!G95</f>
        <v>94.5</v>
      </c>
      <c r="H94" s="865">
        <f>Assumptions!H95</f>
        <v>112</v>
      </c>
      <c r="L94" s="598" t="s">
        <v>565</v>
      </c>
      <c r="M94" s="571"/>
      <c r="N94" s="571"/>
      <c r="O94" s="638">
        <f t="shared" ca="1" si="27"/>
        <v>9204939.2355964892</v>
      </c>
      <c r="P94" s="638">
        <f>'S&amp;U'!R24</f>
        <v>9204939.2134974767</v>
      </c>
      <c r="Q94" s="639">
        <f t="shared" ca="1" si="24"/>
        <v>2.2099013245102928E-2</v>
      </c>
      <c r="R94" s="638">
        <f>'S&amp;U'!S24</f>
        <v>0</v>
      </c>
      <c r="S94" s="639">
        <f t="shared" ca="1" si="25"/>
        <v>0</v>
      </c>
      <c r="T94" s="638">
        <f>'S&amp;U'!T24</f>
        <v>0</v>
      </c>
      <c r="U94" s="640">
        <f t="shared" ca="1" si="26"/>
        <v>0</v>
      </c>
    </row>
    <row r="95" spans="2:32" ht="19" customHeight="1">
      <c r="G95" s="716"/>
      <c r="H95" s="716"/>
      <c r="L95" s="598" t="s">
        <v>573</v>
      </c>
      <c r="M95" s="571"/>
      <c r="N95" s="571"/>
      <c r="O95" s="638">
        <f t="shared" ca="1" si="27"/>
        <v>49723435.522060841</v>
      </c>
      <c r="P95" s="638">
        <f ca="1">'S&amp;U'!R25</f>
        <v>5166037.2303314805</v>
      </c>
      <c r="Q95" s="639">
        <f t="shared" ca="1" si="24"/>
        <v>1.2402507233332697E-2</v>
      </c>
      <c r="R95" s="638">
        <f ca="1">'S&amp;U'!S25</f>
        <v>64517857.52557379</v>
      </c>
      <c r="S95" s="639">
        <f t="shared" ca="1" si="25"/>
        <v>0.31059879281762853</v>
      </c>
      <c r="T95" s="638">
        <f ca="1">'S&amp;U'!T25</f>
        <v>-19960459.556845605</v>
      </c>
      <c r="U95" s="640">
        <f t="shared" ca="1" si="26"/>
        <v>-4.6487948716326097E-2</v>
      </c>
    </row>
    <row r="96" spans="2:32" ht="19" customHeight="1">
      <c r="B96" s="670" t="s">
        <v>655</v>
      </c>
      <c r="C96" s="671"/>
      <c r="D96" s="671"/>
      <c r="E96" s="690" t="s">
        <v>653</v>
      </c>
      <c r="F96" s="674" t="s">
        <v>656</v>
      </c>
      <c r="G96" s="674" t="s">
        <v>649</v>
      </c>
      <c r="H96" s="675" t="s">
        <v>115</v>
      </c>
      <c r="L96" s="718" t="s">
        <v>95</v>
      </c>
      <c r="M96" s="719"/>
      <c r="N96" s="719"/>
      <c r="O96" s="720">
        <f t="shared" ca="1" si="27"/>
        <v>1053621047.1231022</v>
      </c>
      <c r="P96" s="720">
        <f ca="1">'S&amp;U'!R26</f>
        <v>416531684.53289479</v>
      </c>
      <c r="Q96" s="721"/>
      <c r="R96" s="720">
        <f ca="1">'S&amp;U'!S26</f>
        <v>207720889.5124591</v>
      </c>
      <c r="S96" s="721"/>
      <c r="T96" s="720">
        <f ca="1">'S&amp;U'!T26</f>
        <v>429368473.0777483</v>
      </c>
      <c r="U96" s="722"/>
    </row>
    <row r="97" spans="2:21" ht="19" customHeight="1">
      <c r="B97" s="672"/>
      <c r="C97" s="676"/>
      <c r="D97" s="677"/>
      <c r="E97" s="678"/>
      <c r="F97" s="678" t="s">
        <v>657</v>
      </c>
      <c r="G97" s="678" t="s">
        <v>650</v>
      </c>
      <c r="H97" s="673" t="s">
        <v>650</v>
      </c>
      <c r="L97" s="637" t="s">
        <v>645</v>
      </c>
      <c r="M97" s="571"/>
      <c r="N97" s="571"/>
      <c r="O97" s="638"/>
      <c r="P97" s="643"/>
      <c r="Q97" s="644"/>
      <c r="R97" s="643"/>
      <c r="S97" s="644"/>
      <c r="T97" s="643"/>
      <c r="U97" s="645"/>
    </row>
    <row r="98" spans="2:21" ht="19" customHeight="1">
      <c r="B98" s="679" t="s">
        <v>829</v>
      </c>
      <c r="C98" s="680"/>
      <c r="D98" s="680"/>
      <c r="E98" s="681"/>
      <c r="F98" s="680"/>
      <c r="G98" s="680"/>
      <c r="H98" s="682"/>
      <c r="L98" s="598" t="s">
        <v>60</v>
      </c>
      <c r="M98" s="571"/>
      <c r="N98" s="571"/>
      <c r="O98" s="638">
        <f t="shared" ref="O98" ca="1" si="28">SUM(P98:T98)</f>
        <v>163028561.69828016</v>
      </c>
      <c r="P98" s="638">
        <f>'S&amp;U'!R29</f>
        <v>23250525.361561798</v>
      </c>
      <c r="Q98" s="639">
        <f t="shared" ref="Q98:Q104" ca="1" si="29">P98/P$105</f>
        <v>5.581934394171071E-2</v>
      </c>
      <c r="R98" s="638">
        <f>'S&amp;U'!S29</f>
        <v>81611947</v>
      </c>
      <c r="S98" s="639">
        <f t="shared" ref="S98:S104" ca="1" si="30">R98/R$105</f>
        <v>0.39289234314156407</v>
      </c>
      <c r="T98" s="638">
        <f>'S&amp;U'!T29</f>
        <v>58166088.88800668</v>
      </c>
      <c r="U98" s="640">
        <f t="shared" ref="U98:U104" ca="1" si="31">T98/T$105</f>
        <v>0.13546893294486062</v>
      </c>
    </row>
    <row r="99" spans="2:21" ht="19" customHeight="1">
      <c r="B99" s="653" t="s">
        <v>1250</v>
      </c>
      <c r="C99" s="680"/>
      <c r="D99" s="683"/>
      <c r="E99" s="684" t="s">
        <v>670</v>
      </c>
      <c r="F99" s="726">
        <f>Assumptions!G143</f>
        <v>25</v>
      </c>
      <c r="G99" s="685">
        <f>Assumptions!$M$68/Assumptions!$M$69</f>
        <v>0.01</v>
      </c>
      <c r="H99" s="686">
        <f>Assumptions!$M$57</f>
        <v>0</v>
      </c>
      <c r="L99" s="598" t="s">
        <v>8</v>
      </c>
      <c r="M99" s="571"/>
      <c r="N99" s="571"/>
      <c r="O99" s="638">
        <f t="shared" ref="O99:O105" ca="1" si="32">SUM(P99:T99)</f>
        <v>47023380.02149643</v>
      </c>
      <c r="P99" s="638">
        <f>'S&amp;U'!R30</f>
        <v>25343149.042553194</v>
      </c>
      <c r="Q99" s="639">
        <f t="shared" ca="1" si="29"/>
        <v>6.0843268312165501E-2</v>
      </c>
      <c r="R99" s="638">
        <f>'S&amp;U'!S30</f>
        <v>13924805.425531914</v>
      </c>
      <c r="S99" s="639">
        <f t="shared" ca="1" si="30"/>
        <v>6.7036134200150851E-2</v>
      </c>
      <c r="T99" s="638">
        <f>'S&amp;U'!T30</f>
        <v>7755425.4255319145</v>
      </c>
      <c r="U99" s="666">
        <f t="shared" ca="1" si="31"/>
        <v>1.8062400739254074E-2</v>
      </c>
    </row>
    <row r="100" spans="2:21" ht="19" customHeight="1">
      <c r="B100" s="653" t="s">
        <v>1251</v>
      </c>
      <c r="C100" s="680"/>
      <c r="D100" s="683"/>
      <c r="E100" s="684" t="s">
        <v>669</v>
      </c>
      <c r="F100" s="726">
        <f>Assumptions!G147</f>
        <v>35</v>
      </c>
      <c r="G100" s="685">
        <f>Assumptions!$M$68/Assumptions!$M$69</f>
        <v>0.01</v>
      </c>
      <c r="H100" s="686">
        <f>Assumptions!$M$57</f>
        <v>0</v>
      </c>
      <c r="L100" s="598" t="s">
        <v>56</v>
      </c>
      <c r="M100" s="571"/>
      <c r="N100" s="571"/>
      <c r="O100" s="638">
        <f t="shared" ca="1" si="32"/>
        <v>680319700.24093616</v>
      </c>
      <c r="P100" s="638">
        <f>'S&amp;U'!R31</f>
        <v>306778604.85938877</v>
      </c>
      <c r="Q100" s="639">
        <f t="shared" ca="1" si="29"/>
        <v>0.73650724843036885</v>
      </c>
      <c r="R100" s="638">
        <f>'S&amp;U'!S31</f>
        <v>86638131.338622525</v>
      </c>
      <c r="S100" s="639">
        <f t="shared" ca="1" si="30"/>
        <v>0.41708916008385361</v>
      </c>
      <c r="T100" s="638">
        <f>'S&amp;U'!T31</f>
        <v>286902962.88932848</v>
      </c>
      <c r="U100" s="666">
        <f t="shared" ca="1" si="31"/>
        <v>0.66819755263534975</v>
      </c>
    </row>
    <row r="101" spans="2:21" ht="19" customHeight="1">
      <c r="B101" s="653" t="s">
        <v>1252</v>
      </c>
      <c r="C101" s="680"/>
      <c r="D101" s="683"/>
      <c r="E101" s="684" t="s">
        <v>669</v>
      </c>
      <c r="F101" s="726">
        <f>Assumptions!G151</f>
        <v>35</v>
      </c>
      <c r="G101" s="685">
        <f>Assumptions!$M$68/Assumptions!$M$69</f>
        <v>0.01</v>
      </c>
      <c r="H101" s="686">
        <f>Assumptions!$M$57</f>
        <v>0</v>
      </c>
      <c r="L101" s="598" t="s">
        <v>57</v>
      </c>
      <c r="M101" s="571"/>
      <c r="N101" s="571"/>
      <c r="O101" s="638">
        <f t="shared" ca="1" si="32"/>
        <v>67304513.837337852</v>
      </c>
      <c r="P101" s="638">
        <f>'S&amp;U'!R32</f>
        <v>25818999.375817623</v>
      </c>
      <c r="Q101" s="639">
        <f t="shared" ca="1" si="29"/>
        <v>6.1985679204143752E-2</v>
      </c>
      <c r="R101" s="638">
        <f>'S&amp;U'!S32</f>
        <v>12453546.08706864</v>
      </c>
      <c r="S101" s="639">
        <f t="shared" ca="1" si="30"/>
        <v>5.9953267657857183E-2</v>
      </c>
      <c r="T101" s="638">
        <f>'S&amp;U'!T32</f>
        <v>29031968.252512634</v>
      </c>
      <c r="U101" s="666">
        <f t="shared" ca="1" si="31"/>
        <v>6.7615509924166331E-2</v>
      </c>
    </row>
    <row r="102" spans="2:21" ht="19" customHeight="1">
      <c r="B102" s="621" t="s">
        <v>562</v>
      </c>
      <c r="C102" s="622"/>
      <c r="D102" s="622"/>
      <c r="E102" s="623"/>
      <c r="F102" s="727">
        <f>Assumptions!G155</f>
        <v>31.100389726252523</v>
      </c>
      <c r="G102" s="687">
        <f>Assumptions!$M$68/Assumptions!$M$69</f>
        <v>0.01</v>
      </c>
      <c r="H102" s="688">
        <f>Assumptions!$M$57</f>
        <v>0</v>
      </c>
      <c r="L102" s="598" t="s">
        <v>79</v>
      </c>
      <c r="M102" s="571"/>
      <c r="N102" s="571"/>
      <c r="O102" s="638">
        <f t="shared" ca="1" si="32"/>
        <v>70045465.498584062</v>
      </c>
      <c r="P102" s="638">
        <f ca="1">'S&amp;U'!R33</f>
        <v>23682699.066332366</v>
      </c>
      <c r="Q102" s="639">
        <f t="shared" ca="1" si="29"/>
        <v>5.6856896955847475E-2</v>
      </c>
      <c r="R102" s="638">
        <f ca="1">'S&amp;U'!S33</f>
        <v>9438811.0305340122</v>
      </c>
      <c r="S102" s="639">
        <f t="shared" ca="1" si="30"/>
        <v>4.5439873922588185E-2</v>
      </c>
      <c r="T102" s="638">
        <f ca="1">'S&amp;U'!T33</f>
        <v>36923955.299420923</v>
      </c>
      <c r="U102" s="666">
        <f t="shared" ca="1" si="31"/>
        <v>8.599596294238139E-2</v>
      </c>
    </row>
    <row r="103" spans="2:21" ht="19" customHeight="1">
      <c r="B103" s="679" t="s">
        <v>646</v>
      </c>
      <c r="C103" s="680"/>
      <c r="D103" s="680"/>
      <c r="E103" s="681"/>
      <c r="F103" s="728"/>
      <c r="G103" s="680"/>
      <c r="H103" s="682"/>
      <c r="L103" s="598" t="s">
        <v>82</v>
      </c>
      <c r="M103" s="571"/>
      <c r="N103" s="571"/>
      <c r="O103" s="638">
        <f t="shared" ca="1" si="32"/>
        <v>2000000.003373147</v>
      </c>
      <c r="P103" s="638">
        <f>'S&amp;U'!R34</f>
        <v>892703.13486241782</v>
      </c>
      <c r="Q103" s="639">
        <f t="shared" ca="1" si="29"/>
        <v>2.1431818226829713E-3</v>
      </c>
      <c r="R103" s="638">
        <f>'S&amp;U'!S34</f>
        <v>255489.46132555051</v>
      </c>
      <c r="S103" s="639">
        <f t="shared" ca="1" si="30"/>
        <v>1.229965180320616E-3</v>
      </c>
      <c r="T103" s="638">
        <f>'S&amp;U'!T34</f>
        <v>851807.40381203161</v>
      </c>
      <c r="U103" s="666">
        <f t="shared" ca="1" si="31"/>
        <v>1.9838610825480656E-3</v>
      </c>
    </row>
    <row r="104" spans="2:21" ht="19" customHeight="1">
      <c r="B104" s="653" t="s">
        <v>201</v>
      </c>
      <c r="C104" s="680"/>
      <c r="D104" s="683"/>
      <c r="E104" s="681"/>
      <c r="F104" s="726">
        <f>Assumptions!F181</f>
        <v>100</v>
      </c>
      <c r="G104" s="685">
        <f>Assumptions!$M$74</f>
        <v>0.02</v>
      </c>
      <c r="H104" s="686">
        <f>Assumptions!$M$60</f>
        <v>0.1</v>
      </c>
      <c r="L104" s="598" t="s">
        <v>59</v>
      </c>
      <c r="M104" s="571"/>
      <c r="N104" s="571"/>
      <c r="O104" s="638">
        <f t="shared" ca="1" si="32"/>
        <v>23899427.823094308</v>
      </c>
      <c r="P104" s="638">
        <f>'S&amp;U'!R35</f>
        <v>10765003.692378659</v>
      </c>
      <c r="Q104" s="639">
        <f t="shared" ca="1" si="29"/>
        <v>2.584438133308083E-2</v>
      </c>
      <c r="R104" s="638">
        <f>'S&amp;U'!S35</f>
        <v>3398159.1693764585</v>
      </c>
      <c r="S104" s="639">
        <f t="shared" ca="1" si="30"/>
        <v>1.6359255813665468E-2</v>
      </c>
      <c r="T104" s="638">
        <f>'S&amp;U'!T35</f>
        <v>9736264.9191355519</v>
      </c>
      <c r="U104" s="666">
        <f t="shared" ca="1" si="31"/>
        <v>2.2675779731439548E-2</v>
      </c>
    </row>
    <row r="105" spans="2:21" ht="19" customHeight="1">
      <c r="B105" s="653" t="s">
        <v>28</v>
      </c>
      <c r="C105" s="680"/>
      <c r="D105" s="683"/>
      <c r="E105" s="681"/>
      <c r="F105" s="726">
        <f>Assumptions!F194</f>
        <v>100</v>
      </c>
      <c r="G105" s="685">
        <f>Assumptions!$M$74</f>
        <v>0.02</v>
      </c>
      <c r="H105" s="686">
        <f>Assumptions!$M$60</f>
        <v>0.1</v>
      </c>
      <c r="L105" s="718" t="s">
        <v>96</v>
      </c>
      <c r="M105" s="719"/>
      <c r="N105" s="719"/>
      <c r="O105" s="720">
        <f t="shared" ca="1" si="32"/>
        <v>1053621047.1231022</v>
      </c>
      <c r="P105" s="720">
        <f ca="1">'S&amp;U'!R36</f>
        <v>416531684.53289479</v>
      </c>
      <c r="Q105" s="721"/>
      <c r="R105" s="720">
        <f ca="1">'S&amp;U'!S36</f>
        <v>207720889.5124591</v>
      </c>
      <c r="S105" s="721"/>
      <c r="T105" s="720">
        <f ca="1">'S&amp;U'!T36</f>
        <v>429368473.0777483</v>
      </c>
      <c r="U105" s="722"/>
    </row>
    <row r="106" spans="2:21" ht="19" customHeight="1">
      <c r="B106" s="621" t="s">
        <v>562</v>
      </c>
      <c r="C106" s="622"/>
      <c r="D106" s="622"/>
      <c r="E106" s="623"/>
      <c r="F106" s="727">
        <f>+F105</f>
        <v>100</v>
      </c>
      <c r="G106" s="687">
        <f>+G105</f>
        <v>0.02</v>
      </c>
      <c r="H106" s="688">
        <f>+H105</f>
        <v>0.1</v>
      </c>
    </row>
    <row r="107" spans="2:21" ht="19" customHeight="1"/>
    <row r="108" spans="2:21" ht="19" customHeight="1"/>
    <row r="109" spans="2:21" ht="19" customHeight="1"/>
    <row r="110" spans="2:21" ht="19" customHeight="1"/>
    <row r="111" spans="2:21" ht="19" customHeight="1"/>
    <row r="112" spans="2:21" ht="19" customHeight="1"/>
    <row r="113" ht="19" customHeight="1"/>
    <row r="114" ht="19" customHeight="1"/>
    <row r="115" ht="19" customHeight="1"/>
    <row r="116" ht="19" customHeight="1"/>
    <row r="117" ht="19" customHeight="1"/>
    <row r="118" ht="19" customHeight="1"/>
    <row r="119" ht="19" customHeight="1"/>
    <row r="120" ht="19" customHeight="1"/>
    <row r="121" ht="19" customHeight="1"/>
    <row r="122" ht="19" customHeight="1"/>
    <row r="123" ht="19" customHeight="1"/>
    <row r="124" ht="19" customHeight="1"/>
    <row r="125" ht="19" customHeight="1"/>
    <row r="126" ht="19" customHeight="1"/>
    <row r="127" ht="19" customHeight="1"/>
    <row r="128" ht="19" customHeight="1"/>
    <row r="129" ht="19" customHeight="1"/>
    <row r="130" ht="19" customHeight="1"/>
    <row r="131" ht="19" customHeight="1"/>
    <row r="132" ht="19" customHeight="1"/>
    <row r="133" ht="19" customHeight="1"/>
  </sheetData>
  <mergeCells count="11">
    <mergeCell ref="F29:H29"/>
    <mergeCell ref="F4:H4"/>
    <mergeCell ref="P4:T4"/>
    <mergeCell ref="D12:D13"/>
    <mergeCell ref="F12:H12"/>
    <mergeCell ref="P17:T17"/>
    <mergeCell ref="D42:D43"/>
    <mergeCell ref="F42:H42"/>
    <mergeCell ref="P50:T50"/>
    <mergeCell ref="E59:F59"/>
    <mergeCell ref="F89:H89"/>
  </mergeCells>
  <phoneticPr fontId="62" type="noConversion"/>
  <pageMargins left="0.7" right="0.7" top="0.75" bottom="0.75" header="0.3" footer="0.3"/>
  <pageSetup paperSize="3" scale="4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U219"/>
  <sheetViews>
    <sheetView showGridLines="0" zoomScale="55" zoomScaleNormal="55" workbookViewId="0">
      <pane xSplit="1" ySplit="19" topLeftCell="B124" activePane="bottomRight" state="frozen"/>
      <selection pane="topRight" activeCell="B1" sqref="B1"/>
      <selection pane="bottomLeft" activeCell="A20" sqref="A20"/>
      <selection pane="bottomRight" activeCell="K133" sqref="K133"/>
    </sheetView>
  </sheetViews>
  <sheetFormatPr defaultColWidth="12.453125" defaultRowHeight="16" customHeight="1" outlineLevelRow="1"/>
  <cols>
    <col min="1" max="1" width="8.453125" style="52" customWidth="1"/>
    <col min="2" max="2" width="36.453125" style="52" customWidth="1"/>
    <col min="3" max="3" width="18.1796875" style="52" customWidth="1"/>
    <col min="4" max="4" width="1.453125" style="53" customWidth="1"/>
    <col min="5" max="5" width="18.6328125" style="53" bestFit="1" customWidth="1"/>
    <col min="6" max="7" width="14.81640625" style="52" bestFit="1" customWidth="1"/>
    <col min="8" max="8" width="16.453125" style="52" customWidth="1"/>
    <col min="9" max="9" width="1.453125" style="52" customWidth="1"/>
    <col min="10" max="10" width="36.453125" style="52" customWidth="1"/>
    <col min="11" max="11" width="16" style="52" customWidth="1"/>
    <col min="12" max="12" width="1.453125" style="52" customWidth="1"/>
    <col min="13" max="13" width="15.453125" style="52" customWidth="1"/>
    <col min="14" max="14" width="17.453125" style="52" bestFit="1" customWidth="1"/>
    <col min="15" max="16" width="14.453125" style="52" bestFit="1" customWidth="1"/>
    <col min="17" max="17" width="3.453125" style="52" customWidth="1"/>
    <col min="18" max="18" width="36.453125" style="52" customWidth="1"/>
    <col min="19" max="19" width="16.453125" style="52" customWidth="1"/>
    <col min="20" max="20" width="1.453125" style="52" customWidth="1"/>
    <col min="21" max="21" width="16.453125" style="52" customWidth="1"/>
    <col min="22" max="16384" width="12.453125" style="52"/>
  </cols>
  <sheetData>
    <row r="1" spans="1:21" ht="18" customHeight="1">
      <c r="A1" s="51"/>
    </row>
    <row r="2" spans="1:21" ht="16" customHeight="1">
      <c r="A2" s="51"/>
      <c r="B2" s="51" t="s">
        <v>590</v>
      </c>
      <c r="J2" s="51" t="s">
        <v>591</v>
      </c>
      <c r="L2" s="53"/>
      <c r="M2" s="53"/>
    </row>
    <row r="3" spans="1:21" ht="16" customHeight="1">
      <c r="A3" s="51"/>
      <c r="B3" s="173" t="s">
        <v>337</v>
      </c>
      <c r="C3" s="178"/>
      <c r="D3" s="52"/>
      <c r="E3" s="178">
        <f ca="1">+'Cash Flow Roll-up'!$D$8</f>
        <v>0.28068633693696654</v>
      </c>
      <c r="J3" s="173" t="s">
        <v>337</v>
      </c>
      <c r="K3" s="178"/>
      <c r="M3" s="178">
        <f ca="1">+'Cash Flow Roll-up'!D36</f>
        <v>0.39367920567822079</v>
      </c>
    </row>
    <row r="4" spans="1:21" ht="16" customHeight="1">
      <c r="A4" s="51"/>
      <c r="B4" s="177" t="s">
        <v>375</v>
      </c>
      <c r="C4" s="179"/>
      <c r="D4" s="52"/>
      <c r="E4" s="179">
        <f ca="1">+'Cash Flow Roll-up'!$D$17</f>
        <v>0.15581331388884045</v>
      </c>
      <c r="J4" s="177" t="s">
        <v>375</v>
      </c>
      <c r="K4" s="179"/>
      <c r="M4" s="179">
        <f ca="1">+'Cash Flow Roll-up'!D27</f>
        <v>0.20075232748385249</v>
      </c>
    </row>
    <row r="5" spans="1:21" ht="4" customHeight="1">
      <c r="A5" s="51"/>
    </row>
    <row r="6" spans="1:21" ht="16" customHeight="1">
      <c r="A6" s="51"/>
      <c r="B6" s="51" t="s">
        <v>21</v>
      </c>
      <c r="J6" s="51" t="s">
        <v>357</v>
      </c>
      <c r="L6" s="53"/>
      <c r="M6" s="53"/>
      <c r="R6" s="51" t="s">
        <v>360</v>
      </c>
      <c r="T6" s="53"/>
      <c r="U6" s="53"/>
    </row>
    <row r="7" spans="1:21" ht="16" customHeight="1">
      <c r="A7" s="51"/>
      <c r="B7" s="51" t="s">
        <v>350</v>
      </c>
      <c r="J7" s="51" t="s">
        <v>350</v>
      </c>
      <c r="L7" s="53"/>
      <c r="M7" s="53"/>
      <c r="R7" s="51" t="s">
        <v>350</v>
      </c>
      <c r="T7" s="53"/>
      <c r="U7" s="53"/>
    </row>
    <row r="8" spans="1:21" ht="16" customHeight="1" outlineLevel="1">
      <c r="A8" s="51"/>
      <c r="B8" s="173" t="s">
        <v>352</v>
      </c>
      <c r="C8" s="174"/>
      <c r="D8" s="54"/>
      <c r="E8" s="174">
        <f ca="1">+Budget!$H$82-SUM('S&amp;U'!$H$18:$H$22)</f>
        <v>299515681.58216327</v>
      </c>
      <c r="J8" s="173" t="s">
        <v>352</v>
      </c>
      <c r="K8" s="174"/>
      <c r="L8" s="54"/>
      <c r="M8" s="174">
        <f ca="1">+Budget!$I$82-SUM('S&amp;U'!$I$18:$I$22)</f>
        <v>149769658.83677346</v>
      </c>
      <c r="R8" s="173" t="s">
        <v>352</v>
      </c>
      <c r="S8" s="174"/>
      <c r="T8" s="54"/>
      <c r="U8" s="174">
        <f ca="1">+Budget!$J$82-SUM('S&amp;U'!$J$18:$J$22)</f>
        <v>276151348.47847033</v>
      </c>
    </row>
    <row r="9" spans="1:21" ht="16" customHeight="1" outlineLevel="1">
      <c r="A9" s="51"/>
      <c r="B9" s="175" t="s">
        <v>309</v>
      </c>
      <c r="C9" s="176"/>
      <c r="D9" s="54"/>
      <c r="E9" s="176">
        <f ca="1">+'Loan Sizing'!$F$47+'Loan Sizing'!$F$31+SUM('Loan Sizing'!$F$5:$F$10)</f>
        <v>530053907.70684987</v>
      </c>
      <c r="J9" s="175" t="s">
        <v>309</v>
      </c>
      <c r="K9" s="176"/>
      <c r="L9" s="54"/>
      <c r="M9" s="176">
        <f ca="1">+'Loan Sizing'!$G$47+'Loan Sizing'!$G$31+SUM('Loan Sizing'!$G$5:$G$10)</f>
        <v>157817689.24613222</v>
      </c>
      <c r="R9" s="175" t="s">
        <v>309</v>
      </c>
      <c r="S9" s="176"/>
      <c r="T9" s="54"/>
      <c r="U9" s="176">
        <f ca="1">+'Loan Sizing'!$H$47+'Loan Sizing'!$H$31+SUM('Loan Sizing'!$H$5:$H$10)</f>
        <v>555059607.56780422</v>
      </c>
    </row>
    <row r="10" spans="1:21" ht="16" customHeight="1">
      <c r="A10" s="51"/>
      <c r="B10" s="173" t="s">
        <v>240</v>
      </c>
      <c r="C10" s="178"/>
      <c r="D10" s="52"/>
      <c r="E10" s="178">
        <f ca="1">+'Loan Sizing'!$F$62/E8</f>
        <v>0.11405903859770976</v>
      </c>
      <c r="J10" s="173" t="s">
        <v>240</v>
      </c>
      <c r="K10" s="178"/>
      <c r="M10" s="178">
        <f ca="1">+'Loan Sizing'!$G$62/M8</f>
        <v>9.1669590368691739E-2</v>
      </c>
      <c r="R10" s="173" t="s">
        <v>240</v>
      </c>
      <c r="S10" s="178"/>
      <c r="U10" s="178">
        <f ca="1">+'Loan Sizing'!$H$62/U8</f>
        <v>0.13082844488953679</v>
      </c>
    </row>
    <row r="11" spans="1:21" ht="16" customHeight="1">
      <c r="A11" s="51"/>
      <c r="B11" s="177" t="s">
        <v>311</v>
      </c>
      <c r="C11" s="179"/>
      <c r="D11" s="52"/>
      <c r="E11" s="179">
        <f ca="1">+'Loan Sizing'!$F$62/E9</f>
        <v>6.4450936384932961E-2</v>
      </c>
      <c r="J11" s="177" t="s">
        <v>311</v>
      </c>
      <c r="K11" s="179"/>
      <c r="M11" s="179">
        <f ca="1">+'Loan Sizing'!$G$62/M9</f>
        <v>8.6994831446388143E-2</v>
      </c>
      <c r="R11" s="177" t="s">
        <v>311</v>
      </c>
      <c r="S11" s="179"/>
      <c r="U11" s="179">
        <f ca="1">+'Loan Sizing'!$H$62/U9</f>
        <v>6.5089318305644309E-2</v>
      </c>
    </row>
    <row r="12" spans="1:21" ht="4" customHeight="1">
      <c r="A12" s="51"/>
      <c r="L12" s="53"/>
      <c r="M12" s="53"/>
      <c r="T12" s="53"/>
      <c r="U12" s="53"/>
    </row>
    <row r="13" spans="1:21" ht="16" customHeight="1">
      <c r="A13" s="51"/>
      <c r="B13" s="51" t="s">
        <v>349</v>
      </c>
      <c r="D13" s="52"/>
      <c r="E13" s="52"/>
      <c r="J13" s="51" t="s">
        <v>349</v>
      </c>
      <c r="R13" s="51" t="s">
        <v>349</v>
      </c>
    </row>
    <row r="14" spans="1:21" ht="16" customHeight="1">
      <c r="A14" s="51"/>
      <c r="B14" s="173" t="s">
        <v>337</v>
      </c>
      <c r="C14" s="178"/>
      <c r="D14" s="52"/>
      <c r="E14" s="178">
        <f ca="1">+'Phase I Pro Forma'!$D$311</f>
        <v>0.26008083120371395</v>
      </c>
      <c r="J14" s="173" t="s">
        <v>337</v>
      </c>
      <c r="K14" s="178"/>
      <c r="M14" s="178">
        <f ca="1">+'Phase II Pro Forma'!$D$315</f>
        <v>0.32546783189453388</v>
      </c>
      <c r="R14" s="173" t="s">
        <v>337</v>
      </c>
      <c r="S14" s="178"/>
      <c r="U14" s="178">
        <f ca="1">+'Phase III Pro Forma'!$D$311</f>
        <v>0.31217669917177293</v>
      </c>
    </row>
    <row r="15" spans="1:21" ht="16" customHeight="1">
      <c r="A15" s="51"/>
      <c r="B15" s="175" t="s">
        <v>375</v>
      </c>
      <c r="C15" s="222"/>
      <c r="D15" s="52"/>
      <c r="E15" s="222">
        <f ca="1">+'Phase I Pro Forma'!$D$353</f>
        <v>0.14466080366738621</v>
      </c>
      <c r="J15" s="175" t="s">
        <v>375</v>
      </c>
      <c r="K15" s="222"/>
      <c r="M15" s="222">
        <f ca="1">+'Phase II Pro Forma'!$D$358</f>
        <v>0.15590292187162347</v>
      </c>
      <c r="R15" s="175" t="s">
        <v>375</v>
      </c>
      <c r="S15" s="222"/>
      <c r="U15" s="222">
        <f ca="1">+'Phase III Pro Forma'!$D$353</f>
        <v>0.18557150677640988</v>
      </c>
    </row>
    <row r="16" spans="1:21" ht="16" customHeight="1">
      <c r="A16" s="51"/>
      <c r="B16" s="175" t="s">
        <v>685</v>
      </c>
      <c r="C16" s="222"/>
      <c r="D16" s="52"/>
      <c r="E16" s="222">
        <f ca="1">+'Cash Flow Roll-up'!$E$55</f>
        <v>0.37369436990935428</v>
      </c>
      <c r="J16" s="175" t="s">
        <v>685</v>
      </c>
      <c r="K16" s="222"/>
      <c r="M16" s="222">
        <f ca="1">+'Cash Flow Roll-up'!$E$56</f>
        <v>0.54026291475144628</v>
      </c>
      <c r="R16" s="175" t="s">
        <v>685</v>
      </c>
      <c r="S16" s="222"/>
      <c r="U16" s="222">
        <f ca="1">+'Cash Flow Roll-up'!$E$57</f>
        <v>0.36994413526402048</v>
      </c>
    </row>
    <row r="17" spans="1:21" ht="16" customHeight="1">
      <c r="A17" s="51"/>
      <c r="B17" s="175" t="s">
        <v>571</v>
      </c>
      <c r="C17" s="222"/>
      <c r="D17" s="52"/>
      <c r="E17" s="222">
        <f ca="1">+'Phase I Pro Forma'!$D$383</f>
        <v>0.19240188617109302</v>
      </c>
      <c r="J17" s="175" t="s">
        <v>571</v>
      </c>
      <c r="K17" s="222"/>
      <c r="M17" s="222">
        <f ca="1">+'Phase II Pro Forma'!$D$388</f>
        <v>0.19974112747097636</v>
      </c>
      <c r="R17" s="175" t="s">
        <v>571</v>
      </c>
      <c r="S17" s="222"/>
      <c r="U17" s="222">
        <f ca="1">+'Phase III Pro Forma'!$D$383</f>
        <v>0.22301266873090925</v>
      </c>
    </row>
    <row r="18" spans="1:21" ht="16" customHeight="1">
      <c r="A18" s="51"/>
      <c r="B18" s="177" t="s">
        <v>336</v>
      </c>
      <c r="C18" s="179"/>
      <c r="D18" s="52"/>
      <c r="E18" s="206">
        <f ca="1">+'Phase I Pro Forma'!$D$313</f>
        <v>5.1316851365808551</v>
      </c>
      <c r="J18" s="177" t="s">
        <v>336</v>
      </c>
      <c r="K18" s="179"/>
      <c r="M18" s="206">
        <f ca="1">+'Phase II Pro Forma'!$D$317</f>
        <v>1.7672662586668497</v>
      </c>
      <c r="R18" s="177" t="s">
        <v>336</v>
      </c>
      <c r="S18" s="179"/>
      <c r="U18" s="206">
        <f ca="1">+'Phase III Pro Forma'!$D$313</f>
        <v>4.2594058093610494</v>
      </c>
    </row>
    <row r="19" spans="1:21" ht="16" customHeight="1">
      <c r="A19" s="51"/>
      <c r="D19" s="54"/>
    </row>
    <row r="20" spans="1:21" ht="16" customHeight="1" thickBot="1">
      <c r="A20" s="51"/>
      <c r="D20" s="54"/>
      <c r="F20" s="953" t="s">
        <v>227</v>
      </c>
      <c r="G20" s="953"/>
      <c r="H20" s="953"/>
      <c r="J20" s="954" t="s">
        <v>213</v>
      </c>
      <c r="K20" s="954"/>
      <c r="L20" s="54"/>
      <c r="M20" s="50" t="s">
        <v>62</v>
      </c>
      <c r="N20" s="50" t="str">
        <f>+F$21</f>
        <v>I</v>
      </c>
      <c r="O20" s="50" t="str">
        <f>+G$21</f>
        <v>II</v>
      </c>
      <c r="P20" s="50" t="str">
        <f>+H$21</f>
        <v>III</v>
      </c>
    </row>
    <row r="21" spans="1:21" ht="16" customHeight="1" thickBot="1">
      <c r="B21" s="954" t="s">
        <v>103</v>
      </c>
      <c r="C21" s="954"/>
      <c r="D21" s="54"/>
      <c r="E21" s="50" t="s">
        <v>62</v>
      </c>
      <c r="F21" s="126" t="s">
        <v>193</v>
      </c>
      <c r="G21" s="126" t="s">
        <v>225</v>
      </c>
      <c r="H21" s="126" t="s">
        <v>226</v>
      </c>
      <c r="J21" s="97" t="s">
        <v>216</v>
      </c>
      <c r="R21" s="952"/>
      <c r="S21" s="952"/>
    </row>
    <row r="22" spans="1:21" ht="16" customHeight="1">
      <c r="B22" s="55" t="s">
        <v>104</v>
      </c>
      <c r="C22" s="54"/>
      <c r="D22" s="54"/>
      <c r="E22" s="56">
        <f>+MIN(F22:H22)</f>
        <v>44561</v>
      </c>
      <c r="F22" s="57">
        <v>44561</v>
      </c>
      <c r="G22" s="57">
        <f>EOMONTH(F22,F25)</f>
        <v>45291</v>
      </c>
      <c r="H22" s="57">
        <f>EOMONTH(G22,G25)</f>
        <v>46022</v>
      </c>
      <c r="J22" s="64" t="s">
        <v>809</v>
      </c>
      <c r="K22" s="54"/>
      <c r="L22" s="54"/>
      <c r="M22" s="61">
        <f t="shared" ref="M22:M31" si="0">+SUM(N22:P22)</f>
        <v>530850.01160000009</v>
      </c>
      <c r="N22" s="66">
        <f>+F55</f>
        <v>530850</v>
      </c>
      <c r="O22" s="66">
        <f>+G55</f>
        <v>5.7999999999999996E-3</v>
      </c>
      <c r="P22" s="66">
        <f>+H55</f>
        <v>5.7999999999999996E-3</v>
      </c>
      <c r="R22" s="371"/>
      <c r="S22" s="372"/>
    </row>
    <row r="23" spans="1:21" ht="16" customHeight="1">
      <c r="B23" s="55" t="s">
        <v>105</v>
      </c>
      <c r="C23" s="54"/>
      <c r="E23" s="54"/>
      <c r="F23" s="58">
        <v>12</v>
      </c>
      <c r="G23" s="58">
        <v>12</v>
      </c>
      <c r="H23" s="58">
        <v>12</v>
      </c>
      <c r="J23" s="64" t="s">
        <v>804</v>
      </c>
      <c r="K23" s="54"/>
      <c r="L23" s="54"/>
      <c r="M23" s="61">
        <f t="shared" si="0"/>
        <v>642000.00925</v>
      </c>
      <c r="N23" s="66">
        <f>+F83</f>
        <v>243800.0018</v>
      </c>
      <c r="O23" s="66">
        <f>+G83</f>
        <v>7.45E-3</v>
      </c>
      <c r="P23" s="66">
        <f>+H83</f>
        <v>398200</v>
      </c>
      <c r="R23" s="371"/>
      <c r="S23" s="372"/>
    </row>
    <row r="24" spans="1:21" ht="16" customHeight="1">
      <c r="B24" s="55" t="s">
        <v>106</v>
      </c>
      <c r="C24" s="54"/>
      <c r="E24" s="54"/>
      <c r="F24" s="56">
        <f>+EOMONTH(F22,F23)</f>
        <v>44926</v>
      </c>
      <c r="G24" s="56">
        <f t="shared" ref="G24:H24" si="1">+EOMONTH(G22,G23)</f>
        <v>45657</v>
      </c>
      <c r="H24" s="56">
        <f t="shared" si="1"/>
        <v>46387</v>
      </c>
      <c r="J24" s="64" t="s">
        <v>25</v>
      </c>
      <c r="K24" s="54"/>
      <c r="L24" s="54"/>
      <c r="M24" s="61">
        <f t="shared" si="0"/>
        <v>394772.00000200002</v>
      </c>
      <c r="N24" s="66">
        <f>+F137</f>
        <v>394772</v>
      </c>
      <c r="O24" s="66">
        <f>+G137</f>
        <v>9.9999999999999995E-7</v>
      </c>
      <c r="P24" s="66">
        <f>+H137</f>
        <v>9.9999999999999995E-7</v>
      </c>
      <c r="R24" s="371"/>
      <c r="S24" s="372"/>
    </row>
    <row r="25" spans="1:21" ht="16" customHeight="1">
      <c r="B25" s="55" t="s">
        <v>107</v>
      </c>
      <c r="C25" s="54"/>
      <c r="D25" s="54"/>
      <c r="E25" s="54"/>
      <c r="F25" s="58">
        <v>24</v>
      </c>
      <c r="G25" s="58">
        <v>24</v>
      </c>
      <c r="H25" s="58">
        <v>36</v>
      </c>
      <c r="J25" s="64" t="s">
        <v>26</v>
      </c>
      <c r="K25" s="54"/>
      <c r="L25" s="54"/>
      <c r="M25" s="61">
        <f t="shared" si="0"/>
        <v>5.4000000000000003E-3</v>
      </c>
      <c r="N25" s="66">
        <f>+F99</f>
        <v>4.5000000000000005E-3</v>
      </c>
      <c r="O25" s="66">
        <f>+G99</f>
        <v>4.4999999999999999E-4</v>
      </c>
      <c r="P25" s="66">
        <f>+H99</f>
        <v>4.4999999999999999E-4</v>
      </c>
      <c r="R25" s="371"/>
      <c r="S25" s="372"/>
    </row>
    <row r="26" spans="1:21" ht="16" customHeight="1">
      <c r="B26" s="55" t="s">
        <v>108</v>
      </c>
      <c r="C26" s="54"/>
      <c r="D26" s="54"/>
      <c r="E26" s="54"/>
      <c r="F26" s="56">
        <f>+EOMONTH(F24,F25)</f>
        <v>45657</v>
      </c>
      <c r="G26" s="56">
        <f t="shared" ref="G26:H26" si="2">+EOMONTH(G24,G25)</f>
        <v>46387</v>
      </c>
      <c r="H26" s="56">
        <f t="shared" si="2"/>
        <v>47483</v>
      </c>
      <c r="J26" s="64" t="s">
        <v>827</v>
      </c>
      <c r="K26" s="54"/>
      <c r="L26" s="54"/>
      <c r="M26" s="61">
        <f t="shared" si="0"/>
        <v>319455.00002000004</v>
      </c>
      <c r="N26" s="66">
        <f>+F154</f>
        <v>1.0000000000000001E-5</v>
      </c>
      <c r="O26" s="66">
        <f>+G154</f>
        <v>319455</v>
      </c>
      <c r="P26" s="66">
        <f>+H154</f>
        <v>1.0000000000000001E-5</v>
      </c>
      <c r="R26" s="371"/>
      <c r="S26" s="372"/>
    </row>
    <row r="27" spans="1:21" ht="16" customHeight="1">
      <c r="B27" s="55" t="s">
        <v>109</v>
      </c>
      <c r="C27" s="54"/>
      <c r="D27" s="54"/>
      <c r="E27" s="54"/>
      <c r="F27" s="58">
        <v>24</v>
      </c>
      <c r="G27" s="58">
        <v>24</v>
      </c>
      <c r="H27" s="58">
        <v>24</v>
      </c>
      <c r="J27" s="64" t="s">
        <v>139</v>
      </c>
      <c r="K27" s="54"/>
      <c r="L27" s="54"/>
      <c r="M27" s="61">
        <f t="shared" si="0"/>
        <v>905586.00000200002</v>
      </c>
      <c r="N27" s="66">
        <f>+F172</f>
        <v>193534</v>
      </c>
      <c r="O27" s="66">
        <f>+G172</f>
        <v>9.9999999999999995E-7</v>
      </c>
      <c r="P27" s="66">
        <f>+H172</f>
        <v>712052.00000100001</v>
      </c>
      <c r="R27" s="371"/>
      <c r="S27" s="372"/>
    </row>
    <row r="28" spans="1:21" ht="16" customHeight="1">
      <c r="B28" s="55" t="s">
        <v>110</v>
      </c>
      <c r="C28" s="54"/>
      <c r="D28" s="54"/>
      <c r="E28" s="54"/>
      <c r="F28" s="56">
        <f>+EOMONTH(F26,F27)</f>
        <v>46387</v>
      </c>
      <c r="G28" s="56">
        <f t="shared" ref="G28:H28" si="3">+EOMONTH(G26,G27)</f>
        <v>47118</v>
      </c>
      <c r="H28" s="56">
        <f t="shared" si="3"/>
        <v>48213</v>
      </c>
      <c r="J28" s="64" t="s">
        <v>710</v>
      </c>
      <c r="M28" s="61">
        <f t="shared" si="0"/>
        <v>140524.00010100001</v>
      </c>
      <c r="N28" s="66">
        <f>+F218</f>
        <v>9.9999999999999995E-7</v>
      </c>
      <c r="O28" s="66">
        <f>+G218</f>
        <v>140524</v>
      </c>
      <c r="P28" s="66">
        <f>+H218</f>
        <v>1E-4</v>
      </c>
      <c r="R28" s="371"/>
      <c r="S28" s="372"/>
    </row>
    <row r="29" spans="1:21" ht="16" customHeight="1">
      <c r="B29" s="55" t="s">
        <v>111</v>
      </c>
      <c r="C29" s="54"/>
      <c r="D29" s="54"/>
      <c r="E29" s="58">
        <v>120</v>
      </c>
      <c r="F29" s="59">
        <f>+$E$29</f>
        <v>120</v>
      </c>
      <c r="G29" s="59">
        <f t="shared" ref="G29:H29" si="4">+$E$29</f>
        <v>120</v>
      </c>
      <c r="H29" s="59">
        <f t="shared" si="4"/>
        <v>120</v>
      </c>
      <c r="J29" s="64" t="s">
        <v>201</v>
      </c>
      <c r="M29" s="61">
        <f t="shared" si="0"/>
        <v>667580.00029999996</v>
      </c>
      <c r="N29" s="66">
        <f t="shared" ref="N29:P30" si="5">+F204</f>
        <v>244252</v>
      </c>
      <c r="O29" s="66">
        <f t="shared" si="5"/>
        <v>2.9999999999999997E-4</v>
      </c>
      <c r="P29" s="66">
        <f t="shared" si="5"/>
        <v>423328</v>
      </c>
      <c r="R29" s="371"/>
      <c r="S29" s="372"/>
    </row>
    <row r="30" spans="1:21" ht="16" customHeight="1">
      <c r="B30" s="52" t="s">
        <v>112</v>
      </c>
      <c r="F30" s="56">
        <f>+EOMONTH($E$22,F29)</f>
        <v>48213</v>
      </c>
      <c r="G30" s="56">
        <f>+EOMONTH($E$22,G29)</f>
        <v>48213</v>
      </c>
      <c r="H30" s="56">
        <f>+EOMONTH($E$22,H29)</f>
        <v>48213</v>
      </c>
      <c r="J30" s="64" t="s">
        <v>28</v>
      </c>
      <c r="M30" s="61">
        <f t="shared" si="0"/>
        <v>0</v>
      </c>
      <c r="N30" s="66">
        <f>+F205</f>
        <v>0</v>
      </c>
      <c r="O30" s="66">
        <f t="shared" si="5"/>
        <v>0</v>
      </c>
      <c r="P30" s="66">
        <f t="shared" si="5"/>
        <v>0</v>
      </c>
      <c r="R30" s="371"/>
      <c r="S30" s="372"/>
    </row>
    <row r="31" spans="1:21" ht="16" customHeight="1">
      <c r="J31" s="76" t="s">
        <v>217</v>
      </c>
      <c r="K31" s="76"/>
      <c r="L31" s="76"/>
      <c r="M31" s="131">
        <f t="shared" si="0"/>
        <v>3600767.0266749999</v>
      </c>
      <c r="N31" s="132">
        <f>+SUM(N22:N30)</f>
        <v>1607208.0063110001</v>
      </c>
      <c r="O31" s="132">
        <f>+SUM(O22:O30)</f>
        <v>459979.01400200004</v>
      </c>
      <c r="P31" s="132">
        <f>+SUM(P22:P30)</f>
        <v>1533580.006362</v>
      </c>
      <c r="R31" s="371"/>
      <c r="S31" s="372"/>
    </row>
    <row r="32" spans="1:21" ht="16" customHeight="1">
      <c r="B32" s="845"/>
      <c r="F32" s="60"/>
      <c r="G32" s="60"/>
      <c r="H32" s="60"/>
      <c r="R32" s="196"/>
    </row>
    <row r="33" spans="2:18" ht="16" customHeight="1" thickBot="1">
      <c r="B33" s="954" t="s">
        <v>805</v>
      </c>
      <c r="C33" s="954"/>
      <c r="D33" s="54"/>
      <c r="E33" s="50" t="s">
        <v>62</v>
      </c>
      <c r="F33" s="50" t="str">
        <f>+F$21</f>
        <v>I</v>
      </c>
      <c r="G33" s="50" t="str">
        <f t="shared" ref="G33:H33" si="6">+G$21</f>
        <v>II</v>
      </c>
      <c r="H33" s="50" t="str">
        <f t="shared" si="6"/>
        <v>III</v>
      </c>
      <c r="J33" s="97" t="s">
        <v>215</v>
      </c>
    </row>
    <row r="34" spans="2:18" ht="16" customHeight="1">
      <c r="B34" s="55" t="s">
        <v>114</v>
      </c>
      <c r="C34" s="54"/>
      <c r="D34" s="54"/>
      <c r="E34" s="61"/>
      <c r="F34" s="370">
        <v>300</v>
      </c>
      <c r="G34" s="370">
        <v>1.0000000000000001E-5</v>
      </c>
      <c r="H34" s="370">
        <v>1.0000000000000001E-5</v>
      </c>
      <c r="J34" s="64" t="s">
        <v>136</v>
      </c>
      <c r="K34" s="54"/>
      <c r="L34" s="54"/>
      <c r="M34" s="61">
        <f t="shared" ref="M34:M43" si="7">+SUM(N34:P34)</f>
        <v>637020.01392000006</v>
      </c>
      <c r="N34" s="370">
        <f>N22*1.2</f>
        <v>637020</v>
      </c>
      <c r="O34" s="370">
        <f t="shared" ref="O34:P34" si="8">O22*1.2</f>
        <v>6.9599999999999992E-3</v>
      </c>
      <c r="P34" s="370">
        <f t="shared" si="8"/>
        <v>6.9599999999999992E-3</v>
      </c>
      <c r="Q34" s="60">
        <v>0</v>
      </c>
      <c r="R34" s="196"/>
    </row>
    <row r="35" spans="2:18" ht="16" customHeight="1">
      <c r="B35" s="64" t="s">
        <v>116</v>
      </c>
      <c r="C35" s="54"/>
      <c r="D35" s="54"/>
      <c r="E35" s="65">
        <v>430</v>
      </c>
      <c r="F35" s="66">
        <f>$E35</f>
        <v>430</v>
      </c>
      <c r="G35" s="66">
        <f t="shared" ref="G35:H35" si="9">$E35</f>
        <v>430</v>
      </c>
      <c r="H35" s="66">
        <f t="shared" si="9"/>
        <v>430</v>
      </c>
      <c r="J35" s="64" t="s">
        <v>804</v>
      </c>
      <c r="K35" s="54"/>
      <c r="L35" s="54"/>
      <c r="M35" s="61">
        <f t="shared" si="7"/>
        <v>770400.0111</v>
      </c>
      <c r="N35" s="370">
        <f t="shared" ref="N35:P35" si="10">N23*1.2</f>
        <v>292560.00215999997</v>
      </c>
      <c r="O35" s="370">
        <f t="shared" si="10"/>
        <v>8.94E-3</v>
      </c>
      <c r="P35" s="370">
        <f t="shared" si="10"/>
        <v>477840</v>
      </c>
      <c r="Q35" s="60">
        <f>+Q34+1</f>
        <v>1</v>
      </c>
    </row>
    <row r="36" spans="2:18" ht="16" customHeight="1">
      <c r="B36" s="64" t="s">
        <v>118</v>
      </c>
      <c r="C36" s="54"/>
      <c r="D36" s="54"/>
      <c r="E36" s="54"/>
      <c r="F36" s="69">
        <f>+F37*12/F35</f>
        <v>25</v>
      </c>
      <c r="G36" s="69">
        <f t="shared" ref="G36:H36" si="11">+G37*12/G35</f>
        <v>26.009999999999998</v>
      </c>
      <c r="H36" s="69">
        <f t="shared" si="11"/>
        <v>27.602020079999996</v>
      </c>
      <c r="J36" s="64" t="s">
        <v>25</v>
      </c>
      <c r="K36" s="54"/>
      <c r="L36" s="54"/>
      <c r="M36" s="61">
        <f t="shared" si="7"/>
        <v>473726.40000239998</v>
      </c>
      <c r="N36" s="370">
        <f t="shared" ref="N36:P36" si="12">N24*1.2</f>
        <v>473726.39999999997</v>
      </c>
      <c r="O36" s="370">
        <f t="shared" si="12"/>
        <v>1.1999999999999999E-6</v>
      </c>
      <c r="P36" s="370">
        <f t="shared" si="12"/>
        <v>1.1999999999999999E-6</v>
      </c>
      <c r="Q36" s="60">
        <f t="shared" ref="Q36:Q42" si="13">+Q35+1</f>
        <v>2</v>
      </c>
    </row>
    <row r="37" spans="2:18" ht="16" customHeight="1">
      <c r="B37" s="64" t="s">
        <v>119</v>
      </c>
      <c r="C37" s="54"/>
      <c r="D37" s="54"/>
      <c r="E37" s="70"/>
      <c r="F37" s="221">
        <f>25*F35/12</f>
        <v>895.83333333333337</v>
      </c>
      <c r="G37" s="221">
        <f>+F37*(1+0.02)^2</f>
        <v>932.02499999999998</v>
      </c>
      <c r="H37" s="221">
        <f>+G37*(1+0.02)^3</f>
        <v>989.07238619999987</v>
      </c>
      <c r="J37" s="64" t="s">
        <v>26</v>
      </c>
      <c r="K37" s="54"/>
      <c r="L37" s="54"/>
      <c r="M37" s="61">
        <f t="shared" si="7"/>
        <v>6.4799999999999996E-3</v>
      </c>
      <c r="N37" s="370">
        <f t="shared" ref="N37:P37" si="14">N25*1.2</f>
        <v>5.4000000000000003E-3</v>
      </c>
      <c r="O37" s="370">
        <f t="shared" si="14"/>
        <v>5.4000000000000001E-4</v>
      </c>
      <c r="P37" s="370">
        <f t="shared" si="14"/>
        <v>5.4000000000000001E-4</v>
      </c>
      <c r="Q37" s="60">
        <f t="shared" si="13"/>
        <v>3</v>
      </c>
    </row>
    <row r="38" spans="2:18" ht="16" customHeight="1">
      <c r="B38" s="55" t="s">
        <v>121</v>
      </c>
      <c r="C38" s="54"/>
      <c r="D38" s="54"/>
      <c r="E38" s="61"/>
      <c r="F38" s="370">
        <v>200</v>
      </c>
      <c r="G38" s="370">
        <v>0</v>
      </c>
      <c r="H38" s="370">
        <v>0</v>
      </c>
      <c r="J38" s="64" t="s">
        <v>808</v>
      </c>
      <c r="K38" s="54"/>
      <c r="L38" s="54"/>
      <c r="M38" s="61">
        <f t="shared" si="7"/>
        <v>383346.00002399995</v>
      </c>
      <c r="N38" s="370">
        <f t="shared" ref="N38:P38" si="15">N26*1.2</f>
        <v>1.2E-5</v>
      </c>
      <c r="O38" s="370">
        <f t="shared" si="15"/>
        <v>383346</v>
      </c>
      <c r="P38" s="370">
        <f t="shared" si="15"/>
        <v>1.2E-5</v>
      </c>
      <c r="Q38" s="60">
        <f t="shared" si="13"/>
        <v>4</v>
      </c>
    </row>
    <row r="39" spans="2:18" ht="16" customHeight="1">
      <c r="B39" s="64" t="s">
        <v>116</v>
      </c>
      <c r="C39" s="54"/>
      <c r="D39" s="54"/>
      <c r="E39" s="65">
        <v>590</v>
      </c>
      <c r="F39" s="66">
        <f>$E39</f>
        <v>590</v>
      </c>
      <c r="G39" s="66">
        <f t="shared" ref="G39:H39" si="16">$E39</f>
        <v>590</v>
      </c>
      <c r="H39" s="66">
        <f t="shared" si="16"/>
        <v>590</v>
      </c>
      <c r="J39" s="64" t="s">
        <v>139</v>
      </c>
      <c r="K39" s="54"/>
      <c r="L39" s="54"/>
      <c r="M39" s="61">
        <f t="shared" si="7"/>
        <v>1086703.2000024</v>
      </c>
      <c r="N39" s="370">
        <f t="shared" ref="N39:P39" si="17">N27*1.2</f>
        <v>232240.8</v>
      </c>
      <c r="O39" s="370">
        <f t="shared" si="17"/>
        <v>1.1999999999999999E-6</v>
      </c>
      <c r="P39" s="370">
        <f t="shared" si="17"/>
        <v>854462.40000120003</v>
      </c>
      <c r="Q39" s="60">
        <f t="shared" si="13"/>
        <v>5</v>
      </c>
    </row>
    <row r="40" spans="2:18" ht="16" customHeight="1">
      <c r="B40" s="64" t="s">
        <v>118</v>
      </c>
      <c r="C40" s="54"/>
      <c r="D40" s="54"/>
      <c r="E40" s="54"/>
      <c r="F40" s="69">
        <f>+F41*12/F39</f>
        <v>23</v>
      </c>
      <c r="G40" s="69">
        <f t="shared" ref="G40:H40" si="18">+G41*12/G39</f>
        <v>23.929199999999998</v>
      </c>
      <c r="H40" s="69">
        <f t="shared" si="18"/>
        <v>25.393858473599995</v>
      </c>
      <c r="J40" s="64" t="s">
        <v>710</v>
      </c>
      <c r="M40" s="61">
        <f t="shared" si="7"/>
        <v>168628.80012120001</v>
      </c>
      <c r="N40" s="370">
        <f t="shared" ref="N40:P40" si="19">N28*1.2</f>
        <v>1.1999999999999999E-6</v>
      </c>
      <c r="O40" s="370">
        <f t="shared" si="19"/>
        <v>168628.8</v>
      </c>
      <c r="P40" s="370">
        <f t="shared" si="19"/>
        <v>1.2E-4</v>
      </c>
      <c r="Q40" s="60">
        <f t="shared" si="13"/>
        <v>6</v>
      </c>
    </row>
    <row r="41" spans="2:18" ht="16" customHeight="1">
      <c r="B41" s="64" t="s">
        <v>119</v>
      </c>
      <c r="C41" s="54"/>
      <c r="D41" s="54"/>
      <c r="E41" s="70"/>
      <c r="F41" s="221">
        <f>23*F39/12</f>
        <v>1130.8333333333333</v>
      </c>
      <c r="G41" s="221">
        <f>+F41*(1+0.02)^2</f>
        <v>1176.519</v>
      </c>
      <c r="H41" s="221">
        <f>+G41*(1+0.02)^3</f>
        <v>1248.5313749519999</v>
      </c>
      <c r="J41" s="64" t="s">
        <v>201</v>
      </c>
      <c r="M41" s="61">
        <f t="shared" si="7"/>
        <v>801096.00035999995</v>
      </c>
      <c r="N41" s="370">
        <f t="shared" ref="N41:P41" si="20">N29*1.2</f>
        <v>293102.39999999997</v>
      </c>
      <c r="O41" s="370">
        <f t="shared" si="20"/>
        <v>3.5999999999999997E-4</v>
      </c>
      <c r="P41" s="370">
        <f t="shared" si="20"/>
        <v>507993.59999999998</v>
      </c>
      <c r="Q41" s="60">
        <f>+Q40+1</f>
        <v>7</v>
      </c>
    </row>
    <row r="42" spans="2:18" ht="16" customHeight="1">
      <c r="B42" s="55" t="s">
        <v>124</v>
      </c>
      <c r="E42" s="61"/>
      <c r="F42" s="370">
        <v>100</v>
      </c>
      <c r="G42" s="370">
        <v>0</v>
      </c>
      <c r="H42" s="370">
        <v>0</v>
      </c>
      <c r="J42" s="64" t="s">
        <v>28</v>
      </c>
      <c r="M42" s="61">
        <f t="shared" si="7"/>
        <v>0</v>
      </c>
      <c r="N42" s="370">
        <f>N30*1.2</f>
        <v>0</v>
      </c>
      <c r="O42" s="370">
        <f t="shared" ref="O42:P42" si="21">O30*1.2</f>
        <v>0</v>
      </c>
      <c r="P42" s="370">
        <f t="shared" si="21"/>
        <v>0</v>
      </c>
      <c r="Q42" s="60">
        <f t="shared" si="13"/>
        <v>8</v>
      </c>
    </row>
    <row r="43" spans="2:18" ht="16" customHeight="1">
      <c r="B43" s="64" t="s">
        <v>116</v>
      </c>
      <c r="E43" s="65">
        <v>750</v>
      </c>
      <c r="F43" s="66">
        <f t="shared" ref="F43:H43" si="22">$E43</f>
        <v>750</v>
      </c>
      <c r="G43" s="66">
        <f t="shared" si="22"/>
        <v>750</v>
      </c>
      <c r="H43" s="66">
        <f t="shared" si="22"/>
        <v>750</v>
      </c>
      <c r="J43" s="76" t="s">
        <v>218</v>
      </c>
      <c r="K43" s="76"/>
      <c r="L43" s="76"/>
      <c r="M43" s="131">
        <f t="shared" si="7"/>
        <v>4320920.4320099996</v>
      </c>
      <c r="N43" s="132">
        <f>+SUM(N34:N42)</f>
        <v>1928649.6075731998</v>
      </c>
      <c r="O43" s="132">
        <f>+SUM(O34:O42)</f>
        <v>551974.81680239993</v>
      </c>
      <c r="P43" s="132">
        <f>+SUM(P34:P42)</f>
        <v>1840296.0076343999</v>
      </c>
    </row>
    <row r="44" spans="2:18" ht="16" customHeight="1">
      <c r="B44" s="64" t="s">
        <v>118</v>
      </c>
      <c r="E44" s="54"/>
      <c r="F44" s="69">
        <f>+F45*12/F43</f>
        <v>22</v>
      </c>
      <c r="G44" s="69">
        <f t="shared" ref="G44:H44" si="23">+G45*12/G43</f>
        <v>22.8888</v>
      </c>
      <c r="H44" s="69">
        <f t="shared" si="23"/>
        <v>24.289777670399999</v>
      </c>
    </row>
    <row r="45" spans="2:18" ht="16" customHeight="1">
      <c r="B45" s="64" t="s">
        <v>119</v>
      </c>
      <c r="E45" s="70"/>
      <c r="F45" s="221">
        <f>F43*22/12</f>
        <v>1375</v>
      </c>
      <c r="G45" s="221">
        <f>+F45*(1+0.02)^2</f>
        <v>1430.55</v>
      </c>
      <c r="H45" s="221">
        <f>+G45*(1+0.02)^3</f>
        <v>1518.1111043999999</v>
      </c>
      <c r="J45" s="97" t="s">
        <v>221</v>
      </c>
    </row>
    <row r="46" spans="2:18" ht="16" customHeight="1">
      <c r="B46" s="55" t="s">
        <v>128</v>
      </c>
      <c r="E46" s="61"/>
      <c r="F46" s="370">
        <v>55</v>
      </c>
      <c r="G46" s="370">
        <v>0</v>
      </c>
      <c r="H46" s="370">
        <v>0</v>
      </c>
      <c r="J46" s="64" t="s">
        <v>136</v>
      </c>
      <c r="K46" s="54"/>
      <c r="L46" s="54"/>
      <c r="M46" s="61">
        <f>+SUM(N46:P46)</f>
        <v>755.00002199999994</v>
      </c>
      <c r="N46" s="66">
        <f>+F56</f>
        <v>755</v>
      </c>
      <c r="O46" s="66">
        <f>+G56</f>
        <v>1.1000000000000001E-5</v>
      </c>
      <c r="P46" s="66">
        <f>+H56</f>
        <v>1.1000000000000001E-5</v>
      </c>
    </row>
    <row r="47" spans="2:18" ht="16" customHeight="1">
      <c r="B47" s="64" t="s">
        <v>116</v>
      </c>
      <c r="E47" s="65">
        <f>100*10.7</f>
        <v>1070</v>
      </c>
      <c r="F47" s="66">
        <f t="shared" ref="F47:H47" si="24">$E47</f>
        <v>1070</v>
      </c>
      <c r="G47" s="66">
        <f t="shared" si="24"/>
        <v>1070</v>
      </c>
      <c r="H47" s="66">
        <f t="shared" si="24"/>
        <v>1070</v>
      </c>
      <c r="J47" s="64" t="s">
        <v>804</v>
      </c>
      <c r="M47" s="61">
        <f>+SUM(N47:P47)</f>
        <v>806.00001199999997</v>
      </c>
      <c r="N47" s="66">
        <f>+F84</f>
        <v>307.000001</v>
      </c>
      <c r="O47" s="66">
        <f>+G84</f>
        <v>1.1000000000000001E-5</v>
      </c>
      <c r="P47" s="66">
        <f>+H84</f>
        <v>499</v>
      </c>
    </row>
    <row r="48" spans="2:18" ht="16" customHeight="1">
      <c r="B48" s="64" t="s">
        <v>118</v>
      </c>
      <c r="E48" s="54"/>
      <c r="F48" s="69">
        <f>+F49*12/F47</f>
        <v>20</v>
      </c>
      <c r="G48" s="69">
        <f t="shared" ref="G48:H48" si="25">+G49*12/G47</f>
        <v>20.807999999999996</v>
      </c>
      <c r="H48" s="69">
        <f t="shared" si="25"/>
        <v>22.081616063999999</v>
      </c>
      <c r="J48" s="64" t="s">
        <v>26</v>
      </c>
      <c r="M48" s="61">
        <f>+SUM(N48:P48)</f>
        <v>1.2000000000000002E-5</v>
      </c>
      <c r="N48" s="66">
        <f>+F100</f>
        <v>1.0000000000000001E-5</v>
      </c>
      <c r="O48" s="66">
        <f>+G100</f>
        <v>9.9999999999999995E-7</v>
      </c>
      <c r="P48" s="66">
        <f>+H100</f>
        <v>9.9999999999999995E-7</v>
      </c>
    </row>
    <row r="49" spans="2:18" ht="16" customHeight="1">
      <c r="B49" s="64" t="s">
        <v>119</v>
      </c>
      <c r="E49" s="70"/>
      <c r="F49" s="221">
        <f>20*F47/12</f>
        <v>1783.3333333333333</v>
      </c>
      <c r="G49" s="221">
        <f>+F49*(1+0.02)^2</f>
        <v>1855.3799999999999</v>
      </c>
      <c r="H49" s="221">
        <f>+G49*(1+0.02)^3</f>
        <v>1968.9440990399999</v>
      </c>
      <c r="J49" s="64" t="s">
        <v>201</v>
      </c>
      <c r="M49" s="61">
        <f>+SUM(N49:P49)</f>
        <v>2225.2666676666668</v>
      </c>
      <c r="N49" s="66">
        <f>+F177+F184</f>
        <v>814.17333333333329</v>
      </c>
      <c r="O49" s="66">
        <f>+G177+G184</f>
        <v>9.9999999999999995E-7</v>
      </c>
      <c r="P49" s="66">
        <f>+H177+H184</f>
        <v>1411.0933333333332</v>
      </c>
    </row>
    <row r="50" spans="2:18" ht="16" customHeight="1">
      <c r="B50" s="55" t="s">
        <v>702</v>
      </c>
      <c r="E50" s="61"/>
      <c r="F50" s="370">
        <v>100</v>
      </c>
      <c r="G50" s="370">
        <v>9.9999999999999995E-7</v>
      </c>
      <c r="H50" s="370">
        <v>9.9999999999999995E-7</v>
      </c>
      <c r="J50" s="64" t="s">
        <v>28</v>
      </c>
      <c r="M50" s="61">
        <f>+SUM(N50:P50)</f>
        <v>0</v>
      </c>
      <c r="N50" s="66">
        <f>+F191+F197</f>
        <v>0</v>
      </c>
      <c r="O50" s="66">
        <f>+G191+G197</f>
        <v>0</v>
      </c>
      <c r="P50" s="66">
        <f>+H191+H197</f>
        <v>0</v>
      </c>
      <c r="R50" s="804">
        <f>F51*F50</f>
        <v>150000</v>
      </c>
    </row>
    <row r="51" spans="2:18" ht="16" customHeight="1">
      <c r="B51" s="64" t="s">
        <v>116</v>
      </c>
      <c r="E51" s="65">
        <v>1500</v>
      </c>
      <c r="F51" s="66">
        <f t="shared" ref="F51:H51" si="26">$E51</f>
        <v>1500</v>
      </c>
      <c r="G51" s="66">
        <f t="shared" si="26"/>
        <v>1500</v>
      </c>
      <c r="H51" s="66">
        <f t="shared" si="26"/>
        <v>1500</v>
      </c>
    </row>
    <row r="52" spans="2:18" ht="16" customHeight="1" thickBot="1">
      <c r="B52" s="64" t="s">
        <v>118</v>
      </c>
      <c r="E52" s="54"/>
      <c r="F52" s="69">
        <f>+F53*12/F51</f>
        <v>20</v>
      </c>
      <c r="G52" s="69">
        <f t="shared" ref="G52:H52" si="27">+G53*12/G51</f>
        <v>20.808</v>
      </c>
      <c r="H52" s="69">
        <f t="shared" si="27"/>
        <v>22.081616063999999</v>
      </c>
      <c r="J52" s="954" t="s">
        <v>113</v>
      </c>
      <c r="K52" s="954"/>
      <c r="L52" s="54"/>
      <c r="M52" s="50" t="s">
        <v>62</v>
      </c>
      <c r="N52" s="50" t="str">
        <f>+F$21</f>
        <v>I</v>
      </c>
      <c r="O52" s="50" t="str">
        <f>+G$21</f>
        <v>II</v>
      </c>
      <c r="P52" s="50" t="str">
        <f>+H$21</f>
        <v>III</v>
      </c>
    </row>
    <row r="53" spans="2:18" ht="16" customHeight="1">
      <c r="B53" s="64" t="s">
        <v>119</v>
      </c>
      <c r="E53" s="70"/>
      <c r="F53" s="221">
        <f>20*F51/12</f>
        <v>2500</v>
      </c>
      <c r="G53" s="221">
        <f>+F53*(1+0.02)^2</f>
        <v>2601</v>
      </c>
      <c r="H53" s="221">
        <f>+G53*(1+0.02)^3</f>
        <v>2760.2020079999998</v>
      </c>
      <c r="J53" s="63" t="s">
        <v>115</v>
      </c>
    </row>
    <row r="54" spans="2:18" ht="16" customHeight="1">
      <c r="B54" s="75" t="s">
        <v>704</v>
      </c>
      <c r="C54" s="76"/>
      <c r="D54" s="76"/>
      <c r="E54" s="77">
        <f>+SUM(F54:H54)</f>
        <v>11766000.294866109</v>
      </c>
      <c r="F54" s="78">
        <f>+F36*F35*F34+F38*F39*F40+F42*F43*F44+F46*F47*F48+F50*F51*F52</f>
        <v>11766000</v>
      </c>
      <c r="G54" s="78">
        <f>+G36*G35*G34+G38*G39*G40+G42*G43*G44+G46*G47*G48+G50*G51*G52</f>
        <v>0.14305499999999999</v>
      </c>
      <c r="H54" s="78">
        <f>+H36*H35*H34+H38*H39*H40+H42*H43*H44+H46*H47*H48+H50*H51*H52</f>
        <v>0.15181111043999998</v>
      </c>
      <c r="J54" s="64" t="s">
        <v>117</v>
      </c>
      <c r="K54" s="54"/>
      <c r="L54" s="54"/>
      <c r="M54" s="67">
        <v>0.05</v>
      </c>
      <c r="N54" s="68">
        <f t="shared" ref="N54:P60" si="28">+$M54</f>
        <v>0.05</v>
      </c>
      <c r="O54" s="68">
        <f t="shared" si="28"/>
        <v>0.05</v>
      </c>
      <c r="P54" s="68">
        <f t="shared" si="28"/>
        <v>0.05</v>
      </c>
    </row>
    <row r="55" spans="2:18" ht="16" customHeight="1">
      <c r="B55" s="79" t="s">
        <v>130</v>
      </c>
      <c r="C55" s="80"/>
      <c r="D55" s="80"/>
      <c r="E55" s="81">
        <f>+SUM(F55:H55)</f>
        <v>530850.01160000009</v>
      </c>
      <c r="F55" s="82">
        <f>+F34*F35+F38*F39+F42*F43+F46*F47+F50*F51</f>
        <v>530850</v>
      </c>
      <c r="G55" s="82">
        <f t="shared" ref="G55:H55" si="29">+G34*G35+G38*G39+G42*G43+G46*G47+G50*G51</f>
        <v>5.7999999999999996E-3</v>
      </c>
      <c r="H55" s="82">
        <f t="shared" si="29"/>
        <v>5.7999999999999996E-3</v>
      </c>
      <c r="J55" s="64" t="s">
        <v>810</v>
      </c>
      <c r="K55" s="54"/>
      <c r="L55" s="54"/>
      <c r="M55" s="67">
        <v>0.14000000000000001</v>
      </c>
      <c r="N55" s="68">
        <f t="shared" si="28"/>
        <v>0.14000000000000001</v>
      </c>
      <c r="O55" s="68">
        <f t="shared" si="28"/>
        <v>0.14000000000000001</v>
      </c>
      <c r="P55" s="68">
        <f t="shared" si="28"/>
        <v>0.14000000000000001</v>
      </c>
    </row>
    <row r="56" spans="2:18" ht="16" customHeight="1">
      <c r="B56" s="64" t="s">
        <v>131</v>
      </c>
      <c r="C56" s="53"/>
      <c r="E56" s="61">
        <f>+SUM(F56:H56)</f>
        <v>755.00002199999994</v>
      </c>
      <c r="F56" s="66">
        <f>+F34+F38+F42+F46+F50</f>
        <v>755</v>
      </c>
      <c r="G56" s="66">
        <f t="shared" ref="G56:H56" si="30">+G34+G38+G42+G46+G50</f>
        <v>1.1000000000000001E-5</v>
      </c>
      <c r="H56" s="66">
        <f t="shared" si="30"/>
        <v>1.1000000000000001E-5</v>
      </c>
      <c r="J56" s="64" t="s">
        <v>120</v>
      </c>
      <c r="K56" s="54"/>
      <c r="L56" s="54"/>
      <c r="M56" s="67">
        <v>0.10100000000000001</v>
      </c>
      <c r="N56" s="68">
        <f t="shared" si="28"/>
        <v>0.10100000000000001</v>
      </c>
      <c r="O56" s="68">
        <f t="shared" si="28"/>
        <v>0.10100000000000001</v>
      </c>
      <c r="P56" s="68">
        <f t="shared" si="28"/>
        <v>0.10100000000000001</v>
      </c>
    </row>
    <row r="57" spans="2:18" ht="16" customHeight="1">
      <c r="B57" s="64" t="s">
        <v>133</v>
      </c>
      <c r="C57" s="53"/>
      <c r="E57" s="83">
        <f>+IFERROR(E54/E55,"")</f>
        <v>22.164453306505507</v>
      </c>
      <c r="F57" s="69">
        <f>+IFERROR(F54/F55,"")</f>
        <v>22.164453235377223</v>
      </c>
      <c r="G57" s="69">
        <f t="shared" ref="G57:H57" si="31">+IFERROR(G54/G55,"")</f>
        <v>24.664655172413791</v>
      </c>
      <c r="H57" s="69">
        <f t="shared" si="31"/>
        <v>26.174329386206896</v>
      </c>
      <c r="J57" s="64" t="s">
        <v>830</v>
      </c>
      <c r="K57" s="54"/>
      <c r="L57" s="54"/>
      <c r="M57" s="67">
        <v>0</v>
      </c>
      <c r="N57" s="68">
        <f t="shared" si="28"/>
        <v>0</v>
      </c>
      <c r="O57" s="68">
        <f t="shared" si="28"/>
        <v>0</v>
      </c>
      <c r="P57" s="68">
        <f t="shared" si="28"/>
        <v>0</v>
      </c>
    </row>
    <row r="58" spans="2:18" ht="16" customHeight="1">
      <c r="B58" s="84" t="s">
        <v>134</v>
      </c>
      <c r="C58" s="85"/>
      <c r="D58" s="85"/>
      <c r="E58" s="86">
        <f>+IFERROR(E54/E56/12,"")</f>
        <v>1298.6754913924703</v>
      </c>
      <c r="F58" s="87">
        <f>+IFERROR(F54/F56/12,"")</f>
        <v>1298.6754966887418</v>
      </c>
      <c r="G58" s="87">
        <f t="shared" ref="G58:H58" si="32">+IFERROR(G54/G56/12,"")</f>
        <v>1083.7499999999998</v>
      </c>
      <c r="H58" s="87">
        <f t="shared" si="32"/>
        <v>1150.0841699999996</v>
      </c>
      <c r="J58" s="64" t="s">
        <v>122</v>
      </c>
      <c r="K58" s="54"/>
      <c r="L58" s="54"/>
      <c r="M58" s="67">
        <v>0.13600000000000001</v>
      </c>
      <c r="N58" s="68">
        <f t="shared" si="28"/>
        <v>0.13600000000000001</v>
      </c>
      <c r="O58" s="68">
        <f t="shared" si="28"/>
        <v>0.13600000000000001</v>
      </c>
      <c r="P58" s="68">
        <f t="shared" si="28"/>
        <v>0.13600000000000001</v>
      </c>
    </row>
    <row r="59" spans="2:18" ht="16" customHeight="1">
      <c r="F59" s="56" t="s">
        <v>1244</v>
      </c>
      <c r="G59" s="56"/>
      <c r="H59" s="56"/>
      <c r="J59" s="64" t="s">
        <v>819</v>
      </c>
      <c r="K59" s="54"/>
      <c r="L59" s="54"/>
      <c r="M59" s="67">
        <v>0</v>
      </c>
      <c r="N59" s="68">
        <f t="shared" si="28"/>
        <v>0</v>
      </c>
      <c r="O59" s="68">
        <f t="shared" si="28"/>
        <v>0</v>
      </c>
      <c r="P59" s="68">
        <f t="shared" si="28"/>
        <v>0</v>
      </c>
    </row>
    <row r="60" spans="2:18" ht="16" customHeight="1" thickBot="1">
      <c r="B60" s="954" t="s">
        <v>844</v>
      </c>
      <c r="C60" s="954"/>
      <c r="D60" s="54"/>
      <c r="E60" s="50" t="s">
        <v>62</v>
      </c>
      <c r="F60" s="50" t="str">
        <f>+F$21</f>
        <v>I</v>
      </c>
      <c r="G60" s="50" t="str">
        <f t="shared" ref="G60:H60" si="33">+G$21</f>
        <v>II</v>
      </c>
      <c r="H60" s="50" t="str">
        <f t="shared" si="33"/>
        <v>III</v>
      </c>
      <c r="J60" s="64" t="s">
        <v>210</v>
      </c>
      <c r="K60" s="54"/>
      <c r="L60" s="54"/>
      <c r="M60" s="67">
        <v>0.1</v>
      </c>
      <c r="N60" s="68">
        <f t="shared" si="28"/>
        <v>0.1</v>
      </c>
      <c r="O60" s="68">
        <f t="shared" si="28"/>
        <v>0.1</v>
      </c>
      <c r="P60" s="68">
        <f t="shared" si="28"/>
        <v>0.1</v>
      </c>
    </row>
    <row r="61" spans="2:18" ht="16" customHeight="1">
      <c r="B61" s="55" t="s">
        <v>114</v>
      </c>
      <c r="C61" s="54"/>
      <c r="D61" s="54"/>
      <c r="E61" s="61"/>
      <c r="F61" s="370">
        <v>100</v>
      </c>
      <c r="G61" s="370">
        <v>1.0000000000000001E-5</v>
      </c>
      <c r="H61" s="370">
        <v>200</v>
      </c>
    </row>
    <row r="62" spans="2:18" ht="16" customHeight="1">
      <c r="B62" s="64" t="s">
        <v>116</v>
      </c>
      <c r="C62" s="54"/>
      <c r="D62" s="54"/>
      <c r="E62" s="65">
        <v>565</v>
      </c>
      <c r="F62" s="66">
        <f t="shared" ref="F62:H62" si="34">+$E62</f>
        <v>565</v>
      </c>
      <c r="G62" s="66">
        <f t="shared" si="34"/>
        <v>565</v>
      </c>
      <c r="H62" s="66">
        <f t="shared" si="34"/>
        <v>565</v>
      </c>
      <c r="J62" s="63" t="s">
        <v>123</v>
      </c>
      <c r="M62" s="51"/>
    </row>
    <row r="63" spans="2:18" ht="16" customHeight="1">
      <c r="B63" s="64" t="s">
        <v>118</v>
      </c>
      <c r="C63" s="54"/>
      <c r="D63" s="54"/>
      <c r="E63" s="54"/>
      <c r="F63" s="69">
        <f>+F64*12/F62</f>
        <v>33</v>
      </c>
      <c r="G63" s="69">
        <f t="shared" ref="G63:H63" si="35">+G64*12/G62</f>
        <v>44.737199999999994</v>
      </c>
      <c r="H63" s="69">
        <f t="shared" si="35"/>
        <v>47.475474537599993</v>
      </c>
      <c r="J63" s="64" t="s">
        <v>125</v>
      </c>
      <c r="M63" s="67">
        <v>0.02</v>
      </c>
      <c r="N63" s="68">
        <f t="shared" ref="N63:P74" si="36">+$M63</f>
        <v>0.02</v>
      </c>
      <c r="O63" s="68">
        <f t="shared" si="36"/>
        <v>0.02</v>
      </c>
      <c r="P63" s="68">
        <f t="shared" si="36"/>
        <v>0.02</v>
      </c>
    </row>
    <row r="64" spans="2:18" ht="16" customHeight="1">
      <c r="B64" s="64" t="s">
        <v>119</v>
      </c>
      <c r="C64" s="54"/>
      <c r="D64" s="54"/>
      <c r="E64" s="70"/>
      <c r="F64" s="221">
        <f>F62*33/12</f>
        <v>1553.75</v>
      </c>
      <c r="G64" s="221">
        <v>2106.3764999999999</v>
      </c>
      <c r="H64" s="221">
        <f>+G64*(1+0.02)^3</f>
        <v>2235.3035928119998</v>
      </c>
      <c r="J64" s="64" t="s">
        <v>811</v>
      </c>
      <c r="M64" s="67">
        <v>0.03</v>
      </c>
      <c r="N64" s="68">
        <f t="shared" si="36"/>
        <v>0.03</v>
      </c>
      <c r="O64" s="68">
        <f t="shared" si="36"/>
        <v>0.03</v>
      </c>
      <c r="P64" s="68">
        <f t="shared" si="36"/>
        <v>0.03</v>
      </c>
      <c r="R64" s="529"/>
    </row>
    <row r="65" spans="2:16" ht="16" customHeight="1">
      <c r="B65" s="55" t="s">
        <v>121</v>
      </c>
      <c r="C65" s="54"/>
      <c r="D65" s="54"/>
      <c r="E65" s="61"/>
      <c r="F65" s="370">
        <v>100</v>
      </c>
      <c r="G65" s="370">
        <v>0</v>
      </c>
      <c r="H65" s="370">
        <v>120</v>
      </c>
      <c r="J65" s="64" t="s">
        <v>126</v>
      </c>
      <c r="M65" s="67">
        <v>0.1</v>
      </c>
      <c r="N65" s="68">
        <f t="shared" si="36"/>
        <v>0.1</v>
      </c>
      <c r="O65" s="68">
        <f t="shared" si="36"/>
        <v>0.1</v>
      </c>
      <c r="P65" s="68">
        <f t="shared" si="36"/>
        <v>0.1</v>
      </c>
    </row>
    <row r="66" spans="2:16" ht="16" customHeight="1">
      <c r="B66" s="64" t="s">
        <v>116</v>
      </c>
      <c r="C66" s="54"/>
      <c r="D66" s="54"/>
      <c r="E66" s="65">
        <v>650</v>
      </c>
      <c r="F66" s="66">
        <f>+$E66</f>
        <v>650</v>
      </c>
      <c r="G66" s="66">
        <f t="shared" ref="G66:H66" si="37">+$E66</f>
        <v>650</v>
      </c>
      <c r="H66" s="66">
        <f t="shared" si="37"/>
        <v>650</v>
      </c>
      <c r="J66" s="72" t="s">
        <v>127</v>
      </c>
      <c r="M66" s="73">
        <v>5</v>
      </c>
      <c r="N66" s="74">
        <f t="shared" si="36"/>
        <v>5</v>
      </c>
      <c r="O66" s="74">
        <f t="shared" si="36"/>
        <v>5</v>
      </c>
      <c r="P66" s="74">
        <f t="shared" si="36"/>
        <v>5</v>
      </c>
    </row>
    <row r="67" spans="2:16" ht="16" customHeight="1">
      <c r="B67" s="64" t="s">
        <v>118</v>
      </c>
      <c r="C67" s="54"/>
      <c r="D67" s="54"/>
      <c r="E67" s="54"/>
      <c r="F67" s="69">
        <f>+F68*12/F66</f>
        <v>32</v>
      </c>
      <c r="G67" s="69">
        <f t="shared" ref="G67:H67" si="38">+G68*12/G66</f>
        <v>42.656400000000005</v>
      </c>
      <c r="H67" s="69">
        <f t="shared" si="38"/>
        <v>45.267312931200003</v>
      </c>
      <c r="J67" s="64" t="s">
        <v>283</v>
      </c>
      <c r="M67" s="67">
        <v>0</v>
      </c>
      <c r="N67" s="68">
        <f t="shared" si="36"/>
        <v>0</v>
      </c>
      <c r="O67" s="68">
        <f t="shared" si="36"/>
        <v>0</v>
      </c>
      <c r="P67" s="68">
        <f t="shared" si="36"/>
        <v>0</v>
      </c>
    </row>
    <row r="68" spans="2:16" ht="16" customHeight="1">
      <c r="B68" s="64" t="s">
        <v>119</v>
      </c>
      <c r="C68" s="54"/>
      <c r="D68" s="54"/>
      <c r="E68" s="70"/>
      <c r="F68" s="221">
        <f>F66*32/12</f>
        <v>1733.3333333333333</v>
      </c>
      <c r="G68" s="221">
        <v>2310.5550000000003</v>
      </c>
      <c r="H68" s="221">
        <f>+G68*(1+0.02)^3</f>
        <v>2451.9794504400002</v>
      </c>
      <c r="J68" s="64" t="s">
        <v>831</v>
      </c>
      <c r="M68" s="67">
        <v>0.05</v>
      </c>
      <c r="N68" s="68">
        <f t="shared" si="36"/>
        <v>0.05</v>
      </c>
      <c r="O68" s="68">
        <f t="shared" si="36"/>
        <v>0.05</v>
      </c>
      <c r="P68" s="68">
        <f t="shared" si="36"/>
        <v>0.05</v>
      </c>
    </row>
    <row r="69" spans="2:16" ht="16" customHeight="1">
      <c r="B69" s="55" t="s">
        <v>124</v>
      </c>
      <c r="E69" s="61"/>
      <c r="F69" s="370">
        <v>55</v>
      </c>
      <c r="G69" s="370">
        <v>0</v>
      </c>
      <c r="H69" s="370">
        <v>90</v>
      </c>
      <c r="J69" s="72" t="s">
        <v>127</v>
      </c>
      <c r="M69" s="73">
        <v>5</v>
      </c>
      <c r="N69" s="74">
        <f t="shared" si="36"/>
        <v>5</v>
      </c>
      <c r="O69" s="74">
        <f t="shared" si="36"/>
        <v>5</v>
      </c>
      <c r="P69" s="74">
        <f t="shared" si="36"/>
        <v>5</v>
      </c>
    </row>
    <row r="70" spans="2:16" ht="16" customHeight="1">
      <c r="B70" s="64" t="s">
        <v>116</v>
      </c>
      <c r="E70" s="65">
        <v>900</v>
      </c>
      <c r="F70" s="66">
        <f>+$E70</f>
        <v>900</v>
      </c>
      <c r="G70" s="66">
        <f t="shared" ref="G70:H70" si="39">+$E70</f>
        <v>900</v>
      </c>
      <c r="H70" s="66">
        <f t="shared" si="39"/>
        <v>900</v>
      </c>
      <c r="J70" s="64" t="s">
        <v>129</v>
      </c>
      <c r="M70" s="67">
        <v>0.1</v>
      </c>
      <c r="N70" s="68">
        <f t="shared" si="36"/>
        <v>0.1</v>
      </c>
      <c r="O70" s="68">
        <f t="shared" si="36"/>
        <v>0.1</v>
      </c>
      <c r="P70" s="68">
        <f t="shared" si="36"/>
        <v>0.1</v>
      </c>
    </row>
    <row r="71" spans="2:16" ht="16" customHeight="1">
      <c r="B71" s="64" t="s">
        <v>118</v>
      </c>
      <c r="E71" s="54"/>
      <c r="F71" s="69">
        <f>+F72*12/F70</f>
        <v>29</v>
      </c>
      <c r="G71" s="69">
        <f t="shared" ref="G71:H71" si="40">+G72*12/G70</f>
        <v>40.575600000000001</v>
      </c>
      <c r="H71" s="69">
        <f t="shared" si="40"/>
        <v>43.059151324799998</v>
      </c>
      <c r="J71" s="72" t="s">
        <v>127</v>
      </c>
      <c r="M71" s="73">
        <v>5</v>
      </c>
      <c r="N71" s="74">
        <f t="shared" si="36"/>
        <v>5</v>
      </c>
      <c r="O71" s="74">
        <f t="shared" si="36"/>
        <v>5</v>
      </c>
      <c r="P71" s="74">
        <f t="shared" si="36"/>
        <v>5</v>
      </c>
    </row>
    <row r="72" spans="2:16" ht="16" customHeight="1">
      <c r="B72" s="64" t="s">
        <v>119</v>
      </c>
      <c r="E72" s="70"/>
      <c r="F72" s="221">
        <f>F70*29/12</f>
        <v>2175</v>
      </c>
      <c r="G72" s="221">
        <v>3043.17</v>
      </c>
      <c r="H72" s="221">
        <f>+G72*(1+0.02)^3</f>
        <v>3229.4363493599999</v>
      </c>
      <c r="J72" s="64" t="s">
        <v>820</v>
      </c>
      <c r="M72" s="67">
        <v>0.1</v>
      </c>
      <c r="N72" s="68">
        <f t="shared" si="36"/>
        <v>0.1</v>
      </c>
      <c r="O72" s="68">
        <f t="shared" si="36"/>
        <v>0.1</v>
      </c>
      <c r="P72" s="68">
        <f t="shared" si="36"/>
        <v>0.1</v>
      </c>
    </row>
    <row r="73" spans="2:16" ht="16" customHeight="1">
      <c r="B73" s="55" t="s">
        <v>128</v>
      </c>
      <c r="E73" s="61"/>
      <c r="F73" s="370">
        <v>52</v>
      </c>
      <c r="G73" s="370">
        <v>0</v>
      </c>
      <c r="H73" s="370">
        <v>85</v>
      </c>
      <c r="J73" s="72" t="s">
        <v>127</v>
      </c>
      <c r="M73" s="73">
        <v>5</v>
      </c>
      <c r="N73" s="74">
        <f t="shared" si="36"/>
        <v>5</v>
      </c>
      <c r="O73" s="74">
        <f t="shared" si="36"/>
        <v>5</v>
      </c>
      <c r="P73" s="74">
        <f t="shared" si="36"/>
        <v>5</v>
      </c>
    </row>
    <row r="74" spans="2:16" ht="16" customHeight="1">
      <c r="B74" s="64" t="s">
        <v>116</v>
      </c>
      <c r="E74" s="65">
        <v>1400</v>
      </c>
      <c r="F74" s="66">
        <f>+$E74</f>
        <v>1400</v>
      </c>
      <c r="G74" s="66">
        <f t="shared" ref="G74:H74" si="41">+$E74</f>
        <v>1400</v>
      </c>
      <c r="H74" s="66">
        <f t="shared" si="41"/>
        <v>1400</v>
      </c>
      <c r="J74" s="135" t="s">
        <v>211</v>
      </c>
      <c r="M74" s="67">
        <v>0.02</v>
      </c>
      <c r="N74" s="68">
        <f t="shared" si="36"/>
        <v>0.02</v>
      </c>
      <c r="O74" s="68">
        <f t="shared" si="36"/>
        <v>0.02</v>
      </c>
      <c r="P74" s="68">
        <f t="shared" si="36"/>
        <v>0.02</v>
      </c>
    </row>
    <row r="75" spans="2:16" ht="16" customHeight="1">
      <c r="B75" s="64" t="s">
        <v>118</v>
      </c>
      <c r="E75" s="54"/>
      <c r="F75" s="69">
        <f>+F76*12/F74</f>
        <v>27</v>
      </c>
      <c r="G75" s="69">
        <f t="shared" ref="G75:H75" si="42">+G76*12/G74</f>
        <v>35.373600000000003</v>
      </c>
      <c r="H75" s="69">
        <f t="shared" si="42"/>
        <v>37.538747308799998</v>
      </c>
      <c r="J75" s="63" t="s">
        <v>235</v>
      </c>
      <c r="M75" s="51"/>
    </row>
    <row r="76" spans="2:16" ht="16" customHeight="1">
      <c r="B76" s="64" t="s">
        <v>119</v>
      </c>
      <c r="E76" s="70"/>
      <c r="F76" s="221">
        <f>F74*27/12</f>
        <v>3150</v>
      </c>
      <c r="G76" s="221">
        <v>4126.92</v>
      </c>
      <c r="H76" s="221">
        <f>+G76*(1+0.02)^3</f>
        <v>4379.5205193599995</v>
      </c>
      <c r="J76" s="64" t="s">
        <v>125</v>
      </c>
      <c r="M76" s="67">
        <v>0.03</v>
      </c>
      <c r="N76" s="68">
        <f t="shared" ref="N76:P82" si="43">+$M76</f>
        <v>0.03</v>
      </c>
      <c r="O76" s="68">
        <f t="shared" si="43"/>
        <v>0.03</v>
      </c>
      <c r="P76" s="68">
        <f t="shared" si="43"/>
        <v>0.03</v>
      </c>
    </row>
    <row r="77" spans="2:16" ht="16" customHeight="1">
      <c r="B77" s="55" t="s">
        <v>703</v>
      </c>
      <c r="E77" s="61"/>
      <c r="F77" s="370">
        <v>9.9999999999999995E-7</v>
      </c>
      <c r="G77" s="370">
        <v>9.9999999999999995E-7</v>
      </c>
      <c r="H77" s="370">
        <v>4</v>
      </c>
      <c r="J77" s="64" t="s">
        <v>811</v>
      </c>
      <c r="M77" s="67">
        <v>0.03</v>
      </c>
      <c r="N77" s="68">
        <f t="shared" si="43"/>
        <v>0.03</v>
      </c>
      <c r="O77" s="68">
        <f t="shared" si="43"/>
        <v>0.03</v>
      </c>
      <c r="P77" s="68">
        <f t="shared" si="43"/>
        <v>0.03</v>
      </c>
    </row>
    <row r="78" spans="2:16" ht="16" customHeight="1">
      <c r="B78" s="64" t="s">
        <v>116</v>
      </c>
      <c r="E78" s="65">
        <v>1800</v>
      </c>
      <c r="F78" s="66">
        <f>+$E78</f>
        <v>1800</v>
      </c>
      <c r="G78" s="66">
        <f t="shared" ref="G78:H78" si="44">+$E78</f>
        <v>1800</v>
      </c>
      <c r="H78" s="66">
        <f t="shared" si="44"/>
        <v>1800</v>
      </c>
      <c r="J78" s="64" t="s">
        <v>126</v>
      </c>
      <c r="M78" s="67">
        <v>0.03</v>
      </c>
      <c r="N78" s="68">
        <f t="shared" si="43"/>
        <v>0.03</v>
      </c>
      <c r="O78" s="68">
        <f t="shared" si="43"/>
        <v>0.03</v>
      </c>
      <c r="P78" s="68">
        <f t="shared" si="43"/>
        <v>0.03</v>
      </c>
    </row>
    <row r="79" spans="2:16" ht="16" customHeight="1">
      <c r="B79" s="64" t="s">
        <v>118</v>
      </c>
      <c r="E79" s="54"/>
      <c r="F79" s="69">
        <f>+F80*12/F78</f>
        <v>34</v>
      </c>
      <c r="G79" s="69">
        <f t="shared" ref="G79:H79" si="45">+G80*12/G78</f>
        <v>35.373599999999996</v>
      </c>
      <c r="H79" s="69">
        <f t="shared" si="45"/>
        <v>37.538747308800005</v>
      </c>
      <c r="J79" s="64" t="s">
        <v>831</v>
      </c>
      <c r="M79" s="67">
        <v>0.03</v>
      </c>
      <c r="N79" s="68">
        <f t="shared" si="43"/>
        <v>0.03</v>
      </c>
      <c r="O79" s="68">
        <f t="shared" si="43"/>
        <v>0.03</v>
      </c>
      <c r="P79" s="68">
        <f t="shared" si="43"/>
        <v>0.03</v>
      </c>
    </row>
    <row r="80" spans="2:16" ht="16" customHeight="1">
      <c r="B80" s="64" t="s">
        <v>119</v>
      </c>
      <c r="E80" s="70"/>
      <c r="F80" s="221">
        <f>F78*34/12</f>
        <v>5100</v>
      </c>
      <c r="G80" s="221">
        <v>5306.04</v>
      </c>
      <c r="H80" s="221">
        <f>+G80*(1+0.02)^3</f>
        <v>5630.8120963199999</v>
      </c>
      <c r="J80" s="64" t="s">
        <v>129</v>
      </c>
      <c r="M80" s="67">
        <v>0.03</v>
      </c>
      <c r="N80" s="68">
        <f t="shared" si="43"/>
        <v>0.03</v>
      </c>
      <c r="O80" s="68">
        <f t="shared" si="43"/>
        <v>0.03</v>
      </c>
      <c r="P80" s="68">
        <f t="shared" si="43"/>
        <v>0.03</v>
      </c>
    </row>
    <row r="81" spans="1:16" ht="16" customHeight="1">
      <c r="B81" s="64"/>
      <c r="E81" s="70"/>
      <c r="F81" s="71"/>
      <c r="G81" s="71"/>
      <c r="H81" s="71"/>
      <c r="J81" s="64" t="s">
        <v>820</v>
      </c>
      <c r="M81" s="67">
        <v>0.03</v>
      </c>
      <c r="N81" s="68">
        <f t="shared" si="43"/>
        <v>0.03</v>
      </c>
      <c r="O81" s="68">
        <f t="shared" si="43"/>
        <v>0.03</v>
      </c>
      <c r="P81" s="68">
        <f t="shared" si="43"/>
        <v>0.03</v>
      </c>
    </row>
    <row r="82" spans="1:16" ht="16" customHeight="1">
      <c r="B82" s="75" t="s">
        <v>141</v>
      </c>
      <c r="C82" s="76"/>
      <c r="D82" s="76"/>
      <c r="E82" s="77">
        <f>+SUM(F82:H82)</f>
        <v>24466360.576699421</v>
      </c>
      <c r="F82" s="78">
        <f>+F63*F62*F61+F65*F66*F67+F69*F70*F71+F73*F74*F75+F77*F78*F79</f>
        <v>7345600.0612000003</v>
      </c>
      <c r="G82" s="78">
        <f t="shared" ref="G82:H82" si="46">+G63*G62*G61+G65*G66*G67+G69*G70*G71+G73*G74*G75+G77*G78*G79</f>
        <v>0.31643765999999995</v>
      </c>
      <c r="H82" s="78">
        <f t="shared" si="46"/>
        <v>17120760.199061763</v>
      </c>
      <c r="J82" s="64" t="s">
        <v>211</v>
      </c>
      <c r="M82" s="67">
        <v>0.03</v>
      </c>
      <c r="N82" s="68">
        <f t="shared" si="43"/>
        <v>0.03</v>
      </c>
      <c r="O82" s="68">
        <f t="shared" si="43"/>
        <v>0.03</v>
      </c>
      <c r="P82" s="68">
        <f t="shared" si="43"/>
        <v>0.03</v>
      </c>
    </row>
    <row r="83" spans="1:16" ht="16" customHeight="1">
      <c r="B83" s="79" t="s">
        <v>130</v>
      </c>
      <c r="C83" s="80"/>
      <c r="D83" s="80"/>
      <c r="E83" s="81">
        <f>+SUM(F83:H83)</f>
        <v>642000.00925</v>
      </c>
      <c r="F83" s="82">
        <f>+F61*F62+F65*F66+F69*F70+F73*F74+F77*F78</f>
        <v>243800.0018</v>
      </c>
      <c r="G83" s="82">
        <f t="shared" ref="G83" si="47">+G61*G62+G65*G66+G69*G70+G73*G74+G77*G78</f>
        <v>7.45E-3</v>
      </c>
      <c r="H83" s="82">
        <f>+H61*H62+H65*H66+H69*H70+H73*H74+H77*H78</f>
        <v>398200</v>
      </c>
      <c r="J83" s="72"/>
      <c r="M83" s="73"/>
      <c r="N83" s="74"/>
      <c r="O83" s="74"/>
      <c r="P83" s="74"/>
    </row>
    <row r="84" spans="1:16" ht="16" customHeight="1">
      <c r="B84" s="64" t="s">
        <v>131</v>
      </c>
      <c r="C84" s="53"/>
      <c r="E84" s="61">
        <f>+SUM(F84:H84)</f>
        <v>806.00001199999997</v>
      </c>
      <c r="F84" s="66">
        <f>+F61+F65+F69+F73+F77</f>
        <v>307.000001</v>
      </c>
      <c r="G84" s="66">
        <f t="shared" ref="G84:H84" si="48">+G61+G65+G69+G73+G77</f>
        <v>1.1000000000000001E-5</v>
      </c>
      <c r="H84" s="66">
        <f t="shared" si="48"/>
        <v>499</v>
      </c>
      <c r="J84" s="63" t="s">
        <v>368</v>
      </c>
    </row>
    <row r="85" spans="1:16" ht="16" customHeight="1">
      <c r="B85" s="64" t="s">
        <v>133</v>
      </c>
      <c r="C85" s="53"/>
      <c r="E85" s="83">
        <f>+IFERROR(E82/E83,"")</f>
        <v>38.109595364775174</v>
      </c>
      <c r="F85" s="69">
        <f>+IFERROR(F82/F83,"")</f>
        <v>30.129614466639435</v>
      </c>
      <c r="G85" s="69">
        <f t="shared" ref="G85:H85" si="49">+IFERROR(G82/G83,"")</f>
        <v>42.474853691275165</v>
      </c>
      <c r="H85" s="69">
        <f t="shared" si="49"/>
        <v>42.995379706332905</v>
      </c>
      <c r="J85" s="64" t="s">
        <v>370</v>
      </c>
      <c r="M85" s="67">
        <v>0.02</v>
      </c>
      <c r="N85" s="68">
        <f t="shared" ref="N85:P85" si="50">+$M85</f>
        <v>0.02</v>
      </c>
      <c r="O85" s="68">
        <f t="shared" si="50"/>
        <v>0.02</v>
      </c>
      <c r="P85" s="68">
        <f t="shared" si="50"/>
        <v>0.02</v>
      </c>
    </row>
    <row r="86" spans="1:16" ht="16" customHeight="1">
      <c r="B86" s="84" t="s">
        <v>134</v>
      </c>
      <c r="C86" s="85"/>
      <c r="D86" s="85"/>
      <c r="E86" s="86">
        <f>+IFERROR(E82/E84/12,"")</f>
        <v>2529.6071352808099</v>
      </c>
      <c r="F86" s="87">
        <f>+IFERROR(F82/F84/12,"")</f>
        <v>1993.9196626691</v>
      </c>
      <c r="G86" s="87">
        <f t="shared" ref="G86:H86" si="51">+IFERROR(G82/G84/12,"")</f>
        <v>2397.2549999999992</v>
      </c>
      <c r="H86" s="87">
        <f t="shared" si="51"/>
        <v>2859.1783899568741</v>
      </c>
      <c r="J86" s="64" t="s">
        <v>369</v>
      </c>
      <c r="M86" s="73"/>
      <c r="N86" s="74">
        <v>0</v>
      </c>
      <c r="O86" s="74">
        <f>+YEAR(G22)-YEAR($F$22)</f>
        <v>2</v>
      </c>
      <c r="P86" s="74">
        <f>+YEAR(H22)-YEAR($F$22)</f>
        <v>4</v>
      </c>
    </row>
    <row r="88" spans="1:16" ht="16" customHeight="1">
      <c r="B88" s="63" t="s">
        <v>361</v>
      </c>
      <c r="J88" s="63" t="s">
        <v>224</v>
      </c>
      <c r="M88" s="51"/>
    </row>
    <row r="89" spans="1:16" ht="16" customHeight="1">
      <c r="B89" s="52" t="s">
        <v>363</v>
      </c>
      <c r="E89" s="70">
        <v>5</v>
      </c>
      <c r="F89" s="71">
        <f>+$E89</f>
        <v>5</v>
      </c>
      <c r="G89" s="71">
        <f t="shared" ref="G89:H90" si="52">+$E89</f>
        <v>5</v>
      </c>
      <c r="H89" s="71">
        <f t="shared" si="52"/>
        <v>5</v>
      </c>
      <c r="J89" s="64" t="s">
        <v>132</v>
      </c>
      <c r="K89" s="54"/>
      <c r="L89" s="54"/>
      <c r="M89" s="67">
        <v>0.8</v>
      </c>
      <c r="N89" s="92">
        <v>0.8</v>
      </c>
      <c r="O89" s="92">
        <v>0.9</v>
      </c>
      <c r="P89" s="92">
        <v>0.9</v>
      </c>
    </row>
    <row r="90" spans="1:16" ht="16" customHeight="1">
      <c r="B90" s="52" t="s">
        <v>362</v>
      </c>
      <c r="E90" s="70">
        <v>55</v>
      </c>
      <c r="F90" s="71">
        <f>+$E90</f>
        <v>55</v>
      </c>
      <c r="G90" s="71">
        <f t="shared" si="52"/>
        <v>55</v>
      </c>
      <c r="H90" s="71">
        <f t="shared" si="52"/>
        <v>55</v>
      </c>
      <c r="J90" s="64" t="s">
        <v>832</v>
      </c>
      <c r="K90" s="54"/>
      <c r="L90" s="54"/>
      <c r="M90" s="67">
        <v>1</v>
      </c>
      <c r="N90" s="68">
        <f t="shared" ref="N90:P92" si="53">+$M90</f>
        <v>1</v>
      </c>
      <c r="O90" s="68">
        <f t="shared" si="53"/>
        <v>1</v>
      </c>
      <c r="P90" s="68">
        <f t="shared" si="53"/>
        <v>1</v>
      </c>
    </row>
    <row r="91" spans="1:16" ht="16" customHeight="1">
      <c r="J91" s="64" t="s">
        <v>135</v>
      </c>
      <c r="K91" s="54"/>
      <c r="L91" s="54"/>
      <c r="M91" s="67">
        <v>0.9</v>
      </c>
      <c r="N91" s="68">
        <f t="shared" si="53"/>
        <v>0.9</v>
      </c>
      <c r="O91" s="68">
        <f t="shared" si="53"/>
        <v>0.9</v>
      </c>
      <c r="P91" s="68">
        <f t="shared" si="53"/>
        <v>0.9</v>
      </c>
    </row>
    <row r="92" spans="1:16" ht="42.75" customHeight="1" thickBot="1">
      <c r="B92" s="954" t="s">
        <v>142</v>
      </c>
      <c r="C92" s="954"/>
      <c r="D92" s="54"/>
      <c r="E92" s="50" t="s">
        <v>62</v>
      </c>
      <c r="F92" s="111" t="s">
        <v>574</v>
      </c>
      <c r="G92" s="111" t="s">
        <v>575</v>
      </c>
      <c r="H92" s="111" t="s">
        <v>667</v>
      </c>
      <c r="J92" s="64" t="s">
        <v>821</v>
      </c>
      <c r="K92" s="54"/>
      <c r="L92" s="54"/>
      <c r="M92" s="67">
        <v>1</v>
      </c>
      <c r="N92" s="68">
        <f t="shared" si="53"/>
        <v>1</v>
      </c>
      <c r="O92" s="68">
        <f t="shared" si="53"/>
        <v>1</v>
      </c>
      <c r="P92" s="68">
        <f t="shared" si="53"/>
        <v>1</v>
      </c>
    </row>
    <row r="93" spans="1:16" ht="16" customHeight="1">
      <c r="B93" s="55" t="s">
        <v>144</v>
      </c>
      <c r="C93" s="54"/>
      <c r="D93" s="54"/>
      <c r="E93" s="61"/>
      <c r="F93" s="370">
        <v>1.0000000000000001E-5</v>
      </c>
      <c r="G93" s="370">
        <v>9.9999999999999995E-7</v>
      </c>
      <c r="H93" s="370">
        <v>9.9999999999999995E-7</v>
      </c>
    </row>
    <row r="94" spans="1:16" ht="16" customHeight="1">
      <c r="A94" s="529"/>
      <c r="B94" s="64" t="s">
        <v>116</v>
      </c>
      <c r="C94" s="54"/>
      <c r="D94" s="54"/>
      <c r="E94" s="65">
        <v>450</v>
      </c>
      <c r="F94" s="66">
        <f t="shared" ref="F94:H94" si="54">+$E94</f>
        <v>450</v>
      </c>
      <c r="G94" s="66">
        <f t="shared" si="54"/>
        <v>450</v>
      </c>
      <c r="H94" s="66">
        <f t="shared" si="54"/>
        <v>450</v>
      </c>
      <c r="J94" s="63" t="s">
        <v>372</v>
      </c>
      <c r="M94" s="51"/>
    </row>
    <row r="95" spans="1:16" ht="16" customHeight="1">
      <c r="A95" s="529"/>
      <c r="B95" s="64" t="s">
        <v>146</v>
      </c>
      <c r="C95" s="54"/>
      <c r="D95" s="54"/>
      <c r="E95" s="54"/>
      <c r="F95" s="69">
        <f>+F97*F96</f>
        <v>125.99999999999999</v>
      </c>
      <c r="G95" s="69">
        <f>+G97*G96</f>
        <v>94.5</v>
      </c>
      <c r="H95" s="69">
        <f>+H97*H96</f>
        <v>112</v>
      </c>
      <c r="J95" s="64" t="s">
        <v>136</v>
      </c>
      <c r="K95" s="54"/>
      <c r="L95" s="54"/>
      <c r="M95" s="70"/>
      <c r="N95" s="221">
        <v>5034.2860927152315</v>
      </c>
      <c r="O95" s="221">
        <f>+N95*(1+0.02)^2</f>
        <v>5237.6712508609271</v>
      </c>
      <c r="P95" s="221">
        <f>+O95*(1+0.02)^2</f>
        <v>5449.2731693957085</v>
      </c>
    </row>
    <row r="96" spans="1:16" ht="16" customHeight="1">
      <c r="A96" s="529"/>
      <c r="B96" s="64" t="s">
        <v>147</v>
      </c>
      <c r="C96" s="54"/>
      <c r="D96" s="54"/>
      <c r="E96" s="67">
        <v>0.7</v>
      </c>
      <c r="F96" s="68">
        <f>+$E96</f>
        <v>0.7</v>
      </c>
      <c r="G96" s="68">
        <f t="shared" ref="G96:H96" si="55">+$E96</f>
        <v>0.7</v>
      </c>
      <c r="H96" s="68">
        <f t="shared" si="55"/>
        <v>0.7</v>
      </c>
      <c r="J96" s="64" t="s">
        <v>804</v>
      </c>
      <c r="K96" s="54"/>
      <c r="L96" s="54"/>
      <c r="M96" s="70"/>
      <c r="N96" s="221">
        <v>6820.1920529801318</v>
      </c>
      <c r="O96" s="221">
        <f t="shared" ref="O96:P97" si="56">+N96*(1+0.02)^2</f>
        <v>7095.7278119205293</v>
      </c>
      <c r="P96" s="221">
        <f t="shared" si="56"/>
        <v>7382.3952155221186</v>
      </c>
    </row>
    <row r="97" spans="1:16" ht="16" customHeight="1">
      <c r="B97" s="64" t="s">
        <v>280</v>
      </c>
      <c r="C97" s="54"/>
      <c r="D97" s="54"/>
      <c r="E97" s="70"/>
      <c r="F97" s="221">
        <v>180</v>
      </c>
      <c r="G97" s="221">
        <v>135</v>
      </c>
      <c r="H97" s="221">
        <v>160</v>
      </c>
      <c r="J97" s="64" t="s">
        <v>212</v>
      </c>
      <c r="K97" s="54"/>
      <c r="L97" s="54"/>
      <c r="M97" s="70"/>
      <c r="N97" s="221">
        <v>500</v>
      </c>
      <c r="O97" s="221">
        <f t="shared" si="56"/>
        <v>520.20000000000005</v>
      </c>
      <c r="P97" s="221">
        <f t="shared" si="56"/>
        <v>541.21608000000003</v>
      </c>
    </row>
    <row r="98" spans="1:16" ht="16" customHeight="1">
      <c r="B98" s="75" t="s">
        <v>289</v>
      </c>
      <c r="C98" s="76"/>
      <c r="D98" s="76"/>
      <c r="E98" s="77">
        <f>+SUM(F98:H98)</f>
        <v>0.53563912499999999</v>
      </c>
      <c r="F98" s="78">
        <f>+F93*365.25*F95</f>
        <v>0.46021499999999999</v>
      </c>
      <c r="G98" s="78">
        <f>+G93*365.25*G95</f>
        <v>3.4516124999999995E-2</v>
      </c>
      <c r="H98" s="78">
        <f>+H93*365.25*H95</f>
        <v>4.0907999999999993E-2</v>
      </c>
    </row>
    <row r="99" spans="1:16" ht="16" customHeight="1">
      <c r="B99" s="79" t="s">
        <v>130</v>
      </c>
      <c r="C99" s="80"/>
      <c r="D99" s="80"/>
      <c r="E99" s="81">
        <f>+SUM(F99:H99)</f>
        <v>5.4000000000000003E-3</v>
      </c>
      <c r="F99" s="82">
        <f>+F93*F94</f>
        <v>4.5000000000000005E-3</v>
      </c>
      <c r="G99" s="82">
        <f t="shared" ref="G99:H99" si="57">+G93*G94</f>
        <v>4.4999999999999999E-4</v>
      </c>
      <c r="H99" s="82">
        <f t="shared" si="57"/>
        <v>4.4999999999999999E-4</v>
      </c>
      <c r="J99" s="63" t="s">
        <v>137</v>
      </c>
      <c r="K99" s="54"/>
      <c r="L99" s="54"/>
      <c r="M99" s="67"/>
      <c r="N99" s="68"/>
      <c r="O99" s="68"/>
      <c r="P99" s="68"/>
    </row>
    <row r="100" spans="1:16" ht="16" customHeight="1">
      <c r="B100" s="64" t="s">
        <v>152</v>
      </c>
      <c r="C100" s="53"/>
      <c r="E100" s="61">
        <f>+SUM(F100:H100)</f>
        <v>1.2000000000000002E-5</v>
      </c>
      <c r="F100" s="66">
        <f>+F93</f>
        <v>1.0000000000000001E-5</v>
      </c>
      <c r="G100" s="66">
        <f t="shared" ref="G100:H100" si="58">+G93</f>
        <v>9.9999999999999995E-7</v>
      </c>
      <c r="H100" s="66">
        <f t="shared" si="58"/>
        <v>9.9999999999999995E-7</v>
      </c>
      <c r="J100" s="155" t="s">
        <v>273</v>
      </c>
    </row>
    <row r="101" spans="1:16" ht="16" customHeight="1">
      <c r="B101" s="84" t="s">
        <v>153</v>
      </c>
      <c r="C101" s="85"/>
      <c r="D101" s="85"/>
      <c r="E101" s="95">
        <f>+IFERROR(E98/E99,"")</f>
        <v>99.192430555555546</v>
      </c>
      <c r="F101" s="96">
        <f>+IFERROR(F98/F99,"")</f>
        <v>102.26999999999998</v>
      </c>
      <c r="G101" s="96">
        <f t="shared" ref="G101:H101" si="59">+IFERROR(G98/G99,"")</f>
        <v>76.702499999999986</v>
      </c>
      <c r="H101" s="96">
        <f t="shared" si="59"/>
        <v>90.906666666666652</v>
      </c>
      <c r="J101" s="64" t="s">
        <v>264</v>
      </c>
      <c r="K101" s="54"/>
      <c r="L101" s="54"/>
      <c r="M101" s="93">
        <v>0.25</v>
      </c>
      <c r="N101" s="134">
        <f t="shared" ref="N101:P102" si="60">+$M101</f>
        <v>0.25</v>
      </c>
      <c r="O101" s="134">
        <f t="shared" si="60"/>
        <v>0.25</v>
      </c>
      <c r="P101" s="134">
        <f t="shared" si="60"/>
        <v>0.25</v>
      </c>
    </row>
    <row r="102" spans="1:16" ht="16" customHeight="1">
      <c r="B102" s="97" t="s">
        <v>154</v>
      </c>
      <c r="C102" s="53"/>
      <c r="E102" s="83"/>
      <c r="F102" s="69"/>
      <c r="G102" s="69"/>
      <c r="H102" s="69"/>
      <c r="J102" s="64" t="s">
        <v>291</v>
      </c>
      <c r="K102" s="54"/>
      <c r="L102" s="54"/>
      <c r="M102" s="93">
        <v>0.7</v>
      </c>
      <c r="N102" s="134">
        <f t="shared" si="60"/>
        <v>0.7</v>
      </c>
      <c r="O102" s="134">
        <f t="shared" si="60"/>
        <v>0.7</v>
      </c>
      <c r="P102" s="134">
        <f t="shared" si="60"/>
        <v>0.7</v>
      </c>
    </row>
    <row r="103" spans="1:16" ht="16" customHeight="1">
      <c r="B103" s="64" t="s">
        <v>155</v>
      </c>
      <c r="C103" s="53"/>
      <c r="E103" s="88">
        <v>30</v>
      </c>
      <c r="F103" s="71">
        <f>+$E103</f>
        <v>30</v>
      </c>
      <c r="G103" s="71">
        <f t="shared" ref="G103:H106" si="61">+$E103</f>
        <v>30</v>
      </c>
      <c r="H103" s="71">
        <f t="shared" si="61"/>
        <v>30</v>
      </c>
      <c r="J103" s="155" t="s">
        <v>274</v>
      </c>
    </row>
    <row r="104" spans="1:16" ht="16" customHeight="1">
      <c r="B104" s="64" t="s">
        <v>157</v>
      </c>
      <c r="C104" s="53"/>
      <c r="E104" s="130"/>
      <c r="F104" s="71">
        <f>+F103*365.25*F$96</f>
        <v>7670.2499999999991</v>
      </c>
      <c r="G104" s="71">
        <f t="shared" ref="G104:H104" si="62">+G103*365.25*G$96</f>
        <v>7670.2499999999991</v>
      </c>
      <c r="H104" s="71">
        <f t="shared" si="62"/>
        <v>7670.2499999999991</v>
      </c>
      <c r="J104" s="64" t="s">
        <v>266</v>
      </c>
      <c r="K104" s="54"/>
      <c r="L104" s="54"/>
      <c r="M104" s="93">
        <v>0.08</v>
      </c>
      <c r="N104" s="134">
        <f t="shared" ref="N104:P111" si="63">+$M104</f>
        <v>0.08</v>
      </c>
      <c r="O104" s="134">
        <f t="shared" si="63"/>
        <v>0.08</v>
      </c>
      <c r="P104" s="134">
        <f t="shared" si="63"/>
        <v>0.08</v>
      </c>
    </row>
    <row r="105" spans="1:16" ht="16" customHeight="1">
      <c r="B105" s="97" t="s">
        <v>159</v>
      </c>
      <c r="C105" s="53"/>
      <c r="E105" s="83"/>
      <c r="F105" s="69"/>
      <c r="G105" s="69"/>
      <c r="H105" s="69"/>
      <c r="J105" s="64" t="s">
        <v>267</v>
      </c>
      <c r="K105" s="54"/>
      <c r="L105" s="54"/>
      <c r="M105" s="93">
        <v>0.01</v>
      </c>
      <c r="N105" s="134">
        <f t="shared" si="63"/>
        <v>0.01</v>
      </c>
      <c r="O105" s="134">
        <f t="shared" si="63"/>
        <v>0.01</v>
      </c>
      <c r="P105" s="134">
        <f t="shared" si="63"/>
        <v>0.01</v>
      </c>
    </row>
    <row r="106" spans="1:16" ht="16" customHeight="1">
      <c r="B106" s="64" t="s">
        <v>155</v>
      </c>
      <c r="C106" s="53"/>
      <c r="E106" s="88">
        <v>10</v>
      </c>
      <c r="F106" s="71">
        <f>+$E106</f>
        <v>10</v>
      </c>
      <c r="G106" s="71">
        <f t="shared" si="61"/>
        <v>10</v>
      </c>
      <c r="H106" s="71">
        <f t="shared" si="61"/>
        <v>10</v>
      </c>
      <c r="J106" s="64" t="s">
        <v>72</v>
      </c>
      <c r="K106" s="54"/>
      <c r="L106" s="54"/>
      <c r="M106" s="93">
        <v>6.5000000000000002E-2</v>
      </c>
      <c r="N106" s="134">
        <f t="shared" si="63"/>
        <v>6.5000000000000002E-2</v>
      </c>
      <c r="O106" s="134">
        <f t="shared" si="63"/>
        <v>6.5000000000000002E-2</v>
      </c>
      <c r="P106" s="134">
        <f t="shared" si="63"/>
        <v>6.5000000000000002E-2</v>
      </c>
    </row>
    <row r="107" spans="1:16" ht="16" customHeight="1">
      <c r="B107" s="64" t="s">
        <v>157</v>
      </c>
      <c r="C107" s="53"/>
      <c r="E107" s="88"/>
      <c r="F107" s="71">
        <f>+F106*365*F$96</f>
        <v>2555</v>
      </c>
      <c r="G107" s="71">
        <f t="shared" ref="G107:H107" si="64">+G106*365*G$96</f>
        <v>2555</v>
      </c>
      <c r="H107" s="71">
        <f t="shared" si="64"/>
        <v>2555</v>
      </c>
      <c r="J107" s="64" t="s">
        <v>268</v>
      </c>
      <c r="K107" s="54"/>
      <c r="L107" s="54"/>
      <c r="M107" s="93">
        <v>0.02</v>
      </c>
      <c r="N107" s="134">
        <f t="shared" si="63"/>
        <v>0.02</v>
      </c>
      <c r="O107" s="134">
        <f t="shared" si="63"/>
        <v>0.02</v>
      </c>
      <c r="P107" s="134">
        <f t="shared" si="63"/>
        <v>0.02</v>
      </c>
    </row>
    <row r="108" spans="1:16" ht="16" customHeight="1">
      <c r="B108" s="75" t="s">
        <v>195</v>
      </c>
      <c r="C108" s="76"/>
      <c r="D108" s="76"/>
      <c r="E108" s="77">
        <f>+SUM(F108:H108)</f>
        <v>0.12270300000000002</v>
      </c>
      <c r="F108" s="78">
        <f>+F93*(F104+F107)</f>
        <v>0.10225250000000001</v>
      </c>
      <c r="G108" s="78">
        <f t="shared" ref="G108:H108" si="65">+G93*(G104+G107)</f>
        <v>1.022525E-2</v>
      </c>
      <c r="H108" s="78">
        <f t="shared" si="65"/>
        <v>1.022525E-2</v>
      </c>
      <c r="J108" s="64" t="s">
        <v>269</v>
      </c>
      <c r="K108" s="54"/>
      <c r="L108" s="54"/>
      <c r="M108" s="93">
        <v>0.03</v>
      </c>
      <c r="N108" s="134">
        <f t="shared" si="63"/>
        <v>0.03</v>
      </c>
      <c r="O108" s="134">
        <f t="shared" si="63"/>
        <v>0.03</v>
      </c>
      <c r="P108" s="134">
        <f t="shared" si="63"/>
        <v>0.03</v>
      </c>
    </row>
    <row r="109" spans="1:16" ht="16" customHeight="1">
      <c r="B109" s="51" t="s">
        <v>171</v>
      </c>
      <c r="J109" s="64" t="s">
        <v>270</v>
      </c>
      <c r="K109" s="54"/>
      <c r="L109" s="54"/>
      <c r="M109" s="93">
        <v>0.04</v>
      </c>
      <c r="N109" s="134">
        <f t="shared" si="63"/>
        <v>0.04</v>
      </c>
      <c r="O109" s="134">
        <f t="shared" si="63"/>
        <v>0.04</v>
      </c>
      <c r="P109" s="134">
        <f t="shared" si="63"/>
        <v>0.04</v>
      </c>
    </row>
    <row r="110" spans="1:16" ht="16" customHeight="1">
      <c r="B110" s="64" t="s">
        <v>162</v>
      </c>
      <c r="F110" s="62">
        <v>1.0000000000000001E-5</v>
      </c>
      <c r="G110" s="62">
        <v>0</v>
      </c>
      <c r="H110" s="62">
        <v>9.9999999999999995E-7</v>
      </c>
      <c r="J110" s="64" t="s">
        <v>58</v>
      </c>
      <c r="K110" s="54"/>
      <c r="L110" s="54"/>
      <c r="M110" s="93">
        <v>0.01</v>
      </c>
      <c r="N110" s="134">
        <f t="shared" si="63"/>
        <v>0.01</v>
      </c>
      <c r="O110" s="134">
        <f t="shared" si="63"/>
        <v>0.01</v>
      </c>
      <c r="P110" s="134">
        <f t="shared" si="63"/>
        <v>0.01</v>
      </c>
    </row>
    <row r="111" spans="1:16" ht="16" customHeight="1">
      <c r="B111" s="64" t="s">
        <v>353</v>
      </c>
      <c r="F111" s="62">
        <v>90</v>
      </c>
      <c r="G111" s="62">
        <v>90</v>
      </c>
      <c r="H111" s="62">
        <v>90</v>
      </c>
      <c r="J111" s="64" t="s">
        <v>271</v>
      </c>
      <c r="K111" s="54"/>
      <c r="L111" s="54"/>
      <c r="M111" s="93">
        <v>3.5000000000000003E-2</v>
      </c>
      <c r="N111" s="134">
        <f t="shared" si="63"/>
        <v>3.5000000000000003E-2</v>
      </c>
      <c r="O111" s="134">
        <f t="shared" si="63"/>
        <v>3.5000000000000003E-2</v>
      </c>
      <c r="P111" s="134">
        <f t="shared" si="63"/>
        <v>3.5000000000000003E-2</v>
      </c>
    </row>
    <row r="112" spans="1:16" ht="16" customHeight="1">
      <c r="A112" s="529"/>
      <c r="B112" s="64" t="s">
        <v>198</v>
      </c>
      <c r="F112" s="66">
        <f>+F110/20</f>
        <v>5.0000000000000008E-7</v>
      </c>
      <c r="G112" s="66">
        <f>+G110/20</f>
        <v>0</v>
      </c>
      <c r="H112" s="66">
        <f t="shared" ref="H112" si="66">+H110/50</f>
        <v>2E-8</v>
      </c>
      <c r="J112" s="156" t="s">
        <v>275</v>
      </c>
    </row>
    <row r="113" spans="1:16" ht="16" customHeight="1">
      <c r="B113" s="64" t="s">
        <v>199</v>
      </c>
      <c r="F113" s="102">
        <v>10</v>
      </c>
      <c r="G113" s="102">
        <v>10</v>
      </c>
      <c r="H113" s="102">
        <v>10</v>
      </c>
      <c r="J113" s="64" t="s">
        <v>272</v>
      </c>
      <c r="K113" s="54"/>
      <c r="L113" s="54"/>
      <c r="M113" s="93">
        <v>0.03</v>
      </c>
      <c r="N113" s="134">
        <f>+$M113</f>
        <v>0.03</v>
      </c>
      <c r="O113" s="134">
        <f>+$M113</f>
        <v>0.03</v>
      </c>
      <c r="P113" s="134">
        <f>+$M113</f>
        <v>0.03</v>
      </c>
    </row>
    <row r="114" spans="1:16" ht="16" customHeight="1">
      <c r="B114" s="64" t="s">
        <v>197</v>
      </c>
      <c r="F114" s="71">
        <f>+IFERROR(F113*F112*F111/F110,"")</f>
        <v>45.000000000000007</v>
      </c>
      <c r="G114" s="71" t="str">
        <f t="shared" ref="G114" si="67">+IFERROR(G113*G112*G111/G110,"")</f>
        <v/>
      </c>
      <c r="H114" s="71">
        <f t="shared" ref="H114" si="68">+IFERROR(H113*H112*H111/H110,"")</f>
        <v>18</v>
      </c>
      <c r="J114" s="156" t="s">
        <v>276</v>
      </c>
    </row>
    <row r="115" spans="1:16" ht="16" customHeight="1">
      <c r="B115" s="75" t="s">
        <v>196</v>
      </c>
      <c r="C115" s="76"/>
      <c r="D115" s="76"/>
      <c r="E115" s="77">
        <f>+SUM(F115:H115)</f>
        <v>4.680000000000001E-4</v>
      </c>
      <c r="F115" s="78">
        <f>+IFERROR(F114*F110,0)</f>
        <v>4.500000000000001E-4</v>
      </c>
      <c r="G115" s="78">
        <f t="shared" ref="G115:H115" si="69">+IFERROR(G114*G110,0)</f>
        <v>0</v>
      </c>
      <c r="H115" s="78">
        <f t="shared" si="69"/>
        <v>1.8E-5</v>
      </c>
      <c r="J115" s="64" t="s">
        <v>9</v>
      </c>
      <c r="K115" s="54"/>
      <c r="L115" s="54"/>
      <c r="M115" s="93">
        <v>0.4</v>
      </c>
      <c r="N115" s="134">
        <f>+$M115</f>
        <v>0.4</v>
      </c>
      <c r="O115" s="134">
        <f>+$M115</f>
        <v>0.4</v>
      </c>
      <c r="P115" s="134">
        <f>+$M115</f>
        <v>0.4</v>
      </c>
    </row>
    <row r="116" spans="1:16" ht="16" customHeight="1">
      <c r="B116" s="51" t="s">
        <v>277</v>
      </c>
      <c r="D116" s="52"/>
      <c r="E116" s="52"/>
    </row>
    <row r="117" spans="1:16" ht="16" customHeight="1">
      <c r="B117" s="64" t="s">
        <v>278</v>
      </c>
      <c r="E117" s="67">
        <v>0.65</v>
      </c>
      <c r="F117" s="68">
        <f>+$E117</f>
        <v>0.65</v>
      </c>
      <c r="G117" s="68">
        <f t="shared" ref="G117:H117" si="70">+$E117</f>
        <v>0.65</v>
      </c>
      <c r="H117" s="68">
        <f t="shared" si="70"/>
        <v>0.65</v>
      </c>
    </row>
    <row r="118" spans="1:16" ht="16" customHeight="1">
      <c r="B118" s="64" t="s">
        <v>279</v>
      </c>
      <c r="E118" s="70"/>
      <c r="F118" s="221">
        <f>+F97-10</f>
        <v>170</v>
      </c>
      <c r="G118" s="221">
        <f>+G97-10</f>
        <v>125</v>
      </c>
      <c r="H118" s="221">
        <f>+H97-10</f>
        <v>150</v>
      </c>
      <c r="J118" s="63" t="s">
        <v>558</v>
      </c>
    </row>
    <row r="119" spans="1:16" ht="16" customHeight="1">
      <c r="B119" s="64" t="s">
        <v>281</v>
      </c>
      <c r="E119" s="67">
        <v>0.7</v>
      </c>
      <c r="F119" s="68">
        <f>+$E119</f>
        <v>0.7</v>
      </c>
      <c r="G119" s="68">
        <f t="shared" ref="G119:H119" si="71">+$E119</f>
        <v>0.7</v>
      </c>
      <c r="H119" s="68">
        <f t="shared" si="71"/>
        <v>0.7</v>
      </c>
      <c r="J119" s="64" t="s">
        <v>136</v>
      </c>
      <c r="M119" s="88"/>
      <c r="N119" s="69">
        <f t="shared" ref="N119:P120" si="72">+N95*$E$56/$E$55</f>
        <v>7.1600000521772484</v>
      </c>
      <c r="O119" s="69">
        <f t="shared" si="72"/>
        <v>7.4492640542852095</v>
      </c>
      <c r="P119" s="69">
        <f t="shared" si="72"/>
        <v>7.7502143220783317</v>
      </c>
    </row>
    <row r="120" spans="1:16" ht="16" customHeight="1">
      <c r="B120" s="64" t="s">
        <v>282</v>
      </c>
      <c r="E120" s="70"/>
      <c r="F120" s="221">
        <f>+F97-5</f>
        <v>175</v>
      </c>
      <c r="G120" s="221">
        <f>+G97-5</f>
        <v>130</v>
      </c>
      <c r="H120" s="221">
        <f>+H97-5</f>
        <v>155</v>
      </c>
      <c r="J120" s="64" t="s">
        <v>804</v>
      </c>
      <c r="M120" s="88"/>
      <c r="N120" s="69">
        <f t="shared" si="72"/>
        <v>9.7000000706870537</v>
      </c>
      <c r="O120" s="69">
        <f t="shared" si="72"/>
        <v>10.091880073542811</v>
      </c>
      <c r="P120" s="69">
        <f t="shared" si="72"/>
        <v>10.499592028513941</v>
      </c>
    </row>
    <row r="121" spans="1:16" ht="16" customHeight="1">
      <c r="J121" s="64" t="s">
        <v>25</v>
      </c>
      <c r="M121" s="88"/>
      <c r="N121" s="101">
        <v>7</v>
      </c>
      <c r="O121" s="101">
        <f t="shared" ref="O121:P121" si="73">+N121*(1+0.02)^2</f>
        <v>7.2827999999999999</v>
      </c>
      <c r="P121" s="101">
        <f t="shared" si="73"/>
        <v>7.5770251200000001</v>
      </c>
    </row>
    <row r="122" spans="1:16" ht="16" customHeight="1">
      <c r="J122" s="64" t="s">
        <v>827</v>
      </c>
      <c r="M122" s="88"/>
      <c r="N122" s="101">
        <v>7</v>
      </c>
      <c r="O122" s="101">
        <f t="shared" ref="O122:P122" si="74">+N122*(1+0.02)^2</f>
        <v>7.2827999999999999</v>
      </c>
      <c r="P122" s="101">
        <f t="shared" si="74"/>
        <v>7.5770251200000001</v>
      </c>
    </row>
    <row r="123" spans="1:16" ht="16" customHeight="1" thickBot="1">
      <c r="B123" s="954" t="s">
        <v>160</v>
      </c>
      <c r="C123" s="954"/>
      <c r="D123" s="54"/>
      <c r="E123" s="50" t="s">
        <v>62</v>
      </c>
      <c r="F123" s="50" t="str">
        <f>+F$21</f>
        <v>I</v>
      </c>
      <c r="G123" s="50" t="str">
        <f>+G$21</f>
        <v>II</v>
      </c>
      <c r="H123" s="50" t="str">
        <f>+H$21</f>
        <v>III</v>
      </c>
      <c r="J123" s="64" t="s">
        <v>139</v>
      </c>
      <c r="M123" s="88"/>
      <c r="N123" s="101">
        <v>7.5</v>
      </c>
      <c r="O123" s="101">
        <f t="shared" ref="O123:P123" si="75">+N123*(1+0.02)^2</f>
        <v>7.8029999999999999</v>
      </c>
      <c r="P123" s="101">
        <f t="shared" si="75"/>
        <v>8.1182411999999999</v>
      </c>
    </row>
    <row r="124" spans="1:16" ht="16" customHeight="1">
      <c r="B124" s="55" t="s">
        <v>452</v>
      </c>
      <c r="C124" s="54"/>
      <c r="D124" s="54"/>
      <c r="E124" s="61"/>
      <c r="F124" s="62"/>
      <c r="G124" s="62"/>
      <c r="H124" s="62"/>
      <c r="J124" s="64" t="s">
        <v>710</v>
      </c>
      <c r="M124" s="88"/>
      <c r="N124" s="101">
        <v>2</v>
      </c>
      <c r="O124" s="101">
        <f t="shared" ref="O124:P124" si="76">+N124*(1+0.02)^2</f>
        <v>2.0808</v>
      </c>
      <c r="P124" s="101">
        <f t="shared" si="76"/>
        <v>2.16486432</v>
      </c>
    </row>
    <row r="125" spans="1:16" ht="16" customHeight="1">
      <c r="B125" s="64" t="s">
        <v>162</v>
      </c>
      <c r="C125" s="54"/>
      <c r="D125" s="54"/>
      <c r="E125" s="65"/>
      <c r="F125" s="370">
        <f>394772-F133</f>
        <v>294772</v>
      </c>
      <c r="G125" s="370">
        <v>9.9999999999999995E-7</v>
      </c>
      <c r="H125" s="370">
        <v>9.9999999999999995E-7</v>
      </c>
    </row>
    <row r="126" spans="1:16" ht="16" customHeight="1" thickBot="1">
      <c r="A126" s="529"/>
      <c r="B126" s="64" t="s">
        <v>118</v>
      </c>
      <c r="C126" s="54"/>
      <c r="D126" s="54"/>
      <c r="E126" s="54"/>
      <c r="F126" s="101">
        <v>50</v>
      </c>
      <c r="G126" s="101">
        <f>+F126*(1+0.02)^2</f>
        <v>52.019999999999996</v>
      </c>
      <c r="H126" s="101">
        <f>+F126*(1+0.02)^3</f>
        <v>53.060399999999994</v>
      </c>
      <c r="J126" s="954" t="s">
        <v>54</v>
      </c>
      <c r="K126" s="954"/>
      <c r="L126" s="54"/>
      <c r="M126" s="50" t="s">
        <v>62</v>
      </c>
      <c r="N126" s="50" t="str">
        <f>+F$21</f>
        <v>I</v>
      </c>
      <c r="O126" s="50" t="str">
        <f>+G$21</f>
        <v>II</v>
      </c>
      <c r="P126" s="50" t="str">
        <f>+H$21</f>
        <v>III</v>
      </c>
    </row>
    <row r="127" spans="1:16" ht="16" customHeight="1">
      <c r="A127" s="529"/>
      <c r="B127" s="64" t="s">
        <v>163</v>
      </c>
      <c r="C127" s="54"/>
      <c r="D127" s="54"/>
      <c r="E127" s="70"/>
      <c r="F127" s="71">
        <f>+F126*F125</f>
        <v>14738600</v>
      </c>
      <c r="G127" s="71">
        <f t="shared" ref="G127:H127" si="77">+G126*G125</f>
        <v>5.2019999999999993E-5</v>
      </c>
      <c r="H127" s="71">
        <f t="shared" si="77"/>
        <v>5.3060399999999991E-5</v>
      </c>
      <c r="J127" s="63" t="s">
        <v>140</v>
      </c>
    </row>
    <row r="128" spans="1:16" ht="16" customHeight="1">
      <c r="B128" s="55" t="s">
        <v>19</v>
      </c>
      <c r="C128" s="54"/>
      <c r="D128" s="54"/>
      <c r="E128" s="61"/>
      <c r="F128" s="62"/>
      <c r="G128" s="62"/>
      <c r="H128" s="62"/>
      <c r="J128" s="64" t="s">
        <v>136</v>
      </c>
      <c r="K128" s="54"/>
      <c r="L128" s="54"/>
      <c r="M128" s="89">
        <v>7.4999999999999997E-2</v>
      </c>
      <c r="N128" s="90">
        <f t="shared" ref="N128:P136" si="78">+$M128</f>
        <v>7.4999999999999997E-2</v>
      </c>
      <c r="O128" s="90">
        <f t="shared" si="78"/>
        <v>7.4999999999999997E-2</v>
      </c>
      <c r="P128" s="90">
        <f t="shared" si="78"/>
        <v>7.4999999999999997E-2</v>
      </c>
    </row>
    <row r="129" spans="2:18" ht="16" customHeight="1">
      <c r="B129" s="64" t="s">
        <v>162</v>
      </c>
      <c r="C129" s="54"/>
      <c r="D129" s="54"/>
      <c r="E129" s="65"/>
      <c r="F129" s="62">
        <v>0</v>
      </c>
      <c r="G129" s="62">
        <v>0</v>
      </c>
      <c r="H129" s="62">
        <v>0</v>
      </c>
      <c r="J129" s="64" t="s">
        <v>804</v>
      </c>
      <c r="K129" s="54"/>
      <c r="L129" s="54"/>
      <c r="M129" s="89">
        <v>6.5000000000000002E-2</v>
      </c>
      <c r="N129" s="90">
        <f t="shared" si="78"/>
        <v>6.5000000000000002E-2</v>
      </c>
      <c r="O129" s="90">
        <f t="shared" si="78"/>
        <v>6.5000000000000002E-2</v>
      </c>
      <c r="P129" s="90">
        <f t="shared" si="78"/>
        <v>6.5000000000000002E-2</v>
      </c>
    </row>
    <row r="130" spans="2:18" ht="16" customHeight="1">
      <c r="B130" s="64" t="s">
        <v>118</v>
      </c>
      <c r="C130" s="54"/>
      <c r="D130" s="54"/>
      <c r="E130" s="54"/>
      <c r="F130" s="101">
        <v>0</v>
      </c>
      <c r="G130" s="101">
        <v>0</v>
      </c>
      <c r="H130" s="101">
        <v>0</v>
      </c>
      <c r="J130" s="64" t="s">
        <v>25</v>
      </c>
      <c r="K130" s="54"/>
      <c r="L130" s="54"/>
      <c r="M130" s="89">
        <v>0.06</v>
      </c>
      <c r="N130" s="90">
        <f t="shared" si="78"/>
        <v>0.06</v>
      </c>
      <c r="O130" s="90">
        <f t="shared" si="78"/>
        <v>0.06</v>
      </c>
      <c r="P130" s="90">
        <f t="shared" si="78"/>
        <v>0.06</v>
      </c>
    </row>
    <row r="131" spans="2:18" ht="16" customHeight="1">
      <c r="B131" s="64" t="s">
        <v>163</v>
      </c>
      <c r="C131" s="54"/>
      <c r="D131" s="54"/>
      <c r="E131" s="70"/>
      <c r="F131" s="71">
        <f>+F130*F129</f>
        <v>0</v>
      </c>
      <c r="G131" s="71">
        <f t="shared" ref="G131:H131" si="79">+G130*G129</f>
        <v>0</v>
      </c>
      <c r="H131" s="71">
        <f t="shared" si="79"/>
        <v>0</v>
      </c>
      <c r="J131" s="64" t="s">
        <v>26</v>
      </c>
      <c r="K131" s="54"/>
      <c r="L131" s="54"/>
      <c r="M131" s="89">
        <v>0.08</v>
      </c>
      <c r="N131" s="90">
        <f t="shared" si="78"/>
        <v>0.08</v>
      </c>
      <c r="O131" s="90">
        <f t="shared" si="78"/>
        <v>0.08</v>
      </c>
      <c r="P131" s="90">
        <f t="shared" si="78"/>
        <v>0.08</v>
      </c>
    </row>
    <row r="132" spans="2:18" ht="16" customHeight="1">
      <c r="B132" s="55" t="s">
        <v>310</v>
      </c>
      <c r="E132" s="61"/>
      <c r="F132" s="62"/>
      <c r="G132" s="62"/>
      <c r="H132" s="62"/>
      <c r="J132" s="64" t="s">
        <v>827</v>
      </c>
      <c r="K132" s="54"/>
      <c r="L132" s="54"/>
      <c r="M132" s="89">
        <v>0.09</v>
      </c>
      <c r="N132" s="90">
        <f t="shared" si="78"/>
        <v>0.09</v>
      </c>
      <c r="O132" s="90">
        <f t="shared" si="78"/>
        <v>0.09</v>
      </c>
      <c r="P132" s="90">
        <f t="shared" si="78"/>
        <v>0.09</v>
      </c>
    </row>
    <row r="133" spans="2:18" ht="16" customHeight="1">
      <c r="B133" s="64" t="s">
        <v>162</v>
      </c>
      <c r="E133" s="65"/>
      <c r="F133" s="370">
        <v>100000</v>
      </c>
      <c r="G133" s="62">
        <v>0</v>
      </c>
      <c r="H133" s="62">
        <v>0</v>
      </c>
      <c r="J133" s="64" t="s">
        <v>139</v>
      </c>
      <c r="K133" s="54"/>
      <c r="L133" s="54"/>
      <c r="M133" s="89">
        <v>6.5000000000000002E-2</v>
      </c>
      <c r="N133" s="90">
        <f t="shared" si="78"/>
        <v>6.5000000000000002E-2</v>
      </c>
      <c r="O133" s="90">
        <f t="shared" si="78"/>
        <v>6.5000000000000002E-2</v>
      </c>
      <c r="P133" s="90">
        <f t="shared" si="78"/>
        <v>6.5000000000000002E-2</v>
      </c>
    </row>
    <row r="134" spans="2:18" ht="16" customHeight="1">
      <c r="B134" s="64" t="s">
        <v>118</v>
      </c>
      <c r="E134" s="54"/>
      <c r="F134" s="101">
        <v>55</v>
      </c>
      <c r="G134" s="101">
        <f>+F134*(1+0.02)^2</f>
        <v>57.222000000000001</v>
      </c>
      <c r="H134" s="101">
        <f>+G134*(1+0.02)^3</f>
        <v>60.724444175999999</v>
      </c>
      <c r="J134" s="64" t="s">
        <v>710</v>
      </c>
      <c r="M134" s="89">
        <v>0.08</v>
      </c>
      <c r="N134" s="90">
        <f t="shared" si="78"/>
        <v>0.08</v>
      </c>
      <c r="O134" s="90">
        <f t="shared" si="78"/>
        <v>0.08</v>
      </c>
      <c r="P134" s="90">
        <f t="shared" si="78"/>
        <v>0.08</v>
      </c>
    </row>
    <row r="135" spans="2:18" ht="16" customHeight="1">
      <c r="B135" s="64" t="s">
        <v>163</v>
      </c>
      <c r="E135" s="70"/>
      <c r="F135" s="71">
        <f>+F134*F133</f>
        <v>5500000</v>
      </c>
      <c r="G135" s="71">
        <f t="shared" ref="G135:H135" si="80">+G134*G133</f>
        <v>0</v>
      </c>
      <c r="H135" s="71">
        <f t="shared" si="80"/>
        <v>0</v>
      </c>
      <c r="J135" s="64" t="s">
        <v>212</v>
      </c>
      <c r="M135" s="89">
        <v>7.0000000000000007E-2</v>
      </c>
      <c r="N135" s="90">
        <f t="shared" si="78"/>
        <v>7.0000000000000007E-2</v>
      </c>
      <c r="O135" s="90">
        <f t="shared" si="78"/>
        <v>7.0000000000000007E-2</v>
      </c>
      <c r="P135" s="90">
        <f t="shared" si="78"/>
        <v>7.0000000000000007E-2</v>
      </c>
    </row>
    <row r="136" spans="2:18" ht="16" customHeight="1">
      <c r="B136" s="75" t="s">
        <v>168</v>
      </c>
      <c r="C136" s="76"/>
      <c r="D136" s="76"/>
      <c r="E136" s="77">
        <f>+SUM(F136:H136)</f>
        <v>20238600.000105079</v>
      </c>
      <c r="F136" s="78">
        <f>+F127+F131+F135</f>
        <v>20238600</v>
      </c>
      <c r="G136" s="78">
        <f t="shared" ref="G136:H136" si="81">+G127+G131+G135</f>
        <v>5.2019999999999993E-5</v>
      </c>
      <c r="H136" s="78">
        <f t="shared" si="81"/>
        <v>5.3060399999999991E-5</v>
      </c>
      <c r="J136" s="52" t="s">
        <v>143</v>
      </c>
      <c r="M136" s="67">
        <v>0.02</v>
      </c>
      <c r="N136" s="68">
        <f t="shared" si="78"/>
        <v>0.02</v>
      </c>
      <c r="O136" s="68">
        <f t="shared" si="78"/>
        <v>0.02</v>
      </c>
      <c r="P136" s="68">
        <f t="shared" si="78"/>
        <v>0.02</v>
      </c>
    </row>
    <row r="137" spans="2:18" ht="16" customHeight="1">
      <c r="B137" s="79" t="s">
        <v>130</v>
      </c>
      <c r="C137" s="80"/>
      <c r="D137" s="80"/>
      <c r="E137" s="81">
        <f>+SUM(F137:H137)</f>
        <v>394772.00000200002</v>
      </c>
      <c r="F137" s="82">
        <f>+F125+F129+F133</f>
        <v>394772</v>
      </c>
      <c r="G137" s="82">
        <f t="shared" ref="G137:H137" si="82">+G125+G129+G133</f>
        <v>9.9999999999999995E-7</v>
      </c>
      <c r="H137" s="82">
        <f t="shared" si="82"/>
        <v>9.9999999999999995E-7</v>
      </c>
    </row>
    <row r="138" spans="2:18" ht="16" customHeight="1" thickBot="1">
      <c r="B138" s="84" t="s">
        <v>133</v>
      </c>
      <c r="C138" s="85"/>
      <c r="D138" s="85"/>
      <c r="E138" s="95">
        <f>+IFERROR(E136/E137,"")</f>
        <v>51.266553858942743</v>
      </c>
      <c r="F138" s="96">
        <f>+IFERROR(F136/F137,"")</f>
        <v>51.266553858936298</v>
      </c>
      <c r="G138" s="96">
        <f t="shared" ref="G138:H138" si="83">+IFERROR(G136/G137,"")</f>
        <v>52.019999999999996</v>
      </c>
      <c r="H138" s="96">
        <f t="shared" si="83"/>
        <v>53.060399999999994</v>
      </c>
      <c r="J138" s="954" t="s">
        <v>145</v>
      </c>
      <c r="K138" s="954"/>
      <c r="L138" s="54"/>
      <c r="M138" s="50" t="s">
        <v>62</v>
      </c>
      <c r="N138" s="50" t="str">
        <f>+F$21</f>
        <v>I</v>
      </c>
      <c r="O138" s="50" t="str">
        <f>+G$21</f>
        <v>II</v>
      </c>
      <c r="P138" s="50" t="str">
        <f>+H$21</f>
        <v>III</v>
      </c>
    </row>
    <row r="139" spans="2:18" ht="16" customHeight="1">
      <c r="J139" s="52" t="s">
        <v>222</v>
      </c>
      <c r="N139" s="91">
        <v>0.02</v>
      </c>
      <c r="O139" s="91">
        <v>0.02</v>
      </c>
      <c r="P139" s="91">
        <v>0.02</v>
      </c>
      <c r="R139" s="529"/>
    </row>
    <row r="140" spans="2:18" ht="16" customHeight="1" thickBot="1">
      <c r="B140" s="954" t="s">
        <v>806</v>
      </c>
      <c r="C140" s="954"/>
      <c r="D140" s="54"/>
      <c r="E140" s="50" t="s">
        <v>62</v>
      </c>
      <c r="F140" s="50" t="str">
        <f>+F$21</f>
        <v>I</v>
      </c>
      <c r="G140" s="50" t="str">
        <f>+G$21</f>
        <v>II</v>
      </c>
      <c r="H140" s="50" t="str">
        <f>+H$21</f>
        <v>III</v>
      </c>
    </row>
    <row r="141" spans="2:18" ht="16" customHeight="1">
      <c r="B141" s="55" t="s">
        <v>709</v>
      </c>
      <c r="C141" s="54"/>
      <c r="D141" s="54"/>
      <c r="E141" s="61"/>
      <c r="F141" s="62"/>
      <c r="G141" s="62"/>
      <c r="H141" s="62"/>
    </row>
    <row r="142" spans="2:18" ht="16" customHeight="1">
      <c r="B142" s="64" t="s">
        <v>162</v>
      </c>
      <c r="C142" s="54"/>
      <c r="D142" s="54"/>
      <c r="E142" s="65"/>
      <c r="F142" s="370">
        <v>0</v>
      </c>
      <c r="G142" s="62">
        <v>124575</v>
      </c>
      <c r="H142" s="62">
        <v>0</v>
      </c>
      <c r="J142" s="63" t="s">
        <v>343</v>
      </c>
    </row>
    <row r="143" spans="2:18" ht="16" customHeight="1">
      <c r="B143" s="64" t="s">
        <v>118</v>
      </c>
      <c r="C143" s="54"/>
      <c r="D143" s="54"/>
      <c r="E143" s="54"/>
      <c r="F143" s="101">
        <v>10</v>
      </c>
      <c r="G143" s="101">
        <v>25</v>
      </c>
      <c r="H143" s="101">
        <v>0</v>
      </c>
      <c r="J143" s="64" t="s">
        <v>148</v>
      </c>
      <c r="K143" s="54"/>
      <c r="L143" s="54"/>
      <c r="M143" s="67"/>
      <c r="N143" s="92">
        <v>0.6</v>
      </c>
      <c r="O143" s="92">
        <v>0.6</v>
      </c>
      <c r="P143" s="92">
        <v>0.6</v>
      </c>
      <c r="R143" s="223"/>
    </row>
    <row r="144" spans="2:18" ht="16" customHeight="1">
      <c r="B144" s="64" t="s">
        <v>163</v>
      </c>
      <c r="C144" s="54"/>
      <c r="D144" s="54"/>
      <c r="E144" s="70"/>
      <c r="F144" s="71">
        <f>+F143*F142</f>
        <v>0</v>
      </c>
      <c r="G144" s="71">
        <f t="shared" ref="G144:H144" si="84">+G143*G142</f>
        <v>3114375</v>
      </c>
      <c r="H144" s="71">
        <f t="shared" si="84"/>
        <v>0</v>
      </c>
      <c r="J144" s="64" t="s">
        <v>149</v>
      </c>
      <c r="K144" s="54"/>
      <c r="L144" s="54"/>
      <c r="M144" s="93"/>
      <c r="N144" s="94">
        <v>375</v>
      </c>
      <c r="O144" s="94">
        <v>375</v>
      </c>
      <c r="P144" s="94">
        <v>375</v>
      </c>
    </row>
    <row r="145" spans="1:18" ht="16" customHeight="1">
      <c r="B145" s="55" t="s">
        <v>139</v>
      </c>
      <c r="C145" s="54"/>
      <c r="D145" s="54"/>
      <c r="E145" s="61"/>
      <c r="F145" s="62"/>
      <c r="G145" s="62"/>
      <c r="H145" s="62"/>
      <c r="J145" s="64" t="s">
        <v>177</v>
      </c>
      <c r="N145" s="90">
        <f>+N139+(N144/10000)</f>
        <v>5.7499999999999996E-2</v>
      </c>
      <c r="O145" s="90">
        <v>0.06</v>
      </c>
      <c r="P145" s="90">
        <f>+P139+(P144/10000)</f>
        <v>5.7499999999999996E-2</v>
      </c>
    </row>
    <row r="146" spans="1:18" ht="16" customHeight="1">
      <c r="B146" s="64" t="s">
        <v>162</v>
      </c>
      <c r="C146" s="54"/>
      <c r="D146" s="54"/>
      <c r="E146" s="65"/>
      <c r="F146" s="62">
        <v>0</v>
      </c>
      <c r="G146" s="62">
        <v>162400</v>
      </c>
      <c r="H146" s="370">
        <v>0</v>
      </c>
      <c r="J146" s="64" t="s">
        <v>150</v>
      </c>
      <c r="K146" s="54"/>
      <c r="L146" s="54"/>
      <c r="M146" s="67"/>
      <c r="N146" s="91">
        <v>1.4999999999999999E-2</v>
      </c>
      <c r="O146" s="91">
        <v>1.4999999999999999E-2</v>
      </c>
      <c r="P146" s="91">
        <v>1.4999999999999999E-2</v>
      </c>
    </row>
    <row r="147" spans="1:18" ht="16" customHeight="1">
      <c r="B147" s="64" t="s">
        <v>118</v>
      </c>
      <c r="C147" s="54"/>
      <c r="D147" s="54"/>
      <c r="E147" s="54"/>
      <c r="F147" s="101">
        <v>0</v>
      </c>
      <c r="G147" s="101">
        <v>35</v>
      </c>
      <c r="H147" s="101">
        <v>20</v>
      </c>
      <c r="J147" s="64" t="s">
        <v>672</v>
      </c>
      <c r="M147" s="529"/>
      <c r="N147" s="92">
        <v>0.6</v>
      </c>
      <c r="O147" s="92">
        <v>0.6</v>
      </c>
      <c r="P147" s="92">
        <v>0.6</v>
      </c>
    </row>
    <row r="148" spans="1:18" ht="16" customHeight="1">
      <c r="B148" s="64" t="s">
        <v>163</v>
      </c>
      <c r="C148" s="54"/>
      <c r="D148" s="54"/>
      <c r="E148" s="70"/>
      <c r="F148" s="71">
        <f>+F147*F146</f>
        <v>0</v>
      </c>
      <c r="G148" s="71">
        <f t="shared" ref="G148:H148" si="85">+G147*G146</f>
        <v>5684000</v>
      </c>
      <c r="H148" s="71">
        <f t="shared" si="85"/>
        <v>0</v>
      </c>
      <c r="J148" s="63" t="s">
        <v>151</v>
      </c>
      <c r="K148" s="54"/>
      <c r="L148" s="54"/>
      <c r="M148" s="67"/>
      <c r="N148" s="68"/>
      <c r="O148" s="68"/>
      <c r="P148" s="68"/>
    </row>
    <row r="149" spans="1:18" ht="16" customHeight="1">
      <c r="B149" s="55" t="s">
        <v>705</v>
      </c>
      <c r="E149" s="61"/>
      <c r="F149" s="62"/>
      <c r="G149" s="62"/>
      <c r="H149" s="62"/>
      <c r="J149" s="64" t="s">
        <v>173</v>
      </c>
      <c r="N149" s="92">
        <v>0.6</v>
      </c>
      <c r="O149" s="92">
        <v>0.6</v>
      </c>
      <c r="P149" s="92">
        <v>0.6</v>
      </c>
    </row>
    <row r="150" spans="1:18" ht="16" customHeight="1">
      <c r="B150" s="64" t="s">
        <v>162</v>
      </c>
      <c r="E150" s="65"/>
      <c r="F150" s="370">
        <v>1.0000000000000001E-5</v>
      </c>
      <c r="G150" s="62">
        <v>32480</v>
      </c>
      <c r="H150" s="62">
        <v>1.0000000000000001E-5</v>
      </c>
      <c r="J150" s="64" t="s">
        <v>172</v>
      </c>
      <c r="N150" s="98">
        <v>1.3</v>
      </c>
      <c r="O150" s="98">
        <v>1.3</v>
      </c>
      <c r="P150" s="98">
        <v>1.3</v>
      </c>
    </row>
    <row r="151" spans="1:18" ht="16" customHeight="1">
      <c r="A151" s="529"/>
      <c r="B151" s="64" t="s">
        <v>118</v>
      </c>
      <c r="E151" s="54"/>
      <c r="F151" s="101">
        <v>0</v>
      </c>
      <c r="G151" s="101">
        <v>35</v>
      </c>
      <c r="H151" s="101">
        <v>40</v>
      </c>
      <c r="J151" s="64" t="s">
        <v>149</v>
      </c>
      <c r="K151" s="54"/>
      <c r="L151" s="54"/>
      <c r="M151" s="93"/>
      <c r="N151" s="99">
        <v>6.5000000000000002E-2</v>
      </c>
      <c r="O151" s="99">
        <v>0.06</v>
      </c>
      <c r="P151" s="99">
        <v>6.5000000000000002E-2</v>
      </c>
    </row>
    <row r="152" spans="1:18" ht="16" customHeight="1">
      <c r="B152" s="64" t="s">
        <v>163</v>
      </c>
      <c r="E152" s="70"/>
      <c r="F152" s="71">
        <f>+F151*F150</f>
        <v>0</v>
      </c>
      <c r="G152" s="71">
        <f t="shared" ref="G152:H152" si="86">+G151*G150</f>
        <v>1136800</v>
      </c>
      <c r="H152" s="71">
        <f t="shared" si="86"/>
        <v>4.0000000000000002E-4</v>
      </c>
      <c r="J152" s="64" t="s">
        <v>150</v>
      </c>
      <c r="K152" s="54"/>
      <c r="L152" s="54"/>
      <c r="M152" s="67"/>
      <c r="N152" s="99">
        <v>0.01</v>
      </c>
      <c r="O152" s="99">
        <v>0.01</v>
      </c>
      <c r="P152" s="99">
        <v>0.01</v>
      </c>
    </row>
    <row r="153" spans="1:18" ht="16" customHeight="1">
      <c r="B153" s="75" t="s">
        <v>807</v>
      </c>
      <c r="C153" s="76"/>
      <c r="D153" s="76"/>
      <c r="E153" s="77">
        <f>+SUM(F153:H153)</f>
        <v>9935175.0003999993</v>
      </c>
      <c r="F153" s="78">
        <f>+F144+F148+F152</f>
        <v>0</v>
      </c>
      <c r="G153" s="78">
        <f t="shared" ref="G153:H153" si="87">+G144+G148+G152</f>
        <v>9935175</v>
      </c>
      <c r="H153" s="78">
        <f t="shared" si="87"/>
        <v>4.0000000000000002E-4</v>
      </c>
      <c r="J153" s="64" t="s">
        <v>156</v>
      </c>
      <c r="K153" s="54"/>
      <c r="L153" s="54"/>
      <c r="M153" s="67"/>
      <c r="N153" s="100">
        <v>30</v>
      </c>
      <c r="O153" s="100">
        <v>30</v>
      </c>
      <c r="P153" s="100">
        <v>30</v>
      </c>
    </row>
    <row r="154" spans="1:18" ht="16" customHeight="1">
      <c r="B154" s="79" t="s">
        <v>130</v>
      </c>
      <c r="C154" s="80"/>
      <c r="D154" s="80"/>
      <c r="E154" s="81">
        <f>+SUM(F154:H154)</f>
        <v>319455.00002000004</v>
      </c>
      <c r="F154" s="82">
        <f>+F142+F146+F150</f>
        <v>1.0000000000000001E-5</v>
      </c>
      <c r="G154" s="82">
        <f t="shared" ref="G154:H154" si="88">+G142+G146+G150</f>
        <v>319455</v>
      </c>
      <c r="H154" s="82">
        <f t="shared" si="88"/>
        <v>1.0000000000000001E-5</v>
      </c>
      <c r="J154" s="63" t="s">
        <v>158</v>
      </c>
      <c r="K154" s="54"/>
      <c r="L154" s="54"/>
      <c r="M154" s="67"/>
      <c r="N154" s="134"/>
      <c r="O154" s="134"/>
      <c r="P154" s="134"/>
    </row>
    <row r="155" spans="1:18" ht="16" customHeight="1">
      <c r="B155" s="84" t="s">
        <v>133</v>
      </c>
      <c r="C155" s="85"/>
      <c r="D155" s="85"/>
      <c r="E155" s="95">
        <f>+IFERROR(E153/E154,"")</f>
        <v>31.100389725557559</v>
      </c>
      <c r="F155" s="96">
        <f>+IFERROR(F153/F154,"")</f>
        <v>0</v>
      </c>
      <c r="G155" s="96">
        <f t="shared" ref="G155:H155" si="89">+IFERROR(G153/G154,"")</f>
        <v>31.100389726252523</v>
      </c>
      <c r="H155" s="96">
        <f t="shared" si="89"/>
        <v>40</v>
      </c>
      <c r="J155" s="64" t="s">
        <v>173</v>
      </c>
      <c r="K155" s="54"/>
      <c r="L155" s="54"/>
      <c r="M155" s="67"/>
      <c r="N155" s="92">
        <v>0.6</v>
      </c>
      <c r="O155" s="92">
        <v>0.6</v>
      </c>
      <c r="P155" s="92">
        <v>0.6</v>
      </c>
    </row>
    <row r="156" spans="1:18" ht="16" customHeight="1">
      <c r="J156" s="64" t="s">
        <v>172</v>
      </c>
      <c r="N156" s="98">
        <v>1.3</v>
      </c>
      <c r="O156" s="98">
        <v>1.3</v>
      </c>
      <c r="P156" s="98">
        <v>1.3</v>
      </c>
    </row>
    <row r="157" spans="1:18" ht="16" customHeight="1">
      <c r="J157" s="64" t="s">
        <v>149</v>
      </c>
      <c r="K157" s="54"/>
      <c r="L157" s="54"/>
      <c r="M157" s="93"/>
      <c r="N157" s="99">
        <v>6.5000000000000002E-2</v>
      </c>
      <c r="O157" s="99">
        <v>6.5000000000000002E-2</v>
      </c>
      <c r="P157" s="99">
        <v>6.5000000000000002E-2</v>
      </c>
    </row>
    <row r="158" spans="1:18" ht="16" customHeight="1" thickBot="1">
      <c r="B158" s="954" t="s">
        <v>169</v>
      </c>
      <c r="C158" s="954"/>
      <c r="D158" s="54"/>
      <c r="E158" s="50" t="s">
        <v>62</v>
      </c>
      <c r="F158" s="50" t="str">
        <f>+F$21</f>
        <v>I</v>
      </c>
      <c r="G158" s="50" t="str">
        <f>+G$21</f>
        <v>II</v>
      </c>
      <c r="H158" s="50" t="str">
        <f>+H$21</f>
        <v>III</v>
      </c>
      <c r="J158" s="64" t="s">
        <v>150</v>
      </c>
      <c r="K158" s="54"/>
      <c r="L158" s="54"/>
      <c r="M158" s="67"/>
      <c r="N158" s="99">
        <v>0.01</v>
      </c>
      <c r="O158" s="99">
        <v>0.01</v>
      </c>
      <c r="P158" s="99">
        <v>0.01</v>
      </c>
    </row>
    <row r="159" spans="1:18" ht="16" customHeight="1">
      <c r="B159" s="55" t="s">
        <v>706</v>
      </c>
      <c r="C159" s="54"/>
      <c r="D159" s="54"/>
      <c r="E159" s="61"/>
      <c r="F159" s="62"/>
      <c r="G159" s="62"/>
      <c r="H159" s="62"/>
      <c r="J159" s="64" t="s">
        <v>156</v>
      </c>
      <c r="K159" s="54"/>
      <c r="L159" s="54"/>
      <c r="M159" s="67"/>
      <c r="N159" s="100" t="s">
        <v>161</v>
      </c>
      <c r="O159" s="100" t="s">
        <v>161</v>
      </c>
      <c r="P159" s="100" t="s">
        <v>161</v>
      </c>
    </row>
    <row r="160" spans="1:18" ht="16" customHeight="1">
      <c r="B160" s="64" t="s">
        <v>162</v>
      </c>
      <c r="C160" s="54"/>
      <c r="D160" s="54"/>
      <c r="E160" s="65"/>
      <c r="F160" s="370">
        <f>'Parcel Breakdown'!H85*11</f>
        <v>193534</v>
      </c>
      <c r="G160" s="370">
        <v>9.9999999999999995E-7</v>
      </c>
      <c r="H160" s="370">
        <v>9.9999999999999995E-7</v>
      </c>
      <c r="J160" s="63" t="s">
        <v>822</v>
      </c>
      <c r="K160" s="54"/>
      <c r="L160" s="54"/>
      <c r="M160" s="67"/>
      <c r="N160" s="68"/>
      <c r="O160" s="68"/>
      <c r="P160" s="68"/>
      <c r="R160" s="224"/>
    </row>
    <row r="161" spans="2:18" ht="16" customHeight="1">
      <c r="B161" s="64" t="s">
        <v>118</v>
      </c>
      <c r="C161" s="54"/>
      <c r="D161" s="54"/>
      <c r="E161" s="54"/>
      <c r="F161" s="101">
        <v>38</v>
      </c>
      <c r="G161" s="101">
        <f>+F161*(1+0.02)^2</f>
        <v>39.535200000000003</v>
      </c>
      <c r="H161" s="101">
        <f>+F161*(1+0.02)^4</f>
        <v>41.132422079999998</v>
      </c>
      <c r="J161" s="64" t="s">
        <v>173</v>
      </c>
      <c r="K161" s="54"/>
      <c r="L161" s="54"/>
      <c r="M161" s="67"/>
      <c r="N161" s="92">
        <v>0.6</v>
      </c>
      <c r="O161" s="92">
        <v>0.6</v>
      </c>
      <c r="P161" s="92">
        <v>0.6</v>
      </c>
      <c r="R161" s="223"/>
    </row>
    <row r="162" spans="2:18" ht="16" customHeight="1">
      <c r="B162" s="64" t="s">
        <v>163</v>
      </c>
      <c r="C162" s="54"/>
      <c r="D162" s="54"/>
      <c r="E162" s="70"/>
      <c r="F162" s="71">
        <f>+F161*F160</f>
        <v>7354292</v>
      </c>
      <c r="G162" s="71">
        <f t="shared" ref="G162:H162" si="90">+G161*G160</f>
        <v>3.9535200000000001E-5</v>
      </c>
      <c r="H162" s="71">
        <f t="shared" si="90"/>
        <v>4.1132422079999998E-5</v>
      </c>
      <c r="J162" s="64" t="s">
        <v>172</v>
      </c>
      <c r="N162" s="98">
        <v>1.3</v>
      </c>
      <c r="O162" s="98">
        <v>1.3</v>
      </c>
      <c r="P162" s="98">
        <v>1.3</v>
      </c>
    </row>
    <row r="163" spans="2:18" ht="16" customHeight="1">
      <c r="B163" s="55" t="s">
        <v>707</v>
      </c>
      <c r="C163" s="54"/>
      <c r="D163" s="54"/>
      <c r="E163" s="61"/>
      <c r="F163" s="62"/>
      <c r="G163" s="62"/>
      <c r="H163" s="62"/>
      <c r="J163" s="64" t="s">
        <v>149</v>
      </c>
      <c r="K163" s="54"/>
      <c r="L163" s="54"/>
      <c r="M163" s="93"/>
      <c r="N163" s="99">
        <v>0.06</v>
      </c>
      <c r="O163" s="99">
        <v>0.06</v>
      </c>
      <c r="P163" s="99">
        <v>0.06</v>
      </c>
    </row>
    <row r="164" spans="2:18" ht="16" customHeight="1">
      <c r="B164" s="64" t="s">
        <v>162</v>
      </c>
      <c r="C164" s="54"/>
      <c r="D164" s="54"/>
      <c r="E164" s="65"/>
      <c r="F164" s="62">
        <v>0</v>
      </c>
      <c r="G164" s="62">
        <v>0</v>
      </c>
      <c r="H164" s="62">
        <f>905586-F160</f>
        <v>712052</v>
      </c>
      <c r="J164" s="64" t="s">
        <v>150</v>
      </c>
      <c r="K164" s="54"/>
      <c r="L164" s="54"/>
      <c r="M164" s="67"/>
      <c r="N164" s="99">
        <v>7.4999999999999997E-3</v>
      </c>
      <c r="O164" s="99">
        <v>7.4999999999999997E-3</v>
      </c>
      <c r="P164" s="99">
        <v>7.4999999999999997E-3</v>
      </c>
    </row>
    <row r="165" spans="2:18" ht="16" customHeight="1">
      <c r="B165" s="64" t="s">
        <v>118</v>
      </c>
      <c r="C165" s="54"/>
      <c r="D165" s="54"/>
      <c r="E165" s="54"/>
      <c r="F165" s="101">
        <v>40</v>
      </c>
      <c r="G165" s="101">
        <f>F165*(1+0.02)^3</f>
        <v>42.448319999999995</v>
      </c>
      <c r="H165" s="101">
        <f>G165*(1+0.02)^2</f>
        <v>44.163232127999997</v>
      </c>
      <c r="J165" s="64" t="s">
        <v>156</v>
      </c>
      <c r="K165" s="54"/>
      <c r="L165" s="54"/>
      <c r="M165" s="67"/>
      <c r="N165" s="100" t="s">
        <v>161</v>
      </c>
      <c r="O165" s="100" t="s">
        <v>161</v>
      </c>
      <c r="P165" s="100" t="s">
        <v>161</v>
      </c>
    </row>
    <row r="166" spans="2:18" ht="16" customHeight="1">
      <c r="B166" s="64" t="s">
        <v>163</v>
      </c>
      <c r="C166" s="54"/>
      <c r="D166" s="54"/>
      <c r="E166" s="70"/>
      <c r="F166" s="71">
        <f>IFERROR(F164*F165,0)</f>
        <v>0</v>
      </c>
      <c r="G166" s="71">
        <f>+G165*G164</f>
        <v>0</v>
      </c>
      <c r="H166" s="71">
        <f>+H165*H164</f>
        <v>31446517.763206653</v>
      </c>
      <c r="J166" s="63" t="s">
        <v>97</v>
      </c>
    </row>
    <row r="167" spans="2:18" ht="16" customHeight="1">
      <c r="B167" s="55" t="s">
        <v>19</v>
      </c>
      <c r="E167" s="61"/>
      <c r="F167" s="62"/>
      <c r="G167" s="62"/>
      <c r="H167" s="62"/>
      <c r="J167" s="64" t="s">
        <v>172</v>
      </c>
      <c r="N167" s="98">
        <v>1.3</v>
      </c>
      <c r="O167" s="204">
        <f t="shared" ref="O167:P171" si="91">+N167</f>
        <v>1.3</v>
      </c>
      <c r="P167" s="204">
        <f t="shared" si="91"/>
        <v>1.3</v>
      </c>
    </row>
    <row r="168" spans="2:18" ht="16" customHeight="1">
      <c r="B168" s="64" t="s">
        <v>162</v>
      </c>
      <c r="E168" s="65"/>
      <c r="F168" s="62">
        <v>0</v>
      </c>
      <c r="G168" s="62">
        <v>0</v>
      </c>
      <c r="H168" s="62">
        <v>0</v>
      </c>
      <c r="J168" s="64" t="s">
        <v>149</v>
      </c>
      <c r="K168" s="54"/>
      <c r="L168" s="54"/>
      <c r="M168" s="93"/>
      <c r="N168" s="99">
        <v>6.5000000000000002E-2</v>
      </c>
      <c r="O168" s="90">
        <f t="shared" si="91"/>
        <v>6.5000000000000002E-2</v>
      </c>
      <c r="P168" s="90">
        <f t="shared" si="91"/>
        <v>6.5000000000000002E-2</v>
      </c>
    </row>
    <row r="169" spans="2:18" ht="16" customHeight="1">
      <c r="B169" s="64" t="s">
        <v>118</v>
      </c>
      <c r="E169" s="54"/>
      <c r="F169" s="101">
        <v>10</v>
      </c>
      <c r="G169" s="101">
        <v>10</v>
      </c>
      <c r="H169" s="101">
        <v>10</v>
      </c>
      <c r="J169" s="64" t="s">
        <v>156</v>
      </c>
      <c r="N169" s="100">
        <v>30</v>
      </c>
      <c r="O169" s="74">
        <f t="shared" si="91"/>
        <v>30</v>
      </c>
      <c r="P169" s="74">
        <f t="shared" si="91"/>
        <v>30</v>
      </c>
    </row>
    <row r="170" spans="2:18" ht="16" customHeight="1">
      <c r="B170" s="64" t="s">
        <v>163</v>
      </c>
      <c r="E170" s="70"/>
      <c r="F170" s="71">
        <f>+F169*F168</f>
        <v>0</v>
      </c>
      <c r="G170" s="71">
        <f t="shared" ref="G170:H170" si="92">+G169*G168</f>
        <v>0</v>
      </c>
      <c r="H170" s="71">
        <f t="shared" si="92"/>
        <v>0</v>
      </c>
      <c r="J170" s="64" t="s">
        <v>150</v>
      </c>
      <c r="K170" s="54"/>
      <c r="L170" s="54"/>
      <c r="M170" s="67"/>
      <c r="N170" s="91">
        <v>0.01</v>
      </c>
      <c r="O170" s="134">
        <f t="shared" si="91"/>
        <v>0.01</v>
      </c>
      <c r="P170" s="134">
        <f t="shared" si="91"/>
        <v>0.01</v>
      </c>
    </row>
    <row r="171" spans="2:18" ht="16" customHeight="1">
      <c r="B171" s="75" t="s">
        <v>170</v>
      </c>
      <c r="C171" s="76"/>
      <c r="D171" s="76"/>
      <c r="E171" s="77">
        <f>+SUM(F171:H171)</f>
        <v>38800809.763287321</v>
      </c>
      <c r="F171" s="78">
        <f>+F162+F166+F170</f>
        <v>7354292</v>
      </c>
      <c r="G171" s="78">
        <f t="shared" ref="G171:H171" si="93">+G162+G166+G170</f>
        <v>3.9535200000000001E-5</v>
      </c>
      <c r="H171" s="78">
        <f t="shared" si="93"/>
        <v>31446517.763247784</v>
      </c>
      <c r="J171" s="64" t="s">
        <v>176</v>
      </c>
      <c r="N171" s="92">
        <v>0.5</v>
      </c>
      <c r="O171" s="68">
        <f t="shared" si="91"/>
        <v>0.5</v>
      </c>
      <c r="P171" s="68">
        <f t="shared" si="91"/>
        <v>0.5</v>
      </c>
    </row>
    <row r="172" spans="2:18" ht="16" customHeight="1">
      <c r="B172" s="79" t="s">
        <v>130</v>
      </c>
      <c r="C172" s="80"/>
      <c r="D172" s="80"/>
      <c r="E172" s="81">
        <f>+SUM(F172:H172)</f>
        <v>905586.00000200002</v>
      </c>
      <c r="F172" s="82">
        <f>+F160+F164+F168</f>
        <v>193534</v>
      </c>
      <c r="G172" s="82">
        <f t="shared" ref="G172" si="94">+G160+G164+G168</f>
        <v>9.9999999999999995E-7</v>
      </c>
      <c r="H172" s="82">
        <f>+H160+H164+H168</f>
        <v>712052.00000100001</v>
      </c>
      <c r="J172" s="63" t="s">
        <v>840</v>
      </c>
    </row>
    <row r="173" spans="2:18" ht="16" customHeight="1">
      <c r="B173" s="84" t="s">
        <v>133</v>
      </c>
      <c r="C173" s="85"/>
      <c r="D173" s="85"/>
      <c r="E173" s="95">
        <f>+IFERROR(E171/E172,"")</f>
        <v>42.846079514481922</v>
      </c>
      <c r="F173" s="96">
        <f>+IFERROR(F171/F172,"")</f>
        <v>38</v>
      </c>
      <c r="G173" s="96">
        <f t="shared" ref="G173:H173" si="95">+IFERROR(G171/G172,"")</f>
        <v>39.535200000000003</v>
      </c>
      <c r="H173" s="96">
        <f t="shared" si="95"/>
        <v>44.163232127995734</v>
      </c>
      <c r="J173" s="64" t="s">
        <v>34</v>
      </c>
      <c r="N173" s="102">
        <v>0</v>
      </c>
      <c r="O173" s="102">
        <v>0</v>
      </c>
      <c r="P173" s="102">
        <v>0</v>
      </c>
    </row>
    <row r="174" spans="2:18" ht="16" customHeight="1">
      <c r="J174" s="51" t="s">
        <v>845</v>
      </c>
    </row>
    <row r="175" spans="2:18" ht="16" customHeight="1" thickBot="1">
      <c r="B175" s="954" t="s">
        <v>200</v>
      </c>
      <c r="C175" s="954"/>
      <c r="D175" s="54"/>
      <c r="E175" s="50" t="s">
        <v>62</v>
      </c>
      <c r="F175" s="50" t="str">
        <f>+F$21</f>
        <v>I</v>
      </c>
      <c r="G175" s="50" t="str">
        <f>+G$21</f>
        <v>II</v>
      </c>
      <c r="H175" s="50" t="str">
        <f>+H$21</f>
        <v>III</v>
      </c>
      <c r="J175" s="135" t="s">
        <v>846</v>
      </c>
      <c r="N175" s="102">
        <v>50000</v>
      </c>
      <c r="O175" s="102">
        <v>50000</v>
      </c>
      <c r="P175" s="102">
        <v>50000</v>
      </c>
    </row>
    <row r="176" spans="2:18" ht="16" customHeight="1">
      <c r="B176" s="55" t="s">
        <v>203</v>
      </c>
      <c r="C176" s="54"/>
      <c r="D176" s="54"/>
      <c r="E176" s="61"/>
      <c r="F176" s="62"/>
      <c r="G176" s="62"/>
      <c r="H176" s="62"/>
      <c r="J176" s="64" t="s">
        <v>164</v>
      </c>
      <c r="N176" s="103">
        <f>+N175*$F$56</f>
        <v>37750000</v>
      </c>
      <c r="O176" s="103">
        <f t="shared" ref="O176:P176" si="96">+O175*$F$56</f>
        <v>37750000</v>
      </c>
      <c r="P176" s="103">
        <f t="shared" si="96"/>
        <v>37750000</v>
      </c>
    </row>
    <row r="177" spans="1:18" ht="16" customHeight="1">
      <c r="B177" s="64" t="s">
        <v>207</v>
      </c>
      <c r="C177" s="54"/>
      <c r="D177" s="54"/>
      <c r="E177" s="61"/>
      <c r="F177" s="370">
        <f>(80902+57664+24011)/F178-F197</f>
        <v>541.92333333333329</v>
      </c>
      <c r="G177" s="370">
        <v>9.9999999999999995E-7</v>
      </c>
      <c r="H177" s="370">
        <f>(184320+239008)/H178</f>
        <v>1411.0933333333332</v>
      </c>
      <c r="J177" s="64" t="s">
        <v>345</v>
      </c>
      <c r="N177" s="104">
        <v>0.85</v>
      </c>
      <c r="O177" s="104">
        <v>0.85</v>
      </c>
      <c r="P177" s="104">
        <v>0.85</v>
      </c>
    </row>
    <row r="178" spans="1:18" ht="16" customHeight="1">
      <c r="B178" s="64" t="s">
        <v>208</v>
      </c>
      <c r="C178" s="54"/>
      <c r="D178" s="54"/>
      <c r="E178" s="61"/>
      <c r="F178" s="62">
        <v>300</v>
      </c>
      <c r="G178" s="66">
        <f>+F178</f>
        <v>300</v>
      </c>
      <c r="H178" s="66">
        <f>+G178</f>
        <v>300</v>
      </c>
      <c r="J178" s="51" t="s">
        <v>842</v>
      </c>
    </row>
    <row r="179" spans="1:18" ht="16" customHeight="1">
      <c r="B179" s="64" t="s">
        <v>162</v>
      </c>
      <c r="C179" s="54"/>
      <c r="D179" s="54"/>
      <c r="E179" s="65"/>
      <c r="F179" s="66">
        <f>+F177*F178</f>
        <v>162577</v>
      </c>
      <c r="G179" s="66">
        <f t="shared" ref="G179:H179" si="97">+G177*G178</f>
        <v>2.9999999999999997E-4</v>
      </c>
      <c r="H179" s="66">
        <f t="shared" si="97"/>
        <v>423328</v>
      </c>
      <c r="J179" s="135" t="s">
        <v>843</v>
      </c>
      <c r="N179" s="91">
        <v>0.1</v>
      </c>
      <c r="O179" s="91">
        <v>0</v>
      </c>
      <c r="P179" s="91">
        <v>0</v>
      </c>
    </row>
    <row r="180" spans="1:18" ht="16" customHeight="1">
      <c r="B180" s="64"/>
      <c r="C180" s="54"/>
      <c r="D180" s="54"/>
      <c r="E180" s="65"/>
      <c r="F180" s="101"/>
      <c r="G180" s="101"/>
      <c r="H180" s="101"/>
      <c r="J180" s="64" t="s">
        <v>570</v>
      </c>
      <c r="N180" s="103">
        <f>Budget!$M$35</f>
        <v>108293402.51173501</v>
      </c>
      <c r="O180" s="103">
        <f>Budget!$M$35</f>
        <v>108293402.51173501</v>
      </c>
      <c r="P180" s="103">
        <f>Budget!$M$35</f>
        <v>108293402.51173501</v>
      </c>
    </row>
    <row r="181" spans="1:18" ht="16" customHeight="1">
      <c r="A181" s="529"/>
      <c r="B181" s="64" t="s">
        <v>209</v>
      </c>
      <c r="C181" s="54"/>
      <c r="D181" s="54"/>
      <c r="E181" s="54"/>
      <c r="F181" s="101">
        <v>100</v>
      </c>
      <c r="G181" s="101">
        <f>+F181*(1+0.02)^2</f>
        <v>104.03999999999999</v>
      </c>
      <c r="H181" s="101">
        <f>+F181*(1+0.02)^4</f>
        <v>108.243216</v>
      </c>
      <c r="J181" s="64" t="s">
        <v>167</v>
      </c>
      <c r="N181" s="103">
        <f>+N180*N179</f>
        <v>10829340.251173502</v>
      </c>
      <c r="O181" s="103">
        <f>+O180*O179</f>
        <v>0</v>
      </c>
      <c r="P181" s="103">
        <f>+P180*P179</f>
        <v>0</v>
      </c>
    </row>
    <row r="182" spans="1:18" ht="16" customHeight="1">
      <c r="A182" s="529"/>
      <c r="B182" s="64" t="s">
        <v>163</v>
      </c>
      <c r="C182" s="54"/>
      <c r="D182" s="54"/>
      <c r="E182" s="70"/>
      <c r="F182" s="71">
        <f>+F181*F177*12</f>
        <v>650308</v>
      </c>
      <c r="G182" s="71">
        <f>+G181*G177*12</f>
        <v>1.2484799999999997E-3</v>
      </c>
      <c r="H182" s="71">
        <f>+H181*H177*12</f>
        <v>1832895.36571392</v>
      </c>
      <c r="J182" s="64" t="s">
        <v>345</v>
      </c>
      <c r="N182" s="104">
        <v>0.85</v>
      </c>
      <c r="O182" s="104">
        <v>0.85</v>
      </c>
      <c r="P182" s="104">
        <v>0.85</v>
      </c>
      <c r="R182" s="529"/>
    </row>
    <row r="183" spans="1:18" ht="16" customHeight="1">
      <c r="B183" s="55" t="s">
        <v>204</v>
      </c>
      <c r="C183" s="54"/>
      <c r="D183" s="54"/>
      <c r="E183" s="61"/>
      <c r="F183" s="62"/>
      <c r="G183" s="62"/>
      <c r="H183" s="62"/>
      <c r="J183" s="51" t="s">
        <v>567</v>
      </c>
    </row>
    <row r="184" spans="1:18" ht="16" customHeight="1">
      <c r="B184" s="64" t="s">
        <v>207</v>
      </c>
      <c r="C184" s="54"/>
      <c r="D184" s="54"/>
      <c r="E184" s="61"/>
      <c r="F184" s="62">
        <f>(57664+24011)/F198</f>
        <v>272.25</v>
      </c>
      <c r="G184" s="62">
        <v>0</v>
      </c>
      <c r="H184" s="62">
        <v>0</v>
      </c>
      <c r="J184" s="64" t="s">
        <v>166</v>
      </c>
      <c r="N184" s="102">
        <v>0</v>
      </c>
      <c r="O184" s="102">
        <v>1E-4</v>
      </c>
      <c r="P184" s="102">
        <v>0</v>
      </c>
    </row>
    <row r="185" spans="1:18" ht="16" customHeight="1">
      <c r="B185" s="64" t="s">
        <v>208</v>
      </c>
      <c r="C185" s="54"/>
      <c r="D185" s="54"/>
      <c r="E185" s="61"/>
      <c r="F185" s="66">
        <f>+F$178</f>
        <v>300</v>
      </c>
      <c r="G185" s="66">
        <f t="shared" ref="G185:H185" si="98">+G$178</f>
        <v>300</v>
      </c>
      <c r="H185" s="66">
        <f t="shared" si="98"/>
        <v>300</v>
      </c>
      <c r="J185" s="64" t="s">
        <v>167</v>
      </c>
      <c r="N185" s="103">
        <f>+N184*0.39</f>
        <v>0</v>
      </c>
      <c r="O185" s="103">
        <f>+O184*0.39</f>
        <v>3.9000000000000006E-5</v>
      </c>
      <c r="P185" s="103">
        <f>+P184*0.39</f>
        <v>0</v>
      </c>
    </row>
    <row r="186" spans="1:18" ht="16" customHeight="1">
      <c r="B186" s="64" t="s">
        <v>162</v>
      </c>
      <c r="C186" s="54"/>
      <c r="D186" s="54"/>
      <c r="E186" s="65"/>
      <c r="F186" s="66">
        <f>+F184*F185</f>
        <v>81675</v>
      </c>
      <c r="G186" s="66">
        <f t="shared" ref="G186" si="99">+G184*G185</f>
        <v>0</v>
      </c>
      <c r="H186" s="66">
        <f t="shared" ref="H186" si="100">+H184*H185</f>
        <v>0</v>
      </c>
      <c r="J186" s="64" t="s">
        <v>165</v>
      </c>
      <c r="N186" s="104">
        <v>0.9</v>
      </c>
      <c r="O186" s="104">
        <v>0.9</v>
      </c>
      <c r="P186" s="104">
        <v>0.9</v>
      </c>
    </row>
    <row r="187" spans="1:18" ht="16" customHeight="1">
      <c r="B187" s="64"/>
      <c r="C187" s="54"/>
      <c r="D187" s="54"/>
      <c r="E187" s="65"/>
      <c r="F187" s="92"/>
      <c r="G187" s="92"/>
      <c r="H187" s="92"/>
      <c r="J187" s="51" t="s">
        <v>847</v>
      </c>
    </row>
    <row r="188" spans="1:18" ht="16" customHeight="1">
      <c r="B188" s="64" t="s">
        <v>209</v>
      </c>
      <c r="C188" s="54"/>
      <c r="D188" s="54"/>
      <c r="E188" s="54"/>
      <c r="F188" s="101">
        <v>0</v>
      </c>
      <c r="G188" s="101">
        <v>0</v>
      </c>
      <c r="H188" s="101">
        <v>0</v>
      </c>
      <c r="J188" s="64" t="s">
        <v>1203</v>
      </c>
      <c r="N188" s="102">
        <f>N95*10%</f>
        <v>503.42860927152316</v>
      </c>
      <c r="O188" s="102">
        <f>O95*15%</f>
        <v>785.65068762913904</v>
      </c>
      <c r="P188" s="102">
        <f t="shared" ref="P188" si="101">P95*10%</f>
        <v>544.92731693957091</v>
      </c>
    </row>
    <row r="189" spans="1:18" ht="16" customHeight="1">
      <c r="B189" s="64" t="s">
        <v>163</v>
      </c>
      <c r="C189" s="54"/>
      <c r="D189" s="54"/>
      <c r="E189" s="70"/>
      <c r="F189" s="71">
        <f>+F188*F184*12</f>
        <v>0</v>
      </c>
      <c r="G189" s="71">
        <f>+G188*G184*12</f>
        <v>0</v>
      </c>
      <c r="H189" s="71">
        <f>+H188*H184*12</f>
        <v>0</v>
      </c>
      <c r="J189" s="64" t="s">
        <v>167</v>
      </c>
      <c r="N189" s="103">
        <f>+N188*$F$56</f>
        <v>380088.6</v>
      </c>
      <c r="O189" s="103">
        <f t="shared" ref="O189:P189" si="102">+O188*$F$56</f>
        <v>593166.26916000003</v>
      </c>
      <c r="P189" s="103">
        <f t="shared" si="102"/>
        <v>411420.12428937602</v>
      </c>
    </row>
    <row r="190" spans="1:18" ht="16" customHeight="1">
      <c r="B190" s="55" t="s">
        <v>205</v>
      </c>
      <c r="C190" s="54"/>
      <c r="D190" s="54"/>
      <c r="E190" s="61"/>
      <c r="F190" s="62"/>
      <c r="G190" s="62"/>
      <c r="H190" s="62"/>
      <c r="J190" s="64" t="s">
        <v>165</v>
      </c>
      <c r="N190" s="104">
        <v>0.7</v>
      </c>
      <c r="O190" s="104">
        <v>0.7</v>
      </c>
      <c r="P190" s="104">
        <v>0.7</v>
      </c>
    </row>
    <row r="191" spans="1:18" ht="16" customHeight="1">
      <c r="B191" s="64" t="s">
        <v>207</v>
      </c>
      <c r="C191" s="54"/>
      <c r="D191" s="54"/>
      <c r="E191" s="61"/>
      <c r="F191" s="62">
        <v>0</v>
      </c>
      <c r="G191" s="62">
        <v>0</v>
      </c>
      <c r="H191" s="370">
        <v>0</v>
      </c>
      <c r="J191" s="63" t="s">
        <v>386</v>
      </c>
    </row>
    <row r="192" spans="1:18" ht="16" customHeight="1">
      <c r="B192" s="64" t="s">
        <v>208</v>
      </c>
      <c r="C192" s="54"/>
      <c r="D192" s="54"/>
      <c r="E192" s="61"/>
      <c r="F192" s="66">
        <f t="shared" ref="F192:H192" si="103">+F$178</f>
        <v>300</v>
      </c>
      <c r="G192" s="66">
        <f t="shared" si="103"/>
        <v>300</v>
      </c>
      <c r="H192" s="66">
        <f t="shared" si="103"/>
        <v>300</v>
      </c>
      <c r="J192" s="64" t="s">
        <v>387</v>
      </c>
      <c r="K192" s="54"/>
      <c r="L192" s="54"/>
      <c r="M192" s="67">
        <v>0.21</v>
      </c>
      <c r="N192" s="68">
        <f>+M192</f>
        <v>0.21</v>
      </c>
      <c r="O192" s="68">
        <f t="shared" ref="O192:P194" si="104">+N192</f>
        <v>0.21</v>
      </c>
      <c r="P192" s="68">
        <f t="shared" si="104"/>
        <v>0.21</v>
      </c>
    </row>
    <row r="193" spans="2:16" ht="16" customHeight="1">
      <c r="B193" s="64" t="s">
        <v>162</v>
      </c>
      <c r="C193" s="54"/>
      <c r="D193" s="54"/>
      <c r="E193" s="65"/>
      <c r="F193" s="66">
        <f>+F191*F192</f>
        <v>0</v>
      </c>
      <c r="G193" s="66">
        <f t="shared" ref="G193" si="105">+G191*G192</f>
        <v>0</v>
      </c>
      <c r="H193" s="66">
        <f t="shared" ref="H193" si="106">+H191*H192</f>
        <v>0</v>
      </c>
      <c r="J193" s="64" t="s">
        <v>394</v>
      </c>
      <c r="M193" s="532">
        <v>27.5</v>
      </c>
      <c r="N193" s="533">
        <f>+M193</f>
        <v>27.5</v>
      </c>
      <c r="O193" s="533">
        <f t="shared" si="104"/>
        <v>27.5</v>
      </c>
      <c r="P193" s="533">
        <f t="shared" si="104"/>
        <v>27.5</v>
      </c>
    </row>
    <row r="194" spans="2:16" ht="16" customHeight="1">
      <c r="B194" s="64" t="s">
        <v>209</v>
      </c>
      <c r="C194" s="54"/>
      <c r="D194" s="54"/>
      <c r="E194" s="54"/>
      <c r="F194" s="101">
        <v>100</v>
      </c>
      <c r="G194" s="101">
        <f>+F194*(1+0.02)^2</f>
        <v>104.03999999999999</v>
      </c>
      <c r="H194" s="101">
        <f>+F194*(1+0.02)^4</f>
        <v>108.243216</v>
      </c>
      <c r="J194" s="64" t="s">
        <v>395</v>
      </c>
      <c r="M194" s="67">
        <v>0.8</v>
      </c>
      <c r="N194" s="68">
        <f>+M194</f>
        <v>0.8</v>
      </c>
      <c r="O194" s="68">
        <f t="shared" si="104"/>
        <v>0.8</v>
      </c>
      <c r="P194" s="68">
        <f t="shared" si="104"/>
        <v>0.8</v>
      </c>
    </row>
    <row r="195" spans="2:16" ht="16" customHeight="1">
      <c r="B195" s="64" t="s">
        <v>163</v>
      </c>
      <c r="C195" s="54"/>
      <c r="D195" s="54"/>
      <c r="E195" s="70"/>
      <c r="F195" s="71">
        <f>+F194*F191*12</f>
        <v>0</v>
      </c>
      <c r="G195" s="71">
        <f>+G194*G191*12</f>
        <v>0</v>
      </c>
      <c r="H195" s="71">
        <f>+H194*H191*12</f>
        <v>0</v>
      </c>
    </row>
    <row r="196" spans="2:16" ht="16" customHeight="1">
      <c r="B196" s="55" t="s">
        <v>206</v>
      </c>
      <c r="C196" s="54"/>
      <c r="D196" s="54"/>
      <c r="E196" s="61"/>
      <c r="F196" s="62"/>
      <c r="G196" s="62"/>
      <c r="H196" s="62"/>
    </row>
    <row r="197" spans="2:16" ht="16" customHeight="1">
      <c r="B197" s="64" t="s">
        <v>207</v>
      </c>
      <c r="C197" s="54"/>
      <c r="D197" s="54"/>
      <c r="E197" s="61"/>
      <c r="F197" s="62">
        <v>0</v>
      </c>
      <c r="G197" s="62">
        <v>0</v>
      </c>
      <c r="H197" s="62">
        <v>0</v>
      </c>
      <c r="N197" s="196"/>
    </row>
    <row r="198" spans="2:16" ht="16" customHeight="1">
      <c r="B198" s="64" t="s">
        <v>208</v>
      </c>
      <c r="C198" s="54"/>
      <c r="D198" s="54"/>
      <c r="E198" s="61"/>
      <c r="F198" s="62">
        <v>300</v>
      </c>
      <c r="G198" s="66">
        <f t="shared" ref="G198:H198" si="107">+G$178</f>
        <v>300</v>
      </c>
      <c r="H198" s="66">
        <f t="shared" si="107"/>
        <v>300</v>
      </c>
      <c r="N198" s="196"/>
    </row>
    <row r="199" spans="2:16" ht="16" customHeight="1">
      <c r="B199" s="64" t="s">
        <v>162</v>
      </c>
      <c r="C199" s="54"/>
      <c r="D199" s="54"/>
      <c r="E199" s="65"/>
      <c r="F199" s="66">
        <f>+F197*F198</f>
        <v>0</v>
      </c>
      <c r="G199" s="66">
        <f t="shared" ref="G199" si="108">+G197*G198</f>
        <v>0</v>
      </c>
      <c r="H199" s="66">
        <f t="shared" ref="H199" si="109">+H197*H198</f>
        <v>0</v>
      </c>
      <c r="N199" s="196"/>
    </row>
    <row r="200" spans="2:16" ht="16" customHeight="1">
      <c r="B200" s="64"/>
      <c r="C200" s="54"/>
      <c r="D200" s="54"/>
      <c r="E200" s="65"/>
      <c r="F200" s="92"/>
      <c r="G200" s="92"/>
      <c r="H200" s="92"/>
      <c r="N200" s="4"/>
      <c r="P200" s="4"/>
    </row>
    <row r="201" spans="2:16" ht="16" customHeight="1">
      <c r="B201" s="64" t="s">
        <v>209</v>
      </c>
      <c r="C201" s="54"/>
      <c r="D201" s="54"/>
      <c r="E201" s="54"/>
      <c r="F201" s="101">
        <v>0</v>
      </c>
      <c r="G201" s="101">
        <v>0</v>
      </c>
      <c r="H201" s="101">
        <v>0</v>
      </c>
    </row>
    <row r="202" spans="2:16" ht="16" customHeight="1">
      <c r="B202" s="64" t="s">
        <v>163</v>
      </c>
      <c r="C202" s="54"/>
      <c r="D202" s="54"/>
      <c r="E202" s="70"/>
      <c r="F202" s="71">
        <f>+F201*F197*12</f>
        <v>0</v>
      </c>
      <c r="G202" s="71">
        <f>+G201*G197*12</f>
        <v>0</v>
      </c>
      <c r="H202" s="71">
        <f>+H201*H197*12</f>
        <v>0</v>
      </c>
      <c r="N202" s="230"/>
    </row>
    <row r="203" spans="2:16" ht="16" customHeight="1">
      <c r="B203" s="75" t="s">
        <v>202</v>
      </c>
      <c r="C203" s="76"/>
      <c r="D203" s="76"/>
      <c r="E203" s="77">
        <f>+SUM(F203:H203)</f>
        <v>2483203.3669624003</v>
      </c>
      <c r="F203" s="78">
        <f>+F182+F189+F195+F202</f>
        <v>650308</v>
      </c>
      <c r="G203" s="78">
        <f>+G182+G189+G195+G202</f>
        <v>1.2484799999999997E-3</v>
      </c>
      <c r="H203" s="78">
        <f>+H182+H189+H195+H202</f>
        <v>1832895.36571392</v>
      </c>
      <c r="N203" s="196"/>
    </row>
    <row r="204" spans="2:16" ht="16" customHeight="1">
      <c r="B204" s="79" t="s">
        <v>219</v>
      </c>
      <c r="C204" s="80"/>
      <c r="D204" s="80"/>
      <c r="E204" s="81">
        <f>+SUM(F204:H204)</f>
        <v>667580.00029999996</v>
      </c>
      <c r="F204" s="82">
        <f>+F179+F186</f>
        <v>244252</v>
      </c>
      <c r="G204" s="82">
        <f>+G179+G186</f>
        <v>2.9999999999999997E-4</v>
      </c>
      <c r="H204" s="82">
        <f>+H179+H186</f>
        <v>423328</v>
      </c>
    </row>
    <row r="205" spans="2:16" ht="16" customHeight="1">
      <c r="B205" s="64" t="s">
        <v>220</v>
      </c>
      <c r="C205" s="53"/>
      <c r="E205" s="61">
        <f>+SUM(F205:H205)</f>
        <v>0</v>
      </c>
      <c r="F205" s="66">
        <f>+F193+F199</f>
        <v>0</v>
      </c>
      <c r="G205" s="66">
        <f>+G193+G199</f>
        <v>0</v>
      </c>
      <c r="H205" s="66">
        <f>+H193+H199</f>
        <v>0</v>
      </c>
    </row>
    <row r="206" spans="2:16" ht="16" customHeight="1">
      <c r="B206" s="84" t="s">
        <v>133</v>
      </c>
      <c r="C206" s="85"/>
      <c r="D206" s="85"/>
      <c r="E206" s="95">
        <f>+IFERROR(E203/SUM(E204:E205),"")</f>
        <v>3.719709047374828</v>
      </c>
      <c r="F206" s="96">
        <f t="shared" ref="F206:H206" si="110">+IFERROR(F203/SUM(F204:F205),"")</f>
        <v>2.6624469809868496</v>
      </c>
      <c r="G206" s="96">
        <f t="shared" si="110"/>
        <v>4.1615999999999991</v>
      </c>
      <c r="H206" s="96">
        <f t="shared" si="110"/>
        <v>4.3297286399999999</v>
      </c>
    </row>
    <row r="208" spans="2:16" ht="16" customHeight="1" thickBot="1">
      <c r="B208" s="954" t="s">
        <v>708</v>
      </c>
      <c r="C208" s="954"/>
      <c r="D208" s="54"/>
      <c r="E208" s="50" t="s">
        <v>62</v>
      </c>
      <c r="F208" s="50" t="str">
        <f>+F$21</f>
        <v>I</v>
      </c>
      <c r="G208" s="50" t="str">
        <f>+G$21</f>
        <v>II</v>
      </c>
      <c r="H208" s="50" t="str">
        <f>+H$21</f>
        <v>III</v>
      </c>
    </row>
    <row r="209" spans="2:8" ht="16" customHeight="1">
      <c r="B209" s="55" t="s">
        <v>710</v>
      </c>
      <c r="C209" s="54"/>
      <c r="D209" s="54"/>
      <c r="E209" s="61"/>
      <c r="F209" s="62"/>
      <c r="G209" s="62"/>
      <c r="H209" s="62"/>
    </row>
    <row r="210" spans="2:8" ht="16" customHeight="1">
      <c r="B210" s="64" t="s">
        <v>162</v>
      </c>
      <c r="C210" s="54"/>
      <c r="D210" s="54"/>
      <c r="E210" s="65"/>
      <c r="F210" s="62">
        <v>9.9999999999999995E-7</v>
      </c>
      <c r="G210" s="370">
        <v>140524</v>
      </c>
      <c r="H210" s="370">
        <v>1E-4</v>
      </c>
    </row>
    <row r="211" spans="2:8" ht="16" customHeight="1">
      <c r="B211" s="64" t="s">
        <v>118</v>
      </c>
      <c r="C211" s="54"/>
      <c r="D211" s="54"/>
      <c r="E211" s="54"/>
      <c r="F211" s="101">
        <v>0</v>
      </c>
      <c r="G211" s="101">
        <v>27</v>
      </c>
      <c r="H211" s="101">
        <v>0</v>
      </c>
    </row>
    <row r="212" spans="2:8" ht="16" customHeight="1">
      <c r="B212" s="64" t="s">
        <v>163</v>
      </c>
      <c r="C212" s="54"/>
      <c r="D212" s="54"/>
      <c r="E212" s="70"/>
      <c r="F212" s="71">
        <f>+F211*F210</f>
        <v>0</v>
      </c>
      <c r="G212" s="71">
        <f t="shared" ref="G212:H212" si="111">+G211*G210</f>
        <v>3794148</v>
      </c>
      <c r="H212" s="71">
        <f t="shared" si="111"/>
        <v>0</v>
      </c>
    </row>
    <row r="213" spans="2:8" ht="16" customHeight="1">
      <c r="B213" s="55" t="s">
        <v>19</v>
      </c>
      <c r="E213" s="61"/>
      <c r="F213" s="62"/>
      <c r="G213" s="62"/>
      <c r="H213" s="62"/>
    </row>
    <row r="214" spans="2:8" ht="16" customHeight="1">
      <c r="B214" s="64" t="s">
        <v>162</v>
      </c>
      <c r="E214" s="65"/>
      <c r="F214" s="62">
        <v>0</v>
      </c>
      <c r="G214" s="62">
        <v>0</v>
      </c>
      <c r="H214" s="62">
        <v>0</v>
      </c>
    </row>
    <row r="215" spans="2:8" ht="16" customHeight="1">
      <c r="B215" s="64" t="s">
        <v>118</v>
      </c>
      <c r="E215" s="54"/>
      <c r="F215" s="101">
        <v>12</v>
      </c>
      <c r="G215" s="101">
        <v>12</v>
      </c>
      <c r="H215" s="101">
        <v>12</v>
      </c>
    </row>
    <row r="216" spans="2:8" ht="16" customHeight="1">
      <c r="B216" s="64" t="s">
        <v>163</v>
      </c>
      <c r="E216" s="70"/>
      <c r="F216" s="71">
        <f>+F215*F214</f>
        <v>0</v>
      </c>
      <c r="G216" s="71">
        <f t="shared" ref="G216:H216" si="112">+G215*G214</f>
        <v>0</v>
      </c>
      <c r="H216" s="71">
        <f t="shared" si="112"/>
        <v>0</v>
      </c>
    </row>
    <row r="217" spans="2:8" ht="16" customHeight="1">
      <c r="B217" s="75" t="s">
        <v>823</v>
      </c>
      <c r="C217" s="76"/>
      <c r="D217" s="76"/>
      <c r="E217" s="77">
        <f>+SUM(F217:H217)</f>
        <v>3794148</v>
      </c>
      <c r="F217" s="78">
        <f>+F212+F216</f>
        <v>0</v>
      </c>
      <c r="G217" s="78">
        <f t="shared" ref="G217:H217" si="113">+G212+G216</f>
        <v>3794148</v>
      </c>
      <c r="H217" s="78">
        <f t="shared" si="113"/>
        <v>0</v>
      </c>
    </row>
    <row r="218" spans="2:8" ht="16" customHeight="1">
      <c r="B218" s="79" t="s">
        <v>130</v>
      </c>
      <c r="C218" s="80"/>
      <c r="D218" s="80"/>
      <c r="E218" s="81">
        <f>+SUM(F218:H218)</f>
        <v>140524.00010100001</v>
      </c>
      <c r="F218" s="82">
        <f>+F210+F214</f>
        <v>9.9999999999999995E-7</v>
      </c>
      <c r="G218" s="82">
        <f t="shared" ref="G218:H218" si="114">+G210+G214</f>
        <v>140524</v>
      </c>
      <c r="H218" s="82">
        <f t="shared" si="114"/>
        <v>1E-4</v>
      </c>
    </row>
    <row r="219" spans="2:8" ht="16" customHeight="1">
      <c r="B219" s="84" t="s">
        <v>133</v>
      </c>
      <c r="C219" s="85"/>
      <c r="D219" s="85"/>
      <c r="E219" s="95">
        <f>+IFERROR(E217/E218,"")</f>
        <v>26.999999980594058</v>
      </c>
      <c r="F219" s="96">
        <f>+IFERROR(F217/F218,"")</f>
        <v>0</v>
      </c>
      <c r="G219" s="96">
        <f t="shared" ref="G219:H219" si="115">+IFERROR(G217/G218,"")</f>
        <v>27</v>
      </c>
      <c r="H219" s="96">
        <f t="shared" si="115"/>
        <v>0</v>
      </c>
    </row>
  </sheetData>
  <mergeCells count="15">
    <mergeCell ref="B60:C60"/>
    <mergeCell ref="J20:K20"/>
    <mergeCell ref="B208:C208"/>
    <mergeCell ref="B92:C92"/>
    <mergeCell ref="J138:K138"/>
    <mergeCell ref="B123:C123"/>
    <mergeCell ref="B140:C140"/>
    <mergeCell ref="B158:C158"/>
    <mergeCell ref="B175:C175"/>
    <mergeCell ref="J126:K126"/>
    <mergeCell ref="R21:S21"/>
    <mergeCell ref="F20:H20"/>
    <mergeCell ref="B21:C21"/>
    <mergeCell ref="B33:C33"/>
    <mergeCell ref="J52:K52"/>
  </mergeCells>
  <phoneticPr fontId="79" type="noConversion"/>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BA145"/>
  <sheetViews>
    <sheetView showGridLines="0" topLeftCell="A71" zoomScale="55" zoomScaleNormal="55" workbookViewId="0">
      <pane xSplit="1" ySplit="12" topLeftCell="B83" activePane="bottomRight" state="frozen"/>
      <selection activeCell="A71" sqref="A71"/>
      <selection pane="topRight" activeCell="B71" sqref="B71"/>
      <selection pane="bottomLeft" activeCell="A83" sqref="A83"/>
      <selection pane="bottomRight" activeCell="P90" sqref="P90"/>
    </sheetView>
  </sheetViews>
  <sheetFormatPr defaultColWidth="8.81640625" defaultRowHeight="16" customHeight="1"/>
  <cols>
    <col min="1" max="1" width="8.81640625" style="41"/>
    <col min="2" max="2" width="20.453125" style="41" customWidth="1"/>
    <col min="3" max="3" width="14.453125" style="41" customWidth="1"/>
    <col min="4" max="4" width="16.453125" style="325" customWidth="1"/>
    <col min="5" max="8" width="14.453125" style="325" customWidth="1"/>
    <col min="9" max="9" width="6.54296875" style="325" bestFit="1" customWidth="1"/>
    <col min="10" max="10" width="23.7265625" style="325" bestFit="1" customWidth="1"/>
    <col min="11" max="11" width="12.453125" style="41" bestFit="1" customWidth="1"/>
    <col min="12" max="12" width="7.453125" style="325" customWidth="1"/>
    <col min="13" max="24" width="16.453125" style="325" customWidth="1"/>
    <col min="25" max="25" width="7.453125" style="325" customWidth="1"/>
    <col min="26" max="26" width="16.453125" style="41" customWidth="1"/>
    <col min="27" max="27" width="16.1796875" style="41" customWidth="1"/>
    <col min="28" max="35" width="16.453125" style="41" customWidth="1"/>
    <col min="36" max="38" width="8.81640625" style="41"/>
    <col min="39" max="39" width="12.453125" style="41" customWidth="1"/>
    <col min="40" max="40" width="8.81640625" style="41"/>
    <col min="41" max="50" width="16.453125" style="41" customWidth="1"/>
    <col min="51" max="51" width="11.453125" style="41" bestFit="1" customWidth="1"/>
    <col min="52" max="52" width="8.81640625" style="41"/>
    <col min="53" max="53" width="13.453125" style="41" customWidth="1"/>
    <col min="54" max="16384" width="8.81640625" style="41"/>
  </cols>
  <sheetData>
    <row r="1" spans="1:53" ht="16" customHeight="1">
      <c r="M1" s="146">
        <v>0</v>
      </c>
      <c r="N1" s="146">
        <f>+M1+1</f>
        <v>1</v>
      </c>
      <c r="O1" s="146">
        <f t="shared" ref="O1" si="0">+N1+1</f>
        <v>2</v>
      </c>
      <c r="P1" s="146">
        <f t="shared" ref="P1" si="1">+O1+1</f>
        <v>3</v>
      </c>
      <c r="Q1" s="146">
        <f t="shared" ref="Q1" si="2">+P1+1</f>
        <v>4</v>
      </c>
      <c r="R1" s="146">
        <f t="shared" ref="R1" si="3">+Q1+1</f>
        <v>5</v>
      </c>
      <c r="S1" s="146">
        <f t="shared" ref="S1" si="4">+R1+1</f>
        <v>6</v>
      </c>
      <c r="T1" s="146">
        <f t="shared" ref="T1" si="5">+S1+1</f>
        <v>7</v>
      </c>
      <c r="U1" s="146">
        <f t="shared" ref="U1" si="6">+T1+1</f>
        <v>8</v>
      </c>
      <c r="V1" s="146"/>
      <c r="W1" s="146"/>
      <c r="Z1" s="146">
        <v>0</v>
      </c>
      <c r="AA1" s="146">
        <f>+Z1+1</f>
        <v>1</v>
      </c>
      <c r="AB1" s="146">
        <f t="shared" ref="AB1:AI1" si="7">+AA1+1</f>
        <v>2</v>
      </c>
      <c r="AC1" s="146">
        <f t="shared" si="7"/>
        <v>3</v>
      </c>
      <c r="AD1" s="146">
        <f t="shared" si="7"/>
        <v>4</v>
      </c>
      <c r="AE1" s="146">
        <f t="shared" si="7"/>
        <v>5</v>
      </c>
      <c r="AF1" s="146">
        <f t="shared" si="7"/>
        <v>6</v>
      </c>
      <c r="AG1" s="146">
        <f t="shared" si="7"/>
        <v>7</v>
      </c>
      <c r="AH1" s="146">
        <f t="shared" si="7"/>
        <v>8</v>
      </c>
      <c r="AI1" s="146">
        <f t="shared" si="7"/>
        <v>9</v>
      </c>
    </row>
    <row r="2" spans="1:53" ht="16" customHeight="1">
      <c r="M2" s="535">
        <f ca="1">+OFFSET(Budget!$D$35,'Parcel Breakdown'!M1,0)</f>
        <v>170</v>
      </c>
      <c r="N2" s="535">
        <f ca="1">+OFFSET(Budget!$D$35,'Parcel Breakdown'!N1,0)</f>
        <v>180</v>
      </c>
      <c r="O2" s="535">
        <f ca="1">+OFFSET(Budget!$D$35,'Parcel Breakdown'!O1,0)</f>
        <v>165</v>
      </c>
      <c r="P2" s="535">
        <f ca="1">+OFFSET(Budget!$D$35,'Parcel Breakdown'!P1,0)</f>
        <v>185</v>
      </c>
      <c r="Q2" s="535">
        <f ca="1">+OFFSET(Budget!$D$35,'Parcel Breakdown'!Q1,0)</f>
        <v>165</v>
      </c>
      <c r="R2" s="535">
        <f ca="1">+OFFSET(Budget!$D$35,'Parcel Breakdown'!R1,0)</f>
        <v>165</v>
      </c>
      <c r="S2" s="535">
        <f ca="1">+OFFSET(Budget!$D$35,'Parcel Breakdown'!S1,0)</f>
        <v>95</v>
      </c>
      <c r="T2" s="535">
        <f ca="1">+OFFSET(Budget!$D$35,'Parcel Breakdown'!T1,0)</f>
        <v>50</v>
      </c>
      <c r="U2" s="535">
        <f ca="1">+OFFSET(Budget!$D$35,'Parcel Breakdown'!U1,0)</f>
        <v>10</v>
      </c>
      <c r="V2" s="535"/>
      <c r="W2" s="535"/>
      <c r="Z2" s="146"/>
      <c r="AA2" s="146"/>
      <c r="AB2" s="146"/>
      <c r="AC2" s="146"/>
      <c r="AD2" s="146"/>
      <c r="AE2" s="146"/>
      <c r="AF2" s="146"/>
      <c r="AG2" s="146"/>
      <c r="AH2" s="146"/>
      <c r="AI2" s="146"/>
    </row>
    <row r="3" spans="1:53" ht="16" customHeight="1">
      <c r="M3" s="956" t="s">
        <v>560</v>
      </c>
      <c r="N3" s="956"/>
      <c r="O3" s="956"/>
      <c r="P3" s="956"/>
      <c r="Q3" s="956"/>
      <c r="R3" s="956"/>
      <c r="S3" s="956"/>
      <c r="T3" s="956"/>
      <c r="U3" s="956"/>
      <c r="V3" s="956" t="s">
        <v>561</v>
      </c>
      <c r="W3" s="956"/>
      <c r="Z3" s="956" t="s">
        <v>446</v>
      </c>
      <c r="AA3" s="956"/>
      <c r="AB3" s="956"/>
      <c r="AC3" s="956"/>
      <c r="AD3" s="956"/>
      <c r="AE3" s="956"/>
      <c r="AF3" s="956"/>
      <c r="AG3" s="956"/>
      <c r="AH3" s="956"/>
      <c r="AI3" s="322"/>
      <c r="AK3" s="956" t="s">
        <v>449</v>
      </c>
      <c r="AL3" s="956"/>
      <c r="AM3" s="956"/>
      <c r="AP3" s="956" t="s">
        <v>447</v>
      </c>
      <c r="AQ3" s="956"/>
      <c r="AR3" s="956"/>
      <c r="AS3" s="956"/>
      <c r="AT3" s="956"/>
      <c r="AU3" s="956"/>
      <c r="AV3" s="956"/>
      <c r="AW3" s="956"/>
      <c r="AX3" s="956"/>
    </row>
    <row r="4" spans="1:53" ht="53.25" customHeight="1">
      <c r="B4" s="211" t="s">
        <v>425</v>
      </c>
      <c r="C4" s="211" t="s">
        <v>227</v>
      </c>
      <c r="D4" s="211" t="s">
        <v>463</v>
      </c>
      <c r="E4" s="402" t="s">
        <v>524</v>
      </c>
      <c r="F4" s="322" t="s">
        <v>443</v>
      </c>
      <c r="G4" s="322" t="s">
        <v>444</v>
      </c>
      <c r="H4" s="322" t="s">
        <v>445</v>
      </c>
      <c r="I4" s="328"/>
      <c r="J4" s="328"/>
      <c r="K4" s="212" t="s">
        <v>218</v>
      </c>
      <c r="L4" s="328"/>
      <c r="M4" s="534" t="str">
        <f ca="1">+OFFSET(Budget!$B$35,M1,0)</f>
        <v>Affordable Residential</v>
      </c>
      <c r="N4" s="534" t="str">
        <f ca="1">+OFFSET(Budget!$B$35,N1,0)</f>
        <v>Multifamily</v>
      </c>
      <c r="O4" s="534" t="str">
        <f ca="1">+OFFSET(Budget!$B$35,O1,0)</f>
        <v>Retail</v>
      </c>
      <c r="P4" s="534" t="str">
        <f ca="1">+OFFSET(Budget!$B$35,P1,0)</f>
        <v>Hotel</v>
      </c>
      <c r="Q4" s="534" t="str">
        <f ca="1">+OFFSET(Budget!$B$35,Q1,0)</f>
        <v>Gallery &amp; Museum Facility</v>
      </c>
      <c r="R4" s="534" t="str">
        <f ca="1">+OFFSET(Budget!$B$35,R1,0)</f>
        <v>Office</v>
      </c>
      <c r="S4" s="534" t="str">
        <f ca="1">+OFFSET(Budget!$B$35,S1,0)</f>
        <v>School (gray work)</v>
      </c>
      <c r="T4" s="534" t="str">
        <f ca="1">+OFFSET(Budget!$B$35,T1,0)</f>
        <v>Structural Parking</v>
      </c>
      <c r="U4" s="534" t="str">
        <f ca="1">+OFFSET(Budget!$B$35,U1,0)</f>
        <v>Surface Parking</v>
      </c>
      <c r="V4" s="534" t="s">
        <v>562</v>
      </c>
      <c r="W4" s="534" t="s">
        <v>563</v>
      </c>
      <c r="X4" s="328"/>
      <c r="Y4" s="328"/>
      <c r="Z4" s="212" t="str">
        <f ca="1">+OFFSET(Budget!$B$35,Z1,0)</f>
        <v>Affordable Residential</v>
      </c>
      <c r="AA4" s="322" t="str">
        <f ca="1">+OFFSET(Budget!$B$35,AA1,0)</f>
        <v>Multifamily</v>
      </c>
      <c r="AB4" s="322" t="str">
        <f ca="1">+OFFSET(Budget!$B$35,AB1,0)</f>
        <v>Retail</v>
      </c>
      <c r="AC4" s="322" t="str">
        <f ca="1">+OFFSET(Budget!$B$35,AC1,0)</f>
        <v>Hotel</v>
      </c>
      <c r="AD4" s="322" t="str">
        <f ca="1">+OFFSET(Budget!$B$35,AD1,0)</f>
        <v>Gallery &amp; Museum Facility</v>
      </c>
      <c r="AE4" s="322" t="str">
        <f ca="1">+OFFSET(Budget!$B$35,AE1,0)</f>
        <v>Office</v>
      </c>
      <c r="AF4" s="322" t="str">
        <f ca="1">+OFFSET(Budget!$B$35,AF1,0)</f>
        <v>School (gray work)</v>
      </c>
      <c r="AG4" s="322" t="str">
        <f ca="1">+OFFSET(Budget!$B$35,AG1,0)</f>
        <v>Structural Parking</v>
      </c>
      <c r="AH4" s="322" t="str">
        <f ca="1">+OFFSET(Budget!$B$35,AH1,0)</f>
        <v>Surface Parking</v>
      </c>
      <c r="AI4" s="364" t="s">
        <v>451</v>
      </c>
      <c r="AK4" s="322" t="s">
        <v>448</v>
      </c>
      <c r="AL4" s="322" t="s">
        <v>26</v>
      </c>
      <c r="AM4" s="322" t="s">
        <v>450</v>
      </c>
      <c r="AN4" s="329"/>
      <c r="AO4" s="322" t="s">
        <v>217</v>
      </c>
      <c r="AP4" s="322" t="str">
        <f ca="1">+Z4</f>
        <v>Affordable Residential</v>
      </c>
      <c r="AQ4" s="322" t="str">
        <f t="shared" ref="AQ4:AX4" ca="1" si="8">+AA4</f>
        <v>Multifamily</v>
      </c>
      <c r="AR4" s="322" t="str">
        <f t="shared" ca="1" si="8"/>
        <v>Retail</v>
      </c>
      <c r="AS4" s="322" t="str">
        <f t="shared" ca="1" si="8"/>
        <v>Hotel</v>
      </c>
      <c r="AT4" s="322" t="str">
        <f t="shared" ca="1" si="8"/>
        <v>Gallery &amp; Museum Facility</v>
      </c>
      <c r="AU4" s="322" t="str">
        <f t="shared" ca="1" si="8"/>
        <v>Office</v>
      </c>
      <c r="AV4" s="322" t="str">
        <f t="shared" ca="1" si="8"/>
        <v>School (gray work)</v>
      </c>
      <c r="AW4" s="322" t="str">
        <f t="shared" ca="1" si="8"/>
        <v>Structural Parking</v>
      </c>
      <c r="AX4" s="322" t="str">
        <f t="shared" ca="1" si="8"/>
        <v>Surface Parking</v>
      </c>
      <c r="BA4" s="402" t="s">
        <v>530</v>
      </c>
    </row>
    <row r="5" spans="1:53" s="207" customFormat="1" ht="31.5" customHeight="1">
      <c r="B5" s="326"/>
      <c r="C5" s="326"/>
      <c r="D5" s="328"/>
      <c r="E5" s="328"/>
      <c r="F5" s="328"/>
      <c r="G5" s="328"/>
      <c r="H5" s="328"/>
      <c r="I5" s="328"/>
      <c r="J5" s="328"/>
      <c r="K5" s="328"/>
      <c r="L5" s="328"/>
      <c r="M5" s="361"/>
      <c r="N5" s="361"/>
      <c r="O5" s="328"/>
      <c r="P5" s="328"/>
      <c r="Q5" s="328"/>
      <c r="R5" s="328"/>
      <c r="S5" s="328"/>
      <c r="T5" s="328"/>
      <c r="U5" s="328"/>
      <c r="V5" s="328"/>
      <c r="W5" s="328"/>
      <c r="X5" s="328"/>
      <c r="Y5" s="328"/>
      <c r="Z5" s="361">
        <v>0.2</v>
      </c>
      <c r="AA5" s="361">
        <v>0.8</v>
      </c>
      <c r="AB5" s="328"/>
      <c r="AC5" s="328"/>
      <c r="AD5" s="328"/>
      <c r="AE5" s="328"/>
      <c r="AF5" s="328"/>
      <c r="AG5" s="328"/>
      <c r="AH5" s="328"/>
      <c r="AI5" s="328"/>
      <c r="AO5" s="328"/>
      <c r="AP5" s="328"/>
      <c r="AQ5" s="328"/>
      <c r="AR5" s="328"/>
      <c r="AS5" s="328"/>
      <c r="AT5" s="328"/>
      <c r="AU5" s="328"/>
      <c r="AV5" s="328"/>
      <c r="AW5" s="328"/>
      <c r="AX5" s="328"/>
      <c r="BA5" s="328"/>
    </row>
    <row r="6" spans="1:53" ht="16" customHeight="1">
      <c r="A6" s="517" t="str">
        <f>RIGHT(B6,2)</f>
        <v>A1</v>
      </c>
      <c r="B6" s="350" t="s">
        <v>439</v>
      </c>
      <c r="C6" s="351" t="s">
        <v>226</v>
      </c>
      <c r="D6" s="351" t="s">
        <v>462</v>
      </c>
      <c r="E6" s="352">
        <v>53728</v>
      </c>
      <c r="F6" s="352">
        <v>139509</v>
      </c>
      <c r="G6" s="352">
        <v>102611</v>
      </c>
      <c r="H6" s="352">
        <v>0</v>
      </c>
      <c r="I6" s="340"/>
      <c r="J6" s="340"/>
      <c r="K6" s="353">
        <f>+SUM(F6:H6)</f>
        <v>242120</v>
      </c>
      <c r="L6" s="340"/>
      <c r="M6" s="536">
        <f ca="1">+M$2*Z6*(1+Assumptions!$P$85)^Assumptions!$P$86</f>
        <v>8285022.3472127998</v>
      </c>
      <c r="N6" s="536">
        <f ca="1">+N$2*AA6*(1+Assumptions!$P$85)^Assumptions!$P$86</f>
        <v>35089506.411724798</v>
      </c>
      <c r="O6" s="536">
        <f ca="1">+O$2*AB6*(1+Assumptions!$P$85)^Assumptions!$P$86</f>
        <v>3036222.2088000001</v>
      </c>
      <c r="P6" s="536">
        <f ca="1">+P$2*AC6*(1+Assumptions!$P$85)^Assumptions!$P$86</f>
        <v>0</v>
      </c>
      <c r="Q6" s="536">
        <f ca="1">+Q$2*AD6*(1+Assumptions!$P$85)^Assumptions!$P$86</f>
        <v>0</v>
      </c>
      <c r="R6" s="536">
        <f ca="1">+R$2*AE6*(1+Assumptions!$P$85)^Assumptions!$P$86</f>
        <v>0</v>
      </c>
      <c r="S6" s="536">
        <f ca="1">+S$2*AF6*(1+Assumptions!$P$85)^Assumptions!$P$86</f>
        <v>0</v>
      </c>
      <c r="T6" s="536">
        <f ca="1">+T$2*AG6*(1+Assumptions!$P$85)^Assumptions!$P$86</f>
        <v>0</v>
      </c>
      <c r="U6" s="536">
        <f ca="1">+U$2*AH6*(1+Assumptions!$P$85)^Assumptions!$P$86</f>
        <v>0</v>
      </c>
      <c r="V6" s="536">
        <f ca="1">+SUM(M6:U6)/K6</f>
        <v>191.68491230686271</v>
      </c>
      <c r="W6" s="536">
        <f ca="1">+SUM(M6:S6)/SUM(F6:G6)</f>
        <v>191.68491230686271</v>
      </c>
      <c r="X6" s="340"/>
      <c r="Y6" s="340"/>
      <c r="Z6" s="353">
        <f t="shared" ref="Z6:AA22" si="9">+($K6-SUM($AB6:$AH6))*Z$5</f>
        <v>45024</v>
      </c>
      <c r="AA6" s="353">
        <f t="shared" si="9"/>
        <v>180096</v>
      </c>
      <c r="AB6" s="352">
        <v>17000</v>
      </c>
      <c r="AC6" s="352">
        <v>0</v>
      </c>
      <c r="AD6" s="352">
        <v>0</v>
      </c>
      <c r="AE6" s="352">
        <v>0</v>
      </c>
      <c r="AF6" s="352">
        <v>0</v>
      </c>
      <c r="AG6" s="352">
        <f t="shared" ref="AG6:AG21" si="10">+H6</f>
        <v>0</v>
      </c>
      <c r="AH6" s="352">
        <v>0</v>
      </c>
      <c r="AI6" s="365">
        <f t="shared" ref="AI6:AI26" si="11">+K6-SUM(Z6:AH6)</f>
        <v>0</v>
      </c>
      <c r="AJ6" s="207"/>
      <c r="AK6" s="357">
        <v>0.83047752309879197</v>
      </c>
      <c r="AL6" s="357"/>
      <c r="AM6" s="362">
        <f t="shared" ref="AM6:AM22" si="12">+SUM(AP6:AV6)/SUM(Z6:AF6)</f>
        <v>0.83535891293573461</v>
      </c>
      <c r="AN6" s="357"/>
      <c r="AO6" s="358">
        <f>+SUM(AP6:AX6)</f>
        <v>202257.10000000006</v>
      </c>
      <c r="AP6" s="353">
        <f t="shared" ref="AP6:AP22" si="13">+Z6*$AK6</f>
        <v>37391.420000000013</v>
      </c>
      <c r="AQ6" s="353">
        <f t="shared" ref="AQ6:AQ22" si="14">+AA6*$AK6</f>
        <v>149565.68000000005</v>
      </c>
      <c r="AR6" s="353">
        <f>+AB6*0.9</f>
        <v>15300</v>
      </c>
      <c r="AS6" s="353">
        <f t="shared" ref="AS6:AS8" si="15">+AC6*0.75</f>
        <v>0</v>
      </c>
      <c r="AT6" s="353">
        <f t="shared" ref="AT6:AT7" si="16">+AD6</f>
        <v>0</v>
      </c>
      <c r="AU6" s="353">
        <f t="shared" ref="AU6" si="17">+AE6*0.9</f>
        <v>0</v>
      </c>
      <c r="AV6" s="353">
        <f>+AF6</f>
        <v>0</v>
      </c>
      <c r="AW6" s="353">
        <f>+AG6</f>
        <v>0</v>
      </c>
      <c r="AX6" s="353">
        <f t="shared" ref="AX6:AX22" si="18">+AH6</f>
        <v>0</v>
      </c>
      <c r="BA6" s="353">
        <f>IFERROR(VLOOKUP(A6,'Acquisition &amp; Sales'!$C$5:$E$10,3,FALSE),0)+1</f>
        <v>1</v>
      </c>
    </row>
    <row r="7" spans="1:53" ht="16" customHeight="1">
      <c r="A7" s="517" t="str">
        <f t="shared" ref="A7:A9" si="19">RIGHT(B7,2)</f>
        <v>A2</v>
      </c>
      <c r="B7" s="350" t="s">
        <v>440</v>
      </c>
      <c r="C7" s="351" t="s">
        <v>226</v>
      </c>
      <c r="D7" s="351" t="s">
        <v>462</v>
      </c>
      <c r="E7" s="352">
        <v>53502</v>
      </c>
      <c r="F7" s="352">
        <v>175805</v>
      </c>
      <c r="G7" s="352">
        <v>249599</v>
      </c>
      <c r="H7" s="352">
        <v>0</v>
      </c>
      <c r="I7" s="340"/>
      <c r="J7" s="340"/>
      <c r="K7" s="353">
        <f t="shared" ref="K7:K22" si="20">+SUM(F7:H7)</f>
        <v>425404</v>
      </c>
      <c r="L7" s="340"/>
      <c r="M7" s="536">
        <f ca="1">+M$2*Z7*(1+Assumptions!$P$85)^Assumptions!$P$86</f>
        <v>6061178.7042192044</v>
      </c>
      <c r="N7" s="536">
        <f ca="1">+N$2*AA7*(1+Assumptions!$P$85)^Assumptions!$P$86</f>
        <v>25670874.51198722</v>
      </c>
      <c r="O7" s="536">
        <f ca="1">+O$2*AB7*(1+Assumptions!$P$85)^Assumptions!$P$86</f>
        <v>4465032.66</v>
      </c>
      <c r="P7" s="536">
        <f ca="1">+P$2*AC7*(1+Assumptions!$P$85)^Assumptions!$P$86</f>
        <v>0</v>
      </c>
      <c r="Q7" s="536">
        <f ca="1">+Q$2*AD7*(1+Assumptions!$P$85)^Assumptions!$P$86</f>
        <v>0</v>
      </c>
      <c r="R7" s="536">
        <f ca="1">+R$2*AE7*(1+Assumptions!$P$85)^Assumptions!$P$86</f>
        <v>42098133.776133575</v>
      </c>
      <c r="S7" s="536">
        <f ca="1">+S$2*AF7*(1+Assumptions!$P$85)^Assumptions!$P$86</f>
        <v>0</v>
      </c>
      <c r="T7" s="536">
        <f ca="1">+T$2*AG7*(1+Assumptions!$P$85)^Assumptions!$P$86</f>
        <v>0</v>
      </c>
      <c r="U7" s="536">
        <f ca="1">+U$2*AH7*(1+Assumptions!$P$85)^Assumptions!$P$86</f>
        <v>0</v>
      </c>
      <c r="V7" s="536">
        <f t="shared" ref="V7:V22" ca="1" si="21">+SUM(M7:U7)/K7</f>
        <v>184.04909133985575</v>
      </c>
      <c r="W7" s="536">
        <f t="shared" ref="W7:W22" ca="1" si="22">+SUM(M7:S7)/SUM(F7:G7)</f>
        <v>184.04909133985575</v>
      </c>
      <c r="X7" s="340"/>
      <c r="Y7" s="340"/>
      <c r="Z7" s="353">
        <f t="shared" si="9"/>
        <v>32938.777777777803</v>
      </c>
      <c r="AA7" s="353">
        <f t="shared" si="9"/>
        <v>131755.11111111121</v>
      </c>
      <c r="AB7" s="352">
        <v>25000</v>
      </c>
      <c r="AC7" s="352">
        <v>0</v>
      </c>
      <c r="AD7" s="352">
        <v>0</v>
      </c>
      <c r="AE7" s="352">
        <v>235710.11111111101</v>
      </c>
      <c r="AF7" s="352">
        <v>0</v>
      </c>
      <c r="AG7" s="352">
        <f t="shared" si="10"/>
        <v>0</v>
      </c>
      <c r="AH7" s="352">
        <v>0</v>
      </c>
      <c r="AI7" s="366">
        <f t="shared" si="11"/>
        <v>0</v>
      </c>
      <c r="AJ7" s="207"/>
      <c r="AK7" s="357">
        <v>0.85</v>
      </c>
      <c r="AL7" s="360"/>
      <c r="AM7" s="362">
        <f t="shared" si="12"/>
        <v>0.88064264923591595</v>
      </c>
      <c r="AN7" s="360"/>
      <c r="AO7" s="358">
        <f t="shared" ref="AO7:AO10" si="23">+SUM(AP7:AX7)</f>
        <v>374628.9055555556</v>
      </c>
      <c r="AP7" s="353">
        <f t="shared" si="13"/>
        <v>27997.96111111113</v>
      </c>
      <c r="AQ7" s="353">
        <f t="shared" si="14"/>
        <v>111991.84444444452</v>
      </c>
      <c r="AR7" s="353">
        <f t="shared" ref="AR7:AR22" si="24">+AB7*0.9</f>
        <v>22500</v>
      </c>
      <c r="AS7" s="353">
        <f t="shared" si="15"/>
        <v>0</v>
      </c>
      <c r="AT7" s="353">
        <f t="shared" si="16"/>
        <v>0</v>
      </c>
      <c r="AU7" s="353">
        <f t="shared" ref="AU7:AU14" si="25">+AE7*0.9</f>
        <v>212139.09999999992</v>
      </c>
      <c r="AV7" s="353">
        <f t="shared" ref="AV7:AV22" si="26">+AF7</f>
        <v>0</v>
      </c>
      <c r="AW7" s="353">
        <f t="shared" ref="AW7:AW22" si="27">+AG7</f>
        <v>0</v>
      </c>
      <c r="AX7" s="353">
        <f t="shared" si="18"/>
        <v>0</v>
      </c>
      <c r="BA7" s="353">
        <f>IFERROR(VLOOKUP(A7,'Acquisition &amp; Sales'!$C$5:$E$10,3,FALSE),0)</f>
        <v>0</v>
      </c>
    </row>
    <row r="8" spans="1:53" ht="16" customHeight="1">
      <c r="A8" s="517" t="str">
        <f t="shared" si="19"/>
        <v>A3</v>
      </c>
      <c r="B8" s="342" t="s">
        <v>441</v>
      </c>
      <c r="C8" s="343" t="s">
        <v>193</v>
      </c>
      <c r="D8" s="343" t="s">
        <v>462</v>
      </c>
      <c r="E8" s="344">
        <v>53024</v>
      </c>
      <c r="F8" s="344">
        <v>76500</v>
      </c>
      <c r="G8" s="344">
        <v>0</v>
      </c>
      <c r="H8" s="344">
        <v>0</v>
      </c>
      <c r="I8" s="340"/>
      <c r="J8" s="340"/>
      <c r="K8" s="345">
        <f t="shared" si="20"/>
        <v>76500</v>
      </c>
      <c r="L8" s="340"/>
      <c r="M8" s="537">
        <f t="shared" ref="M8:U10" ca="1" si="28">+M$2*Z8</f>
        <v>0</v>
      </c>
      <c r="N8" s="537">
        <f t="shared" ca="1" si="28"/>
        <v>0</v>
      </c>
      <c r="O8" s="537">
        <f t="shared" ca="1" si="28"/>
        <v>9466875</v>
      </c>
      <c r="P8" s="537">
        <f t="shared" ca="1" si="28"/>
        <v>0</v>
      </c>
      <c r="Q8" s="537">
        <f t="shared" ca="1" si="28"/>
        <v>3155625</v>
      </c>
      <c r="R8" s="537">
        <f t="shared" ca="1" si="28"/>
        <v>0</v>
      </c>
      <c r="S8" s="537">
        <f t="shared" ca="1" si="28"/>
        <v>0</v>
      </c>
      <c r="T8" s="537">
        <f t="shared" ca="1" si="28"/>
        <v>0</v>
      </c>
      <c r="U8" s="537">
        <f t="shared" ca="1" si="28"/>
        <v>0</v>
      </c>
      <c r="V8" s="537">
        <f t="shared" ca="1" si="21"/>
        <v>165</v>
      </c>
      <c r="W8" s="537">
        <f t="shared" ca="1" si="22"/>
        <v>165</v>
      </c>
      <c r="X8" s="340"/>
      <c r="Y8" s="340"/>
      <c r="Z8" s="345">
        <f t="shared" si="9"/>
        <v>0</v>
      </c>
      <c r="AA8" s="345">
        <f t="shared" si="9"/>
        <v>0</v>
      </c>
      <c r="AB8" s="344">
        <v>57375</v>
      </c>
      <c r="AC8" s="344">
        <v>0</v>
      </c>
      <c r="AD8" s="344">
        <v>19125</v>
      </c>
      <c r="AE8" s="344">
        <v>0</v>
      </c>
      <c r="AF8" s="344">
        <v>0</v>
      </c>
      <c r="AG8" s="344">
        <f t="shared" si="10"/>
        <v>0</v>
      </c>
      <c r="AH8" s="344">
        <v>0</v>
      </c>
      <c r="AI8" s="367">
        <f t="shared" si="11"/>
        <v>0</v>
      </c>
      <c r="AJ8" s="207"/>
      <c r="AK8" s="207"/>
      <c r="AL8" s="207"/>
      <c r="AM8" s="362">
        <f t="shared" si="12"/>
        <v>0.85</v>
      </c>
      <c r="AN8" s="207"/>
      <c r="AO8" s="359">
        <f t="shared" si="23"/>
        <v>65025</v>
      </c>
      <c r="AP8" s="345">
        <f t="shared" si="13"/>
        <v>0</v>
      </c>
      <c r="AQ8" s="345">
        <f t="shared" si="14"/>
        <v>0</v>
      </c>
      <c r="AR8" s="345">
        <f>+AB8*0.8</f>
        <v>45900</v>
      </c>
      <c r="AS8" s="345">
        <f t="shared" si="15"/>
        <v>0</v>
      </c>
      <c r="AT8" s="345">
        <f>+AD8</f>
        <v>19125</v>
      </c>
      <c r="AU8" s="345">
        <f t="shared" si="25"/>
        <v>0</v>
      </c>
      <c r="AV8" s="345">
        <f t="shared" si="26"/>
        <v>0</v>
      </c>
      <c r="AW8" s="345">
        <f t="shared" si="27"/>
        <v>0</v>
      </c>
      <c r="AX8" s="345">
        <f t="shared" si="18"/>
        <v>0</v>
      </c>
      <c r="BA8" s="345">
        <f>IFERROR(VLOOKUP(A8,'Acquisition &amp; Sales'!$C$5:$E$10,3,FALSE),0)+1</f>
        <v>1</v>
      </c>
    </row>
    <row r="9" spans="1:53" ht="16" customHeight="1">
      <c r="A9" s="517" t="str">
        <f t="shared" si="19"/>
        <v>A4</v>
      </c>
      <c r="B9" s="342" t="s">
        <v>442</v>
      </c>
      <c r="C9" s="343" t="s">
        <v>193</v>
      </c>
      <c r="D9" s="343" t="s">
        <v>462</v>
      </c>
      <c r="E9" s="344">
        <v>53564</v>
      </c>
      <c r="F9" s="344">
        <v>185243</v>
      </c>
      <c r="G9" s="344">
        <v>229674</v>
      </c>
      <c r="H9" s="344">
        <v>0</v>
      </c>
      <c r="I9" s="340"/>
      <c r="J9" s="340"/>
      <c r="K9" s="345">
        <f t="shared" si="20"/>
        <v>414917</v>
      </c>
      <c r="L9" s="340"/>
      <c r="M9" s="537">
        <f t="shared" ca="1" si="28"/>
        <v>5618262</v>
      </c>
      <c r="N9" s="537">
        <f t="shared" ca="1" si="28"/>
        <v>23794992</v>
      </c>
      <c r="O9" s="537">
        <f t="shared" ca="1" si="28"/>
        <v>3300000</v>
      </c>
      <c r="P9" s="537">
        <f t="shared" ca="1" si="28"/>
        <v>0</v>
      </c>
      <c r="Q9" s="537">
        <f t="shared" ca="1" si="28"/>
        <v>0</v>
      </c>
      <c r="R9" s="537">
        <f t="shared" ca="1" si="28"/>
        <v>37896210</v>
      </c>
      <c r="S9" s="537">
        <f t="shared" ca="1" si="28"/>
        <v>0</v>
      </c>
      <c r="T9" s="537">
        <f t="shared" ca="1" si="28"/>
        <v>0</v>
      </c>
      <c r="U9" s="537">
        <f t="shared" ca="1" si="28"/>
        <v>0</v>
      </c>
      <c r="V9" s="537">
        <f t="shared" ca="1" si="21"/>
        <v>170.17732221143024</v>
      </c>
      <c r="W9" s="537">
        <f t="shared" ca="1" si="22"/>
        <v>170.17732221143024</v>
      </c>
      <c r="X9" s="340"/>
      <c r="Y9" s="340"/>
      <c r="Z9" s="345">
        <f t="shared" si="9"/>
        <v>33048.6</v>
      </c>
      <c r="AA9" s="345">
        <f t="shared" si="9"/>
        <v>132194.4</v>
      </c>
      <c r="AB9" s="344">
        <v>20000</v>
      </c>
      <c r="AC9" s="344">
        <v>0</v>
      </c>
      <c r="AD9" s="344">
        <v>0</v>
      </c>
      <c r="AE9" s="344">
        <v>229674</v>
      </c>
      <c r="AF9" s="344">
        <v>0</v>
      </c>
      <c r="AG9" s="344">
        <f t="shared" si="10"/>
        <v>0</v>
      </c>
      <c r="AH9" s="344">
        <v>0</v>
      </c>
      <c r="AI9" s="367">
        <f t="shared" si="11"/>
        <v>0</v>
      </c>
      <c r="AJ9" s="207"/>
      <c r="AK9" s="357">
        <v>0.85</v>
      </c>
      <c r="AL9" s="357"/>
      <c r="AM9" s="362">
        <f t="shared" si="12"/>
        <v>0.88008722226372993</v>
      </c>
      <c r="AN9" s="357"/>
      <c r="AO9" s="359">
        <f t="shared" si="23"/>
        <v>365163.15</v>
      </c>
      <c r="AP9" s="345">
        <f t="shared" si="13"/>
        <v>28091.309999999998</v>
      </c>
      <c r="AQ9" s="345">
        <f t="shared" si="14"/>
        <v>112365.23999999999</v>
      </c>
      <c r="AR9" s="345">
        <f t="shared" si="24"/>
        <v>18000</v>
      </c>
      <c r="AS9" s="345">
        <f>+AC9*0.75</f>
        <v>0</v>
      </c>
      <c r="AT9" s="345">
        <f t="shared" ref="AT9:AT22" si="29">+AD9</f>
        <v>0</v>
      </c>
      <c r="AU9" s="345">
        <f t="shared" si="25"/>
        <v>206706.6</v>
      </c>
      <c r="AV9" s="345">
        <f t="shared" si="26"/>
        <v>0</v>
      </c>
      <c r="AW9" s="345">
        <f t="shared" si="27"/>
        <v>0</v>
      </c>
      <c r="AX9" s="345">
        <f t="shared" si="18"/>
        <v>0</v>
      </c>
      <c r="BA9" s="345">
        <f>IFERROR(VLOOKUP(A9,'Acquisition &amp; Sales'!$C$5:$E$10,3,FALSE),0)</f>
        <v>0</v>
      </c>
    </row>
    <row r="10" spans="1:53" ht="16" customHeight="1">
      <c r="A10" s="517" t="str">
        <f>RIGHT(B10,1)</f>
        <v>B</v>
      </c>
      <c r="B10" s="342" t="s">
        <v>426</v>
      </c>
      <c r="C10" s="343" t="s">
        <v>193</v>
      </c>
      <c r="D10" s="343" t="s">
        <v>462</v>
      </c>
      <c r="E10" s="344">
        <v>51667</v>
      </c>
      <c r="F10" s="344">
        <v>146317</v>
      </c>
      <c r="G10" s="344">
        <v>241425</v>
      </c>
      <c r="H10" s="344">
        <v>33000</v>
      </c>
      <c r="I10" s="340"/>
      <c r="J10" s="340"/>
      <c r="K10" s="345">
        <f t="shared" si="20"/>
        <v>420742</v>
      </c>
      <c r="L10" s="340"/>
      <c r="M10" s="537">
        <f t="shared" ca="1" si="28"/>
        <v>4238365.1999999993</v>
      </c>
      <c r="N10" s="537">
        <f t="shared" ca="1" si="28"/>
        <v>17950723.199999999</v>
      </c>
      <c r="O10" s="537">
        <f t="shared" ca="1" si="28"/>
        <v>9075000</v>
      </c>
      <c r="P10" s="537">
        <f t="shared" ca="1" si="28"/>
        <v>38495577</v>
      </c>
      <c r="Q10" s="537">
        <f t="shared" ca="1" si="28"/>
        <v>0</v>
      </c>
      <c r="R10" s="537">
        <f t="shared" ca="1" si="28"/>
        <v>0</v>
      </c>
      <c r="S10" s="537">
        <f t="shared" ca="1" si="28"/>
        <v>0</v>
      </c>
      <c r="T10" s="537">
        <f t="shared" ca="1" si="28"/>
        <v>1650000</v>
      </c>
      <c r="U10" s="537">
        <f t="shared" ca="1" si="28"/>
        <v>0</v>
      </c>
      <c r="V10" s="537">
        <f t="shared" ca="1" si="21"/>
        <v>169.72316859262924</v>
      </c>
      <c r="W10" s="537">
        <f t="shared" ca="1" si="22"/>
        <v>179.91258465680789</v>
      </c>
      <c r="X10" s="340"/>
      <c r="Y10" s="340"/>
      <c r="Z10" s="345">
        <f t="shared" si="9"/>
        <v>24931.559999999998</v>
      </c>
      <c r="AA10" s="345">
        <f t="shared" si="9"/>
        <v>99726.239999999991</v>
      </c>
      <c r="AB10" s="344">
        <v>55000</v>
      </c>
      <c r="AC10" s="344">
        <v>208084.2</v>
      </c>
      <c r="AD10" s="344">
        <v>0</v>
      </c>
      <c r="AE10" s="344">
        <v>0</v>
      </c>
      <c r="AF10" s="344">
        <v>0</v>
      </c>
      <c r="AG10" s="344">
        <f t="shared" si="10"/>
        <v>33000</v>
      </c>
      <c r="AH10" s="344">
        <v>0</v>
      </c>
      <c r="AI10" s="367">
        <f t="shared" si="11"/>
        <v>0</v>
      </c>
      <c r="AJ10" s="207"/>
      <c r="AK10" s="357">
        <v>0.87151446357233397</v>
      </c>
      <c r="AL10" s="357"/>
      <c r="AM10" s="362">
        <f t="shared" si="12"/>
        <v>0.81034354209012005</v>
      </c>
      <c r="AN10" s="357"/>
      <c r="AO10" s="359">
        <f t="shared" si="23"/>
        <v>347204.22569710732</v>
      </c>
      <c r="AP10" s="345">
        <f t="shared" si="13"/>
        <v>21728.215139421456</v>
      </c>
      <c r="AQ10" s="345">
        <f t="shared" si="14"/>
        <v>86912.860557685824</v>
      </c>
      <c r="AR10" s="345">
        <f t="shared" si="24"/>
        <v>49500</v>
      </c>
      <c r="AS10" s="345">
        <f>+AC10*0.75</f>
        <v>156063.15000000002</v>
      </c>
      <c r="AT10" s="345">
        <f t="shared" si="29"/>
        <v>0</v>
      </c>
      <c r="AU10" s="345">
        <f t="shared" si="25"/>
        <v>0</v>
      </c>
      <c r="AV10" s="345">
        <f t="shared" si="26"/>
        <v>0</v>
      </c>
      <c r="AW10" s="345">
        <f t="shared" si="27"/>
        <v>33000</v>
      </c>
      <c r="AX10" s="345">
        <f t="shared" si="18"/>
        <v>0</v>
      </c>
      <c r="BA10" s="345">
        <f>IFERROR(VLOOKUP(A10,'Acquisition &amp; Sales'!$C$5:$E$10,3,FALSE),0)</f>
        <v>0</v>
      </c>
    </row>
    <row r="11" spans="1:53" ht="16" customHeight="1">
      <c r="A11" s="517" t="str">
        <f t="shared" ref="A11:A22" si="30">RIGHT(B11,1)</f>
        <v>C</v>
      </c>
      <c r="B11" s="346" t="s">
        <v>427</v>
      </c>
      <c r="C11" s="347" t="s">
        <v>225</v>
      </c>
      <c r="D11" s="347" t="s">
        <v>462</v>
      </c>
      <c r="E11" s="348">
        <v>98792</v>
      </c>
      <c r="F11" s="348">
        <v>176773</v>
      </c>
      <c r="G11" s="348">
        <v>170720</v>
      </c>
      <c r="H11" s="348">
        <v>60000</v>
      </c>
      <c r="I11" s="340"/>
      <c r="J11" s="340"/>
      <c r="K11" s="349">
        <f t="shared" si="20"/>
        <v>407493</v>
      </c>
      <c r="L11" s="340"/>
      <c r="M11" s="538">
        <f ca="1">+M$2*Z11*(1+Assumptions!$O$85)^Assumptions!$O$86</f>
        <v>11584606.384800002</v>
      </c>
      <c r="N11" s="538">
        <f ca="1">+N$2*AA11*(1+Assumptions!$O$85)^Assumptions!$O$86</f>
        <v>49064215.276800007</v>
      </c>
      <c r="O11" s="538">
        <f ca="1">+O$2*AB11*(1+Assumptions!$O$85)^Assumptions!$O$86</f>
        <v>3433320</v>
      </c>
      <c r="P11" s="538">
        <f ca="1">+P$2*AC11*(1+Assumptions!$O$85)^Assumptions!$O$86</f>
        <v>0</v>
      </c>
      <c r="Q11" s="538">
        <f ca="1">+Q$2*AD11*(1+Assumptions!$O$85)^Assumptions!$O$86</f>
        <v>0</v>
      </c>
      <c r="R11" s="538">
        <f ca="1">+R$2*AE11*(1+Assumptions!$O$85)^Assumptions!$O$86</f>
        <v>0</v>
      </c>
      <c r="S11" s="538">
        <f ca="1">+S$2*AF11*(1+Assumptions!$O$85)^Assumptions!$O$86</f>
        <v>0</v>
      </c>
      <c r="T11" s="538">
        <f ca="1">+T$2*AG11*(1+Assumptions!$O$85)^Assumptions!$O$86</f>
        <v>3121200</v>
      </c>
      <c r="U11" s="538">
        <f ca="1">+U$2*AH11*(1+Assumptions!$O$85)^Assumptions!$O$86</f>
        <v>0</v>
      </c>
      <c r="V11" s="538">
        <f t="shared" ca="1" si="21"/>
        <v>164.91900882125586</v>
      </c>
      <c r="W11" s="538">
        <f t="shared" ca="1" si="22"/>
        <v>184.41275554212606</v>
      </c>
      <c r="X11" s="340"/>
      <c r="Y11" s="340"/>
      <c r="Z11" s="349">
        <f t="shared" si="9"/>
        <v>65498.600000000006</v>
      </c>
      <c r="AA11" s="349">
        <f t="shared" si="9"/>
        <v>261994.40000000002</v>
      </c>
      <c r="AB11" s="348">
        <v>20000</v>
      </c>
      <c r="AC11" s="348">
        <v>0</v>
      </c>
      <c r="AD11" s="348">
        <v>0</v>
      </c>
      <c r="AE11" s="348">
        <v>0</v>
      </c>
      <c r="AF11" s="348">
        <v>0</v>
      </c>
      <c r="AG11" s="348">
        <f t="shared" si="10"/>
        <v>60000</v>
      </c>
      <c r="AH11" s="348">
        <v>0</v>
      </c>
      <c r="AI11" s="368">
        <f t="shared" si="11"/>
        <v>0</v>
      </c>
      <c r="AJ11" s="207"/>
      <c r="AK11" s="357">
        <v>0.83991535696946196</v>
      </c>
      <c r="AL11" s="357"/>
      <c r="AM11" s="362">
        <f t="shared" si="12"/>
        <v>0.84337353558201178</v>
      </c>
      <c r="AN11" s="207"/>
      <c r="AO11" s="363">
        <f t="shared" ref="AO11:AO23" si="31">+SUM(AP11:AX11)</f>
        <v>353066.4</v>
      </c>
      <c r="AP11" s="349">
        <f t="shared" si="13"/>
        <v>55013.280000000006</v>
      </c>
      <c r="AQ11" s="349">
        <f t="shared" si="14"/>
        <v>220053.12000000002</v>
      </c>
      <c r="AR11" s="349">
        <f t="shared" si="24"/>
        <v>18000</v>
      </c>
      <c r="AS11" s="349">
        <f>+AC11*0.75</f>
        <v>0</v>
      </c>
      <c r="AT11" s="349">
        <f t="shared" si="29"/>
        <v>0</v>
      </c>
      <c r="AU11" s="349">
        <f t="shared" si="25"/>
        <v>0</v>
      </c>
      <c r="AV11" s="349">
        <f t="shared" si="26"/>
        <v>0</v>
      </c>
      <c r="AW11" s="349">
        <f t="shared" si="27"/>
        <v>60000</v>
      </c>
      <c r="AX11" s="349">
        <f t="shared" si="18"/>
        <v>0</v>
      </c>
      <c r="BA11" s="349">
        <f>IFERROR(VLOOKUP(A11,'Acquisition &amp; Sales'!$C$5:$E$10,3,FALSE),0)+1</f>
        <v>1</v>
      </c>
    </row>
    <row r="12" spans="1:53" ht="16" customHeight="1">
      <c r="A12" s="517" t="str">
        <f t="shared" si="30"/>
        <v>D</v>
      </c>
      <c r="B12" s="346" t="s">
        <v>428</v>
      </c>
      <c r="C12" s="347" t="s">
        <v>225</v>
      </c>
      <c r="D12" s="347" t="s">
        <v>462</v>
      </c>
      <c r="E12" s="348">
        <v>33780</v>
      </c>
      <c r="F12" s="348">
        <v>96434</v>
      </c>
      <c r="G12" s="348">
        <v>48000</v>
      </c>
      <c r="H12" s="348">
        <v>46000</v>
      </c>
      <c r="I12" s="340"/>
      <c r="J12" s="340"/>
      <c r="K12" s="349">
        <f t="shared" si="20"/>
        <v>190434</v>
      </c>
      <c r="L12" s="340"/>
      <c r="M12" s="538">
        <f ca="1">+M$2*Z12*(1+Assumptions!$O$85)^Assumptions!$O$86</f>
        <v>0</v>
      </c>
      <c r="N12" s="538">
        <f ca="1">+N$2*AA12*(1+Assumptions!$O$85)^Assumptions!$O$86</f>
        <v>0</v>
      </c>
      <c r="O12" s="538">
        <f ca="1">+O$2*AB12*(1+Assumptions!$O$85)^Assumptions!$O$86</f>
        <v>2746656</v>
      </c>
      <c r="P12" s="538">
        <f ca="1">+P$2*AC12*(1+Assumptions!$O$85)^Assumptions!$O$86</f>
        <v>24720205.715999998</v>
      </c>
      <c r="Q12" s="538">
        <f ca="1">+Q$2*AD12*(1+Assumptions!$O$85)^Assumptions!$O$86</f>
        <v>0</v>
      </c>
      <c r="R12" s="538">
        <f ca="1">+R$2*AE12*(1+Assumptions!$O$85)^Assumptions!$O$86</f>
        <v>0</v>
      </c>
      <c r="S12" s="538">
        <f ca="1">+S$2*AF12*(1+Assumptions!$O$85)^Assumptions!$O$86</f>
        <v>0</v>
      </c>
      <c r="T12" s="538">
        <f ca="1">+T$2*AG12*(1+Assumptions!$O$85)^Assumptions!$O$86</f>
        <v>2392920</v>
      </c>
      <c r="U12" s="538">
        <f ca="1">+U$2*AH12*(1+Assumptions!$O$85)^Assumptions!$O$86</f>
        <v>0</v>
      </c>
      <c r="V12" s="538">
        <f t="shared" ca="1" si="21"/>
        <v>156.79858489555434</v>
      </c>
      <c r="W12" s="538">
        <f t="shared" ca="1" si="22"/>
        <v>190.16894717310328</v>
      </c>
      <c r="X12" s="340"/>
      <c r="Y12" s="340"/>
      <c r="Z12" s="349">
        <f t="shared" si="9"/>
        <v>0</v>
      </c>
      <c r="AA12" s="349">
        <f t="shared" si="9"/>
        <v>0</v>
      </c>
      <c r="AB12" s="348">
        <v>16000</v>
      </c>
      <c r="AC12" s="348">
        <v>128434</v>
      </c>
      <c r="AD12" s="348">
        <v>0</v>
      </c>
      <c r="AE12" s="348">
        <v>0</v>
      </c>
      <c r="AF12" s="348">
        <v>0</v>
      </c>
      <c r="AG12" s="348">
        <f t="shared" si="10"/>
        <v>46000</v>
      </c>
      <c r="AH12" s="348">
        <v>0</v>
      </c>
      <c r="AI12" s="368">
        <f t="shared" si="11"/>
        <v>0</v>
      </c>
      <c r="AJ12" s="207"/>
      <c r="AK12" s="357"/>
      <c r="AL12" s="357">
        <v>0.81245776040612305</v>
      </c>
      <c r="AM12" s="362">
        <f t="shared" si="12"/>
        <v>0.82215544816317498</v>
      </c>
      <c r="AN12" s="207"/>
      <c r="AO12" s="363">
        <f t="shared" si="31"/>
        <v>164747.20000000001</v>
      </c>
      <c r="AP12" s="349">
        <f t="shared" si="13"/>
        <v>0</v>
      </c>
      <c r="AQ12" s="349">
        <f t="shared" si="14"/>
        <v>0</v>
      </c>
      <c r="AR12" s="349">
        <f t="shared" si="24"/>
        <v>14400</v>
      </c>
      <c r="AS12" s="349">
        <f>+AC12*AL12</f>
        <v>104347.20000000001</v>
      </c>
      <c r="AT12" s="349">
        <f t="shared" si="29"/>
        <v>0</v>
      </c>
      <c r="AU12" s="349">
        <f t="shared" si="25"/>
        <v>0</v>
      </c>
      <c r="AV12" s="349">
        <f t="shared" si="26"/>
        <v>0</v>
      </c>
      <c r="AW12" s="349">
        <f t="shared" si="27"/>
        <v>46000</v>
      </c>
      <c r="AX12" s="349">
        <f t="shared" si="18"/>
        <v>0</v>
      </c>
      <c r="BA12" s="349">
        <f>IFERROR(VLOOKUP(A12,'Acquisition &amp; Sales'!$C$5:$E$10,3,FALSE),0)</f>
        <v>0</v>
      </c>
    </row>
    <row r="13" spans="1:53" ht="16" customHeight="1">
      <c r="A13" s="517" t="str">
        <f t="shared" si="30"/>
        <v>E</v>
      </c>
      <c r="B13" s="346" t="s">
        <v>429</v>
      </c>
      <c r="C13" s="347" t="s">
        <v>225</v>
      </c>
      <c r="D13" s="347" t="s">
        <v>462</v>
      </c>
      <c r="E13" s="348">
        <v>65410</v>
      </c>
      <c r="F13" s="348">
        <v>172794</v>
      </c>
      <c r="G13" s="348">
        <v>125278</v>
      </c>
      <c r="H13" s="348">
        <v>0</v>
      </c>
      <c r="I13" s="340"/>
      <c r="J13" s="340"/>
      <c r="K13" s="349">
        <f t="shared" si="20"/>
        <v>298072</v>
      </c>
      <c r="L13" s="340"/>
      <c r="M13" s="538">
        <f ca="1">+M$2*Z13*(1+Assumptions!$O$85)^Assumptions!$O$86</f>
        <v>4355975.8512000004</v>
      </c>
      <c r="N13" s="538">
        <f ca="1">+N$2*AA13*(1+Assumptions!$O$85)^Assumptions!$O$86</f>
        <v>18448838.8992</v>
      </c>
      <c r="O13" s="538">
        <f ca="1">+O$2*AB13*(1+Assumptions!$O$85)^Assumptions!$O$86</f>
        <v>4291650</v>
      </c>
      <c r="P13" s="538">
        <f ca="1">+P$2*AC13*(1+Assumptions!$O$85)^Assumptions!$O$86</f>
        <v>0</v>
      </c>
      <c r="Q13" s="538">
        <f ca="1">+Q$2*AD13*(1+Assumptions!$O$85)^Assumptions!$O$86</f>
        <v>0</v>
      </c>
      <c r="R13" s="538">
        <f ca="1">+R$2*AE13*(1+Assumptions!$O$85)^Assumptions!$O$86</f>
        <v>25737883.379999999</v>
      </c>
      <c r="S13" s="538">
        <f ca="1">+S$2*AF13*(1+Assumptions!$O$85)^Assumptions!$O$86</f>
        <v>0</v>
      </c>
      <c r="T13" s="538">
        <f ca="1">+T$2*AG13*(1+Assumptions!$O$85)^Assumptions!$O$86</f>
        <v>0</v>
      </c>
      <c r="U13" s="538">
        <f ca="1">+U$2*AH13*(1+Assumptions!$O$85)^Assumptions!$O$86</f>
        <v>0</v>
      </c>
      <c r="V13" s="538">
        <f t="shared" ca="1" si="21"/>
        <v>177.25364385249202</v>
      </c>
      <c r="W13" s="538">
        <f t="shared" ca="1" si="22"/>
        <v>177.25364385249202</v>
      </c>
      <c r="X13" s="340"/>
      <c r="Y13" s="340"/>
      <c r="Z13" s="349">
        <f t="shared" si="9"/>
        <v>24628.400000000001</v>
      </c>
      <c r="AA13" s="349">
        <f t="shared" si="9"/>
        <v>98513.600000000006</v>
      </c>
      <c r="AB13" s="348">
        <v>25000</v>
      </c>
      <c r="AC13" s="348">
        <v>0</v>
      </c>
      <c r="AD13" s="348">
        <v>0</v>
      </c>
      <c r="AE13" s="348">
        <v>149930</v>
      </c>
      <c r="AF13" s="348">
        <v>0</v>
      </c>
      <c r="AG13" s="348">
        <f t="shared" si="10"/>
        <v>0</v>
      </c>
      <c r="AH13" s="348">
        <v>0</v>
      </c>
      <c r="AI13" s="368">
        <f t="shared" si="11"/>
        <v>0</v>
      </c>
      <c r="AJ13" s="207"/>
      <c r="AK13" s="357">
        <v>0.85</v>
      </c>
      <c r="AL13" s="207"/>
      <c r="AM13" s="362">
        <f t="shared" si="12"/>
        <v>0.87934358141657054</v>
      </c>
      <c r="AN13" s="207"/>
      <c r="AO13" s="363">
        <f t="shared" si="31"/>
        <v>262107.7</v>
      </c>
      <c r="AP13" s="349">
        <f t="shared" si="13"/>
        <v>20934.14</v>
      </c>
      <c r="AQ13" s="349">
        <f t="shared" si="14"/>
        <v>83736.56</v>
      </c>
      <c r="AR13" s="349">
        <f t="shared" si="24"/>
        <v>22500</v>
      </c>
      <c r="AS13" s="349">
        <f t="shared" ref="AS13:AS22" si="32">+AC13*0.75</f>
        <v>0</v>
      </c>
      <c r="AT13" s="349">
        <f t="shared" si="29"/>
        <v>0</v>
      </c>
      <c r="AU13" s="349">
        <f t="shared" si="25"/>
        <v>134937</v>
      </c>
      <c r="AV13" s="349">
        <f t="shared" si="26"/>
        <v>0</v>
      </c>
      <c r="AW13" s="349">
        <f t="shared" si="27"/>
        <v>0</v>
      </c>
      <c r="AX13" s="349">
        <f t="shared" si="18"/>
        <v>0</v>
      </c>
      <c r="BA13" s="349">
        <f>IFERROR(VLOOKUP(A13,'Acquisition &amp; Sales'!$C$5:$E$10,3,FALSE),0)</f>
        <v>0</v>
      </c>
    </row>
    <row r="14" spans="1:53" ht="16" customHeight="1">
      <c r="A14" s="517" t="str">
        <f t="shared" si="30"/>
        <v>F</v>
      </c>
      <c r="B14" s="342" t="s">
        <v>430</v>
      </c>
      <c r="C14" s="343" t="s">
        <v>193</v>
      </c>
      <c r="D14" s="343" t="s">
        <v>462</v>
      </c>
      <c r="E14" s="344">
        <v>65378</v>
      </c>
      <c r="F14" s="344">
        <v>75000</v>
      </c>
      <c r="G14" s="344">
        <v>0</v>
      </c>
      <c r="H14" s="344">
        <v>0</v>
      </c>
      <c r="I14" s="340"/>
      <c r="J14" s="340"/>
      <c r="K14" s="345">
        <f t="shared" si="20"/>
        <v>75000</v>
      </c>
      <c r="L14" s="340"/>
      <c r="M14" s="537">
        <f t="shared" ref="M14:U15" ca="1" si="33">+M$2*Z14</f>
        <v>0</v>
      </c>
      <c r="N14" s="537">
        <f t="shared" ca="1" si="33"/>
        <v>0</v>
      </c>
      <c r="O14" s="537">
        <f t="shared" ca="1" si="33"/>
        <v>2475000</v>
      </c>
      <c r="P14" s="537">
        <f t="shared" ca="1" si="33"/>
        <v>0</v>
      </c>
      <c r="Q14" s="537">
        <f t="shared" ca="1" si="33"/>
        <v>9900000</v>
      </c>
      <c r="R14" s="537">
        <f t="shared" ca="1" si="33"/>
        <v>0</v>
      </c>
      <c r="S14" s="537">
        <f t="shared" ca="1" si="33"/>
        <v>0</v>
      </c>
      <c r="T14" s="537">
        <f t="shared" ca="1" si="33"/>
        <v>0</v>
      </c>
      <c r="U14" s="537">
        <f t="shared" ca="1" si="33"/>
        <v>0</v>
      </c>
      <c r="V14" s="537">
        <f t="shared" ca="1" si="21"/>
        <v>165</v>
      </c>
      <c r="W14" s="537">
        <f t="shared" ca="1" si="22"/>
        <v>165</v>
      </c>
      <c r="X14" s="340"/>
      <c r="Y14" s="340"/>
      <c r="Z14" s="345">
        <f t="shared" si="9"/>
        <v>0</v>
      </c>
      <c r="AA14" s="345">
        <f t="shared" si="9"/>
        <v>0</v>
      </c>
      <c r="AB14" s="344">
        <v>15000</v>
      </c>
      <c r="AC14" s="344">
        <v>0</v>
      </c>
      <c r="AD14" s="344">
        <v>60000</v>
      </c>
      <c r="AE14" s="344">
        <v>0</v>
      </c>
      <c r="AF14" s="344">
        <v>0</v>
      </c>
      <c r="AG14" s="344">
        <f t="shared" si="10"/>
        <v>0</v>
      </c>
      <c r="AH14" s="344">
        <v>0</v>
      </c>
      <c r="AI14" s="367">
        <f t="shared" si="11"/>
        <v>0</v>
      </c>
      <c r="AJ14" s="207"/>
      <c r="AK14" s="207"/>
      <c r="AL14" s="207"/>
      <c r="AM14" s="362">
        <f t="shared" si="12"/>
        <v>0.98</v>
      </c>
      <c r="AN14" s="207"/>
      <c r="AO14" s="359">
        <f t="shared" si="31"/>
        <v>73500</v>
      </c>
      <c r="AP14" s="345">
        <f t="shared" si="13"/>
        <v>0</v>
      </c>
      <c r="AQ14" s="345">
        <f t="shared" si="14"/>
        <v>0</v>
      </c>
      <c r="AR14" s="345">
        <f t="shared" si="24"/>
        <v>13500</v>
      </c>
      <c r="AS14" s="345">
        <f t="shared" si="32"/>
        <v>0</v>
      </c>
      <c r="AT14" s="345">
        <f t="shared" si="29"/>
        <v>60000</v>
      </c>
      <c r="AU14" s="345">
        <f t="shared" si="25"/>
        <v>0</v>
      </c>
      <c r="AV14" s="345">
        <f t="shared" si="26"/>
        <v>0</v>
      </c>
      <c r="AW14" s="345">
        <f t="shared" si="27"/>
        <v>0</v>
      </c>
      <c r="AX14" s="345">
        <f t="shared" si="18"/>
        <v>0</v>
      </c>
      <c r="BA14" s="345">
        <f>IFERROR(VLOOKUP(A14,'Acquisition &amp; Sales'!$C$5:$E$10,3,FALSE),0)</f>
        <v>0</v>
      </c>
    </row>
    <row r="15" spans="1:53" ht="16" customHeight="1">
      <c r="A15" s="517" t="str">
        <f t="shared" si="30"/>
        <v>G</v>
      </c>
      <c r="B15" s="342" t="s">
        <v>431</v>
      </c>
      <c r="C15" s="343" t="s">
        <v>193</v>
      </c>
      <c r="D15" s="343" t="s">
        <v>462</v>
      </c>
      <c r="E15" s="344">
        <v>25388</v>
      </c>
      <c r="F15" s="344">
        <v>0</v>
      </c>
      <c r="G15" s="344">
        <v>237958</v>
      </c>
      <c r="H15" s="344">
        <v>0</v>
      </c>
      <c r="I15" s="340"/>
      <c r="J15" s="340"/>
      <c r="K15" s="345">
        <f t="shared" si="20"/>
        <v>237958</v>
      </c>
      <c r="L15" s="340"/>
      <c r="M15" s="537">
        <f t="shared" ca="1" si="33"/>
        <v>0</v>
      </c>
      <c r="N15" s="537">
        <f t="shared" ca="1" si="33"/>
        <v>0</v>
      </c>
      <c r="O15" s="537">
        <f t="shared" ca="1" si="33"/>
        <v>1980000</v>
      </c>
      <c r="P15" s="537">
        <f t="shared" ca="1" si="33"/>
        <v>0</v>
      </c>
      <c r="Q15" s="537">
        <f t="shared" ca="1" si="33"/>
        <v>0</v>
      </c>
      <c r="R15" s="537">
        <f t="shared" ca="1" si="33"/>
        <v>37283070</v>
      </c>
      <c r="S15" s="537">
        <f t="shared" ca="1" si="33"/>
        <v>0</v>
      </c>
      <c r="T15" s="537">
        <f t="shared" ca="1" si="33"/>
        <v>0</v>
      </c>
      <c r="U15" s="537">
        <f t="shared" ca="1" si="33"/>
        <v>0</v>
      </c>
      <c r="V15" s="537">
        <f t="shared" ca="1" si="21"/>
        <v>165</v>
      </c>
      <c r="W15" s="537">
        <f t="shared" ca="1" si="22"/>
        <v>165</v>
      </c>
      <c r="X15" s="340"/>
      <c r="Y15" s="340"/>
      <c r="Z15" s="345">
        <f t="shared" si="9"/>
        <v>0</v>
      </c>
      <c r="AA15" s="345">
        <f t="shared" si="9"/>
        <v>0</v>
      </c>
      <c r="AB15" s="344">
        <v>12000</v>
      </c>
      <c r="AC15" s="344">
        <v>0</v>
      </c>
      <c r="AD15" s="344">
        <v>0</v>
      </c>
      <c r="AE15" s="344">
        <v>225958</v>
      </c>
      <c r="AF15" s="344">
        <v>0</v>
      </c>
      <c r="AG15" s="344">
        <f t="shared" si="10"/>
        <v>0</v>
      </c>
      <c r="AH15" s="344">
        <v>0</v>
      </c>
      <c r="AI15" s="367">
        <f t="shared" si="11"/>
        <v>0</v>
      </c>
      <c r="AJ15" s="207"/>
      <c r="AK15" s="207"/>
      <c r="AL15" s="207"/>
      <c r="AM15" s="362">
        <f t="shared" si="12"/>
        <v>0.9</v>
      </c>
      <c r="AN15" s="207"/>
      <c r="AO15" s="359">
        <f t="shared" si="31"/>
        <v>214162.2</v>
      </c>
      <c r="AP15" s="345">
        <f t="shared" si="13"/>
        <v>0</v>
      </c>
      <c r="AQ15" s="345">
        <f t="shared" si="14"/>
        <v>0</v>
      </c>
      <c r="AR15" s="345">
        <f t="shared" si="24"/>
        <v>10800</v>
      </c>
      <c r="AS15" s="345">
        <f t="shared" si="32"/>
        <v>0</v>
      </c>
      <c r="AT15" s="345">
        <f t="shared" si="29"/>
        <v>0</v>
      </c>
      <c r="AU15" s="345">
        <f>+AE15*0.9</f>
        <v>203362.2</v>
      </c>
      <c r="AV15" s="345">
        <f t="shared" si="26"/>
        <v>0</v>
      </c>
      <c r="AW15" s="345">
        <f t="shared" si="27"/>
        <v>0</v>
      </c>
      <c r="AX15" s="345">
        <f t="shared" si="18"/>
        <v>0</v>
      </c>
      <c r="BA15" s="345">
        <f>IFERROR(VLOOKUP(A15,'Acquisition &amp; Sales'!$C$5:$E$10,3,FALSE),0)</f>
        <v>0</v>
      </c>
    </row>
    <row r="16" spans="1:53" ht="16" customHeight="1">
      <c r="A16" s="517" t="str">
        <f t="shared" si="30"/>
        <v>H</v>
      </c>
      <c r="B16" s="346" t="s">
        <v>432</v>
      </c>
      <c r="C16" s="347" t="s">
        <v>225</v>
      </c>
      <c r="D16" s="347" t="s">
        <v>464</v>
      </c>
      <c r="E16" s="348">
        <v>84035</v>
      </c>
      <c r="F16" s="348">
        <v>45000</v>
      </c>
      <c r="G16" s="348">
        <v>0</v>
      </c>
      <c r="H16" s="348">
        <v>0</v>
      </c>
      <c r="I16" s="340"/>
      <c r="J16" s="340"/>
      <c r="K16" s="349">
        <f t="shared" si="20"/>
        <v>45000</v>
      </c>
      <c r="L16" s="340"/>
      <c r="M16" s="538">
        <f ca="1">+M$2*Z16*(1+Assumptions!$O$85)^Assumptions!$O$86</f>
        <v>0</v>
      </c>
      <c r="N16" s="538">
        <f ca="1">+N$2*AA16*(1+Assumptions!$O$85)^Assumptions!$O$86</f>
        <v>0</v>
      </c>
      <c r="O16" s="538">
        <f ca="1">+O$2*AB16*(1+Assumptions!$O$85)^Assumptions!$O$86</f>
        <v>7724970</v>
      </c>
      <c r="P16" s="538">
        <f ca="1">+P$2*AC16*(1+Assumptions!$O$85)^Assumptions!$O$86</f>
        <v>0</v>
      </c>
      <c r="Q16" s="538">
        <f ca="1">+Q$2*AD16*(1+Assumptions!$O$85)^Assumptions!$O$86</f>
        <v>0</v>
      </c>
      <c r="R16" s="538">
        <f ca="1">+R$2*AE16*(1+Assumptions!$O$85)^Assumptions!$O$86</f>
        <v>0</v>
      </c>
      <c r="S16" s="538">
        <f ca="1">+S$2*AF16*(1+Assumptions!$O$85)^Assumptions!$O$86</f>
        <v>0</v>
      </c>
      <c r="T16" s="538">
        <f ca="1">+T$2*AG16*(1+Assumptions!$O$85)^Assumptions!$O$86</f>
        <v>0</v>
      </c>
      <c r="U16" s="538">
        <f ca="1">+U$2*AH16*(1+Assumptions!$O$85)^Assumptions!$O$86</f>
        <v>0</v>
      </c>
      <c r="V16" s="538">
        <f t="shared" ca="1" si="21"/>
        <v>171.666</v>
      </c>
      <c r="W16" s="538">
        <f t="shared" ca="1" si="22"/>
        <v>171.666</v>
      </c>
      <c r="X16" s="340"/>
      <c r="Y16" s="340"/>
      <c r="Z16" s="349">
        <f t="shared" si="9"/>
        <v>0</v>
      </c>
      <c r="AA16" s="349">
        <f t="shared" si="9"/>
        <v>0</v>
      </c>
      <c r="AB16" s="348">
        <v>45000</v>
      </c>
      <c r="AC16" s="348">
        <v>0</v>
      </c>
      <c r="AD16" s="348">
        <v>0</v>
      </c>
      <c r="AE16" s="348">
        <v>0</v>
      </c>
      <c r="AF16" s="348">
        <v>0</v>
      </c>
      <c r="AG16" s="348">
        <f t="shared" si="10"/>
        <v>0</v>
      </c>
      <c r="AH16" s="348">
        <v>0</v>
      </c>
      <c r="AI16" s="368">
        <f t="shared" si="11"/>
        <v>0</v>
      </c>
      <c r="AJ16" s="207"/>
      <c r="AK16" s="207"/>
      <c r="AL16" s="207"/>
      <c r="AM16" s="362">
        <f t="shared" si="12"/>
        <v>0.9</v>
      </c>
      <c r="AN16" s="207"/>
      <c r="AO16" s="363">
        <f t="shared" si="31"/>
        <v>40500</v>
      </c>
      <c r="AP16" s="349">
        <f t="shared" si="13"/>
        <v>0</v>
      </c>
      <c r="AQ16" s="349">
        <f t="shared" si="14"/>
        <v>0</v>
      </c>
      <c r="AR16" s="349">
        <f t="shared" si="24"/>
        <v>40500</v>
      </c>
      <c r="AS16" s="349">
        <f t="shared" si="32"/>
        <v>0</v>
      </c>
      <c r="AT16" s="349">
        <f t="shared" si="29"/>
        <v>0</v>
      </c>
      <c r="AU16" s="349">
        <f t="shared" ref="AU16:AU21" si="34">+AE16*0.9</f>
        <v>0</v>
      </c>
      <c r="AV16" s="349">
        <f t="shared" si="26"/>
        <v>0</v>
      </c>
      <c r="AW16" s="349">
        <f t="shared" si="27"/>
        <v>0</v>
      </c>
      <c r="AX16" s="349">
        <f t="shared" si="18"/>
        <v>0</v>
      </c>
      <c r="BA16" s="349">
        <f>IFERROR(VLOOKUP(A16,'Acquisition &amp; Sales'!$C$5:$E$10,3,FALSE),0)</f>
        <v>0</v>
      </c>
    </row>
    <row r="17" spans="1:53" ht="16" customHeight="1">
      <c r="A17" s="517" t="str">
        <f t="shared" si="30"/>
        <v>I</v>
      </c>
      <c r="B17" s="346" t="s">
        <v>433</v>
      </c>
      <c r="C17" s="347" t="s">
        <v>225</v>
      </c>
      <c r="D17" s="347" t="s">
        <v>464</v>
      </c>
      <c r="E17" s="348">
        <v>103562</v>
      </c>
      <c r="F17" s="348">
        <v>18000</v>
      </c>
      <c r="G17" s="348">
        <v>0</v>
      </c>
      <c r="H17" s="348">
        <v>0</v>
      </c>
      <c r="I17" s="340"/>
      <c r="J17" s="340"/>
      <c r="K17" s="349">
        <f t="shared" si="20"/>
        <v>18000</v>
      </c>
      <c r="L17" s="340"/>
      <c r="M17" s="538">
        <f ca="1">+M$2*Z17*(1+Assumptions!$O$85)^Assumptions!$O$86</f>
        <v>0</v>
      </c>
      <c r="N17" s="538">
        <f ca="1">+N$2*AA17*(1+Assumptions!$O$85)^Assumptions!$O$86</f>
        <v>0</v>
      </c>
      <c r="O17" s="538">
        <f ca="1">+O$2*AB17*(1+Assumptions!$O$85)^Assumptions!$O$86</f>
        <v>3089988</v>
      </c>
      <c r="P17" s="538">
        <f ca="1">+P$2*AC17*(1+Assumptions!$O$85)^Assumptions!$O$86</f>
        <v>0</v>
      </c>
      <c r="Q17" s="538">
        <f ca="1">+Q$2*AD17*(1+Assumptions!$O$85)^Assumptions!$O$86</f>
        <v>0</v>
      </c>
      <c r="R17" s="538">
        <f ca="1">+R$2*AE17*(1+Assumptions!$O$85)^Assumptions!$O$86</f>
        <v>0</v>
      </c>
      <c r="S17" s="538">
        <f ca="1">+S$2*AF17*(1+Assumptions!$O$85)^Assumptions!$O$86</f>
        <v>0</v>
      </c>
      <c r="T17" s="538">
        <f ca="1">+T$2*AG17*(1+Assumptions!$O$85)^Assumptions!$O$86</f>
        <v>0</v>
      </c>
      <c r="U17" s="538">
        <f ca="1">+U$2*AH17*(1+Assumptions!$O$85)^Assumptions!$O$86</f>
        <v>0</v>
      </c>
      <c r="V17" s="538">
        <f t="shared" ca="1" si="21"/>
        <v>171.666</v>
      </c>
      <c r="W17" s="538">
        <f t="shared" ca="1" si="22"/>
        <v>171.666</v>
      </c>
      <c r="X17" s="340"/>
      <c r="Y17" s="340"/>
      <c r="Z17" s="349">
        <f t="shared" si="9"/>
        <v>0</v>
      </c>
      <c r="AA17" s="349">
        <f t="shared" si="9"/>
        <v>0</v>
      </c>
      <c r="AB17" s="348">
        <v>18000</v>
      </c>
      <c r="AC17" s="348">
        <v>0</v>
      </c>
      <c r="AD17" s="348">
        <v>0</v>
      </c>
      <c r="AE17" s="348">
        <v>0</v>
      </c>
      <c r="AF17" s="348">
        <v>0</v>
      </c>
      <c r="AG17" s="348">
        <f t="shared" si="10"/>
        <v>0</v>
      </c>
      <c r="AH17" s="348">
        <v>0</v>
      </c>
      <c r="AI17" s="368">
        <f t="shared" si="11"/>
        <v>0</v>
      </c>
      <c r="AJ17" s="207"/>
      <c r="AK17" s="207"/>
      <c r="AL17" s="207"/>
      <c r="AM17" s="362">
        <f t="shared" si="12"/>
        <v>0.9</v>
      </c>
      <c r="AN17" s="207"/>
      <c r="AO17" s="363">
        <f t="shared" si="31"/>
        <v>16200</v>
      </c>
      <c r="AP17" s="349">
        <f t="shared" si="13"/>
        <v>0</v>
      </c>
      <c r="AQ17" s="349">
        <f t="shared" si="14"/>
        <v>0</v>
      </c>
      <c r="AR17" s="349">
        <f t="shared" si="24"/>
        <v>16200</v>
      </c>
      <c r="AS17" s="349">
        <f t="shared" si="32"/>
        <v>0</v>
      </c>
      <c r="AT17" s="349">
        <f t="shared" si="29"/>
        <v>0</v>
      </c>
      <c r="AU17" s="349">
        <f t="shared" si="34"/>
        <v>0</v>
      </c>
      <c r="AV17" s="349">
        <f t="shared" si="26"/>
        <v>0</v>
      </c>
      <c r="AW17" s="349">
        <f t="shared" si="27"/>
        <v>0</v>
      </c>
      <c r="AX17" s="349">
        <f t="shared" si="18"/>
        <v>0</v>
      </c>
      <c r="BA17" s="349">
        <f>IFERROR(VLOOKUP(A17,'Acquisition &amp; Sales'!$C$5:$E$10,3,FALSE),0)</f>
        <v>0</v>
      </c>
    </row>
    <row r="18" spans="1:53" ht="16" customHeight="1">
      <c r="A18" s="517" t="str">
        <f t="shared" si="30"/>
        <v>J</v>
      </c>
      <c r="B18" s="346" t="s">
        <v>434</v>
      </c>
      <c r="C18" s="347" t="s">
        <v>225</v>
      </c>
      <c r="D18" s="347" t="s">
        <v>464</v>
      </c>
      <c r="E18" s="348">
        <v>25492</v>
      </c>
      <c r="F18" s="348">
        <v>30000</v>
      </c>
      <c r="G18" s="348">
        <v>0</v>
      </c>
      <c r="H18" s="348">
        <v>0</v>
      </c>
      <c r="I18" s="340"/>
      <c r="J18" s="340"/>
      <c r="K18" s="349">
        <f t="shared" si="20"/>
        <v>30000</v>
      </c>
      <c r="L18" s="340"/>
      <c r="M18" s="538">
        <f ca="1">+M$2*Z18*(1+Assumptions!$O$85)^Assumptions!$O$86</f>
        <v>0</v>
      </c>
      <c r="N18" s="538">
        <f ca="1">+N$2*AA18*(1+Assumptions!$O$85)^Assumptions!$O$86</f>
        <v>0</v>
      </c>
      <c r="O18" s="538">
        <f ca="1">+O$2*AB18*(1+Assumptions!$O$85)^Assumptions!$O$86</f>
        <v>5149980</v>
      </c>
      <c r="P18" s="538">
        <f ca="1">+P$2*AC18*(1+Assumptions!$O$85)^Assumptions!$O$86</f>
        <v>0</v>
      </c>
      <c r="Q18" s="538">
        <f ca="1">+Q$2*AD18*(1+Assumptions!$O$85)^Assumptions!$O$86</f>
        <v>0</v>
      </c>
      <c r="R18" s="538">
        <f ca="1">+R$2*AE18*(1+Assumptions!$O$85)^Assumptions!$O$86</f>
        <v>0</v>
      </c>
      <c r="S18" s="538">
        <f ca="1">+S$2*AF18*(1+Assumptions!$O$85)^Assumptions!$O$86</f>
        <v>0</v>
      </c>
      <c r="T18" s="538">
        <f ca="1">+T$2*AG18*(1+Assumptions!$O$85)^Assumptions!$O$86</f>
        <v>0</v>
      </c>
      <c r="U18" s="538">
        <f ca="1">+U$2*AH18*(1+Assumptions!$O$85)^Assumptions!$O$86</f>
        <v>0</v>
      </c>
      <c r="V18" s="538">
        <f t="shared" ca="1" si="21"/>
        <v>171.666</v>
      </c>
      <c r="W18" s="538">
        <f t="shared" ca="1" si="22"/>
        <v>171.666</v>
      </c>
      <c r="X18" s="340"/>
      <c r="Y18" s="340"/>
      <c r="Z18" s="349">
        <f t="shared" si="9"/>
        <v>0</v>
      </c>
      <c r="AA18" s="349">
        <f t="shared" si="9"/>
        <v>0</v>
      </c>
      <c r="AB18" s="348">
        <v>30000</v>
      </c>
      <c r="AC18" s="348">
        <v>0</v>
      </c>
      <c r="AD18" s="348">
        <v>0</v>
      </c>
      <c r="AE18" s="348">
        <v>0</v>
      </c>
      <c r="AF18" s="348">
        <v>0</v>
      </c>
      <c r="AG18" s="348">
        <f t="shared" si="10"/>
        <v>0</v>
      </c>
      <c r="AH18" s="348">
        <v>0</v>
      </c>
      <c r="AI18" s="368">
        <f t="shared" si="11"/>
        <v>0</v>
      </c>
      <c r="AJ18" s="207"/>
      <c r="AK18" s="207"/>
      <c r="AL18" s="207"/>
      <c r="AM18" s="362">
        <f t="shared" si="12"/>
        <v>0.9</v>
      </c>
      <c r="AN18" s="207"/>
      <c r="AO18" s="363">
        <f t="shared" si="31"/>
        <v>27000</v>
      </c>
      <c r="AP18" s="349">
        <f t="shared" si="13"/>
        <v>0</v>
      </c>
      <c r="AQ18" s="349">
        <f t="shared" si="14"/>
        <v>0</v>
      </c>
      <c r="AR18" s="349">
        <f t="shared" si="24"/>
        <v>27000</v>
      </c>
      <c r="AS18" s="349">
        <f t="shared" si="32"/>
        <v>0</v>
      </c>
      <c r="AT18" s="349">
        <f t="shared" si="29"/>
        <v>0</v>
      </c>
      <c r="AU18" s="349">
        <f t="shared" si="34"/>
        <v>0</v>
      </c>
      <c r="AV18" s="349">
        <f t="shared" si="26"/>
        <v>0</v>
      </c>
      <c r="AW18" s="349">
        <f t="shared" si="27"/>
        <v>0</v>
      </c>
      <c r="AX18" s="349">
        <f t="shared" si="18"/>
        <v>0</v>
      </c>
      <c r="BA18" s="349">
        <f>IFERROR(VLOOKUP(A18,'Acquisition &amp; Sales'!$C$5:$E$10,3,FALSE),0)</f>
        <v>0</v>
      </c>
    </row>
    <row r="19" spans="1:53" ht="16" customHeight="1">
      <c r="A19" s="517" t="str">
        <f t="shared" si="30"/>
        <v>K</v>
      </c>
      <c r="B19" s="350" t="s">
        <v>435</v>
      </c>
      <c r="C19" s="351" t="s">
        <v>226</v>
      </c>
      <c r="D19" s="351" t="s">
        <v>464</v>
      </c>
      <c r="E19" s="352">
        <v>16158</v>
      </c>
      <c r="F19" s="352">
        <v>0</v>
      </c>
      <c r="G19" s="352">
        <v>127669</v>
      </c>
      <c r="H19" s="352">
        <v>48000</v>
      </c>
      <c r="I19" s="340"/>
      <c r="J19" s="340"/>
      <c r="K19" s="353">
        <f t="shared" si="20"/>
        <v>175669</v>
      </c>
      <c r="L19" s="340"/>
      <c r="M19" s="536">
        <f ca="1">+M$2*Z19*(1+Assumptions!$P$85)^Assumptions!$P$86</f>
        <v>4440944.2147113606</v>
      </c>
      <c r="N19" s="536">
        <f ca="1">+N$2*AA19*(1+Assumptions!$P$85)^Assumptions!$P$86</f>
        <v>18808704.909365762</v>
      </c>
      <c r="O19" s="536">
        <f ca="1">+O$2*AB19*(1+Assumptions!$P$85)^Assumptions!$P$86</f>
        <v>1250209.1447999999</v>
      </c>
      <c r="P19" s="536">
        <f ca="1">+P$2*AC19*(1+Assumptions!$P$85)^Assumptions!$P$86</f>
        <v>0</v>
      </c>
      <c r="Q19" s="536">
        <f ca="1">+Q$2*AD19*(1+Assumptions!$P$85)^Assumptions!$P$86</f>
        <v>0</v>
      </c>
      <c r="R19" s="536">
        <f ca="1">+R$2*AE19*(1+Assumptions!$P$85)^Assumptions!$P$86</f>
        <v>0</v>
      </c>
      <c r="S19" s="536">
        <f ca="1">+S$2*AF19*(1+Assumptions!$P$85)^Assumptions!$P$86</f>
        <v>0</v>
      </c>
      <c r="T19" s="536">
        <f ca="1">+T$2*AG19*(1+Assumptions!$P$85)^Assumptions!$P$86</f>
        <v>2597837.1839999999</v>
      </c>
      <c r="U19" s="536">
        <f ca="1">+U$2*AH19*(1+Assumptions!$P$85)^Assumptions!$P$86</f>
        <v>0</v>
      </c>
      <c r="V19" s="536">
        <f t="shared" ca="1" si="21"/>
        <v>154.25428193293706</v>
      </c>
      <c r="W19" s="536">
        <f t="shared" ca="1" si="22"/>
        <v>191.90138772041078</v>
      </c>
      <c r="X19" s="340"/>
      <c r="Y19" s="340"/>
      <c r="Z19" s="353">
        <f t="shared" si="9"/>
        <v>24133.800000000003</v>
      </c>
      <c r="AA19" s="353">
        <f t="shared" si="9"/>
        <v>96535.200000000012</v>
      </c>
      <c r="AB19" s="352">
        <v>7000</v>
      </c>
      <c r="AC19" s="352">
        <v>0</v>
      </c>
      <c r="AD19" s="352">
        <v>0</v>
      </c>
      <c r="AE19" s="352">
        <v>0</v>
      </c>
      <c r="AF19" s="352">
        <v>0</v>
      </c>
      <c r="AG19" s="352">
        <f t="shared" si="10"/>
        <v>48000</v>
      </c>
      <c r="AH19" s="352">
        <v>0</v>
      </c>
      <c r="AI19" s="366">
        <f t="shared" si="11"/>
        <v>0</v>
      </c>
      <c r="AJ19" s="207"/>
      <c r="AK19" s="357">
        <v>0.89419900720151801</v>
      </c>
      <c r="AL19" s="207"/>
      <c r="AM19" s="362">
        <f t="shared" si="12"/>
        <v>0.89451707148955484</v>
      </c>
      <c r="AN19" s="207"/>
      <c r="AO19" s="358">
        <f t="shared" si="31"/>
        <v>162202.09999999998</v>
      </c>
      <c r="AP19" s="353">
        <f t="shared" si="13"/>
        <v>21580.42</v>
      </c>
      <c r="AQ19" s="353">
        <f t="shared" si="14"/>
        <v>86321.68</v>
      </c>
      <c r="AR19" s="353">
        <f t="shared" si="24"/>
        <v>6300</v>
      </c>
      <c r="AS19" s="353">
        <f t="shared" si="32"/>
        <v>0</v>
      </c>
      <c r="AT19" s="353">
        <f t="shared" si="29"/>
        <v>0</v>
      </c>
      <c r="AU19" s="353">
        <f t="shared" si="34"/>
        <v>0</v>
      </c>
      <c r="AV19" s="353">
        <f t="shared" si="26"/>
        <v>0</v>
      </c>
      <c r="AW19" s="353">
        <f t="shared" si="27"/>
        <v>48000</v>
      </c>
      <c r="AX19" s="353">
        <f t="shared" si="18"/>
        <v>0</v>
      </c>
      <c r="BA19" s="353">
        <f>IFERROR(VLOOKUP(A19,'Acquisition &amp; Sales'!$C$5:$E$10,3,FALSE),0)</f>
        <v>0</v>
      </c>
    </row>
    <row r="20" spans="1:53" ht="16" customHeight="1">
      <c r="A20" s="517" t="str">
        <f t="shared" si="30"/>
        <v>M</v>
      </c>
      <c r="B20" s="342" t="s">
        <v>436</v>
      </c>
      <c r="C20" s="343" t="s">
        <v>193</v>
      </c>
      <c r="D20" s="343" t="s">
        <v>464</v>
      </c>
      <c r="E20" s="344">
        <v>69629</v>
      </c>
      <c r="F20" s="344">
        <v>160000</v>
      </c>
      <c r="G20" s="344">
        <v>265067</v>
      </c>
      <c r="H20" s="344">
        <v>50000</v>
      </c>
      <c r="I20" s="340"/>
      <c r="J20" s="340"/>
      <c r="K20" s="345">
        <f t="shared" si="20"/>
        <v>475067</v>
      </c>
      <c r="L20" s="340"/>
      <c r="M20" s="537">
        <f t="shared" ref="M20:U20" ca="1" si="35">+M$2*Z20</f>
        <v>11562278.000000002</v>
      </c>
      <c r="N20" s="537">
        <f t="shared" ca="1" si="35"/>
        <v>48969648.000000007</v>
      </c>
      <c r="O20" s="537">
        <f t="shared" ca="1" si="35"/>
        <v>14025000</v>
      </c>
      <c r="P20" s="537">
        <f t="shared" ca="1" si="35"/>
        <v>0</v>
      </c>
      <c r="Q20" s="537">
        <f t="shared" ca="1" si="35"/>
        <v>0</v>
      </c>
      <c r="R20" s="537">
        <f t="shared" ca="1" si="35"/>
        <v>0</v>
      </c>
      <c r="S20" s="537">
        <f t="shared" ca="1" si="35"/>
        <v>0</v>
      </c>
      <c r="T20" s="537">
        <f t="shared" ca="1" si="35"/>
        <v>2500000</v>
      </c>
      <c r="U20" s="537">
        <f t="shared" ca="1" si="35"/>
        <v>0</v>
      </c>
      <c r="V20" s="537">
        <f t="shared" ca="1" si="21"/>
        <v>162.20222831726892</v>
      </c>
      <c r="W20" s="537">
        <f t="shared" ca="1" si="22"/>
        <v>175.40040981774638</v>
      </c>
      <c r="X20" s="340"/>
      <c r="Y20" s="340"/>
      <c r="Z20" s="345">
        <f t="shared" si="9"/>
        <v>68013.400000000009</v>
      </c>
      <c r="AA20" s="345">
        <f t="shared" si="9"/>
        <v>272053.60000000003</v>
      </c>
      <c r="AB20" s="344">
        <v>85000</v>
      </c>
      <c r="AC20" s="344">
        <v>0</v>
      </c>
      <c r="AD20" s="344">
        <v>0</v>
      </c>
      <c r="AE20" s="344">
        <v>0</v>
      </c>
      <c r="AF20" s="344">
        <v>0</v>
      </c>
      <c r="AG20" s="344">
        <f t="shared" si="10"/>
        <v>50000</v>
      </c>
      <c r="AH20" s="344">
        <v>0</v>
      </c>
      <c r="AI20" s="367">
        <f t="shared" si="11"/>
        <v>0</v>
      </c>
      <c r="AJ20" s="207"/>
      <c r="AK20" s="357">
        <v>0.87500492549997499</v>
      </c>
      <c r="AL20" s="207"/>
      <c r="AM20" s="362">
        <f t="shared" si="12"/>
        <v>0.88000315244420291</v>
      </c>
      <c r="AN20" s="207"/>
      <c r="AO20" s="359">
        <f t="shared" si="31"/>
        <v>424060.30000000005</v>
      </c>
      <c r="AP20" s="345">
        <f t="shared" si="13"/>
        <v>59512.060000000005</v>
      </c>
      <c r="AQ20" s="345">
        <f t="shared" si="14"/>
        <v>238048.24000000002</v>
      </c>
      <c r="AR20" s="345">
        <f t="shared" si="24"/>
        <v>76500</v>
      </c>
      <c r="AS20" s="345">
        <f t="shared" si="32"/>
        <v>0</v>
      </c>
      <c r="AT20" s="345">
        <f t="shared" si="29"/>
        <v>0</v>
      </c>
      <c r="AU20" s="345">
        <f t="shared" si="34"/>
        <v>0</v>
      </c>
      <c r="AV20" s="345">
        <f t="shared" si="26"/>
        <v>0</v>
      </c>
      <c r="AW20" s="345">
        <f t="shared" si="27"/>
        <v>50000</v>
      </c>
      <c r="AX20" s="345">
        <f t="shared" si="18"/>
        <v>0</v>
      </c>
      <c r="BA20" s="345">
        <f>IFERROR(VLOOKUP(A20,'Acquisition &amp; Sales'!$C$5:$E$10,3,FALSE),0)</f>
        <v>0</v>
      </c>
    </row>
    <row r="21" spans="1:53" ht="16" customHeight="1">
      <c r="A21" s="517" t="str">
        <f t="shared" si="30"/>
        <v>N</v>
      </c>
      <c r="B21" s="350" t="s">
        <v>437</v>
      </c>
      <c r="C21" s="351" t="s">
        <v>226</v>
      </c>
      <c r="D21" s="351" t="s">
        <v>464</v>
      </c>
      <c r="E21" s="352">
        <v>19409</v>
      </c>
      <c r="F21" s="352">
        <v>55486</v>
      </c>
      <c r="G21" s="352">
        <v>0</v>
      </c>
      <c r="H21" s="352">
        <v>0</v>
      </c>
      <c r="I21" s="340"/>
      <c r="J21" s="340"/>
      <c r="K21" s="353">
        <f t="shared" si="20"/>
        <v>55486</v>
      </c>
      <c r="L21" s="340"/>
      <c r="M21" s="536">
        <f ca="1">+M$2*Z21*(1+Assumptions!$P$85)^Assumptions!$P$86</f>
        <v>924461.08689415688</v>
      </c>
      <c r="N21" s="536">
        <f ca="1">+N$2*AA21*(1+Assumptions!$P$85)^Assumptions!$P$86</f>
        <v>3915364.6033164291</v>
      </c>
      <c r="O21" s="536">
        <f ca="1">+O$2*AB21*(1+Assumptions!$P$85)^Assumptions!$P$86</f>
        <v>1428810.4512</v>
      </c>
      <c r="P21" s="536">
        <f ca="1">+P$2*AC21*(1+Assumptions!$P$85)^Assumptions!$P$86</f>
        <v>4478913.1927226875</v>
      </c>
      <c r="Q21" s="536">
        <f ca="1">+Q$2*AD21*(1+Assumptions!$P$85)^Assumptions!$P$86</f>
        <v>0</v>
      </c>
      <c r="R21" s="536">
        <f ca="1">+R$2*AE21*(1+Assumptions!$P$85)^Assumptions!$P$86</f>
        <v>0</v>
      </c>
      <c r="S21" s="536">
        <f ca="1">+S$2*AF21*(1+Assumptions!$P$85)^Assumptions!$P$86</f>
        <v>0</v>
      </c>
      <c r="T21" s="536">
        <f ca="1">+T$2*AG21*(1+Assumptions!$P$85)^Assumptions!$P$86</f>
        <v>0</v>
      </c>
      <c r="U21" s="536">
        <f ca="1">+U$2*AH21*(1+Assumptions!$P$85)^Assumptions!$P$86</f>
        <v>0</v>
      </c>
      <c r="V21" s="536">
        <f t="shared" ca="1" si="21"/>
        <v>193.69839840920727</v>
      </c>
      <c r="W21" s="536">
        <f t="shared" ca="1" si="22"/>
        <v>193.69839840920727</v>
      </c>
      <c r="X21" s="340"/>
      <c r="Y21" s="340"/>
      <c r="Z21" s="353">
        <f t="shared" si="9"/>
        <v>5023.8773333333338</v>
      </c>
      <c r="AA21" s="353">
        <f t="shared" si="9"/>
        <v>20095.509333333335</v>
      </c>
      <c r="AB21" s="352">
        <v>8000</v>
      </c>
      <c r="AC21" s="352">
        <f>16774.96/0.75</f>
        <v>22366.613333333331</v>
      </c>
      <c r="AD21" s="352">
        <v>0</v>
      </c>
      <c r="AE21" s="352">
        <v>0</v>
      </c>
      <c r="AF21" s="352">
        <v>0</v>
      </c>
      <c r="AG21" s="352">
        <f t="shared" si="10"/>
        <v>0</v>
      </c>
      <c r="AH21" s="352">
        <v>0</v>
      </c>
      <c r="AI21" s="366">
        <f t="shared" si="11"/>
        <v>0</v>
      </c>
      <c r="AJ21" s="207"/>
      <c r="AK21" s="357">
        <v>0.874335761773956</v>
      </c>
      <c r="AL21" s="357"/>
      <c r="AM21" s="362">
        <f t="shared" si="12"/>
        <v>0.82791583600357843</v>
      </c>
      <c r="AN21" s="207"/>
      <c r="AO21" s="358">
        <f t="shared" si="31"/>
        <v>45937.738076494556</v>
      </c>
      <c r="AP21" s="353">
        <f t="shared" si="13"/>
        <v>4392.5556152989111</v>
      </c>
      <c r="AQ21" s="353">
        <f t="shared" si="14"/>
        <v>17570.222461195644</v>
      </c>
      <c r="AR21" s="353">
        <f t="shared" si="24"/>
        <v>7200</v>
      </c>
      <c r="AS21" s="353">
        <f t="shared" si="32"/>
        <v>16774.96</v>
      </c>
      <c r="AT21" s="353">
        <f t="shared" si="29"/>
        <v>0</v>
      </c>
      <c r="AU21" s="353">
        <f t="shared" si="34"/>
        <v>0</v>
      </c>
      <c r="AV21" s="353">
        <f t="shared" si="26"/>
        <v>0</v>
      </c>
      <c r="AW21" s="353">
        <f t="shared" si="27"/>
        <v>0</v>
      </c>
      <c r="AX21" s="353">
        <f t="shared" si="18"/>
        <v>0</v>
      </c>
      <c r="BA21" s="353">
        <f>IFERROR(VLOOKUP(A21,'Acquisition &amp; Sales'!$C$5:$E$10,3,FALSE),0)</f>
        <v>0</v>
      </c>
    </row>
    <row r="22" spans="1:53" ht="16" customHeight="1">
      <c r="A22" s="517" t="str">
        <f t="shared" si="30"/>
        <v>O</v>
      </c>
      <c r="B22" s="350" t="s">
        <v>438</v>
      </c>
      <c r="C22" s="351" t="s">
        <v>226</v>
      </c>
      <c r="D22" s="351" t="s">
        <v>464</v>
      </c>
      <c r="E22" s="352">
        <v>139405</v>
      </c>
      <c r="F22" s="352">
        <v>711000</v>
      </c>
      <c r="G22" s="352">
        <v>0</v>
      </c>
      <c r="H22" s="352">
        <v>150000</v>
      </c>
      <c r="I22" s="340"/>
      <c r="J22" s="340"/>
      <c r="K22" s="353">
        <f t="shared" si="20"/>
        <v>861000</v>
      </c>
      <c r="L22" s="340"/>
      <c r="M22" s="536">
        <f ca="1">+M$2*Z22*(1+Assumptions!$P$85)^Assumptions!$P$86</f>
        <v>0</v>
      </c>
      <c r="N22" s="536">
        <f ca="1">+N$2*AA22*(1+Assumptions!$P$85)^Assumptions!$P$86</f>
        <v>0</v>
      </c>
      <c r="O22" s="536">
        <f ca="1">+O$2*AB22*(1+Assumptions!$P$85)^Assumptions!$P$86</f>
        <v>3809565.8655119999</v>
      </c>
      <c r="P22" s="536">
        <f ca="1">+P$2*AC22*(1+Assumptions!$P$85)^Assumptions!$P$86</f>
        <v>0</v>
      </c>
      <c r="Q22" s="536">
        <f ca="1">+Q$2*AD22*(1+Assumptions!$P$85)^Assumptions!$P$86</f>
        <v>13968408.173543999</v>
      </c>
      <c r="R22" s="536">
        <f ca="1">+R$2*AE22*(1+Assumptions!$P$85)^Assumptions!$P$86</f>
        <v>67302330.290711999</v>
      </c>
      <c r="S22" s="536">
        <f ca="1">+S$2*AF22*(1+Assumptions!$P$85)^Assumptions!$P$86</f>
        <v>24127250.481575999</v>
      </c>
      <c r="T22" s="536">
        <f ca="1">+T$2*AG22*(1+Assumptions!$P$85)^Assumptions!$P$86</f>
        <v>0</v>
      </c>
      <c r="U22" s="536">
        <f ca="1">+U$2*AH22*(1+Assumptions!$P$85)^Assumptions!$P$86</f>
        <v>1623648.24</v>
      </c>
      <c r="V22" s="536">
        <f t="shared" ca="1" si="21"/>
        <v>128.72381306776305</v>
      </c>
      <c r="W22" s="536">
        <f t="shared" ca="1" si="22"/>
        <v>153.597123504</v>
      </c>
      <c r="X22" s="340"/>
      <c r="Y22" s="340"/>
      <c r="Z22" s="353">
        <f t="shared" si="9"/>
        <v>0</v>
      </c>
      <c r="AA22" s="353">
        <f t="shared" si="9"/>
        <v>0</v>
      </c>
      <c r="AB22" s="352">
        <v>21330</v>
      </c>
      <c r="AC22" s="352">
        <v>0</v>
      </c>
      <c r="AD22" s="352">
        <v>78210</v>
      </c>
      <c r="AE22" s="352">
        <v>376830</v>
      </c>
      <c r="AF22" s="352">
        <v>234630</v>
      </c>
      <c r="AG22" s="352">
        <v>0</v>
      </c>
      <c r="AH22" s="352">
        <f>+H22</f>
        <v>150000</v>
      </c>
      <c r="AI22" s="366">
        <f t="shared" si="11"/>
        <v>0</v>
      </c>
      <c r="AJ22" s="207"/>
      <c r="AK22" s="207"/>
      <c r="AL22" s="357"/>
      <c r="AM22" s="362">
        <f t="shared" si="12"/>
        <v>0.997</v>
      </c>
      <c r="AN22" s="207"/>
      <c r="AO22" s="358">
        <f t="shared" si="31"/>
        <v>858867</v>
      </c>
      <c r="AP22" s="353">
        <f t="shared" si="13"/>
        <v>0</v>
      </c>
      <c r="AQ22" s="353">
        <f t="shared" si="14"/>
        <v>0</v>
      </c>
      <c r="AR22" s="353">
        <f t="shared" si="24"/>
        <v>19197</v>
      </c>
      <c r="AS22" s="353">
        <f t="shared" si="32"/>
        <v>0</v>
      </c>
      <c r="AT22" s="353">
        <f t="shared" si="29"/>
        <v>78210</v>
      </c>
      <c r="AU22" s="353">
        <f>+AE22</f>
        <v>376830</v>
      </c>
      <c r="AV22" s="353">
        <f t="shared" si="26"/>
        <v>234630</v>
      </c>
      <c r="AW22" s="353">
        <f t="shared" si="27"/>
        <v>0</v>
      </c>
      <c r="AX22" s="353">
        <f t="shared" si="18"/>
        <v>150000</v>
      </c>
      <c r="BA22" s="353">
        <f>IFERROR(VLOOKUP(A22,'Acquisition &amp; Sales'!$C$5:$E$10,3,FALSE),0)</f>
        <v>0</v>
      </c>
    </row>
    <row r="23" spans="1:53" ht="16" customHeight="1">
      <c r="B23" s="323" t="s">
        <v>17</v>
      </c>
      <c r="C23" s="226"/>
      <c r="D23" s="226"/>
      <c r="E23" s="324">
        <f>+SUM(E6:E22)</f>
        <v>1011923</v>
      </c>
      <c r="F23" s="324">
        <f>+SUM(F6:F22)</f>
        <v>2263861</v>
      </c>
      <c r="G23" s="324">
        <f>+SUM(G6:G22)</f>
        <v>1798001</v>
      </c>
      <c r="H23" s="324">
        <f>+SUM(H6:H22)</f>
        <v>387000</v>
      </c>
      <c r="I23" s="341"/>
      <c r="J23" s="341"/>
      <c r="K23" s="324">
        <f>+SUM(K6:K22)</f>
        <v>4448862</v>
      </c>
      <c r="L23" s="341"/>
      <c r="M23" s="539">
        <f t="shared" ref="M23:U23" ca="1" si="36">+SUM(M6:M22)</f>
        <v>57071093.789037518</v>
      </c>
      <c r="N23" s="539">
        <f t="shared" ca="1" si="36"/>
        <v>241712867.81239423</v>
      </c>
      <c r="O23" s="539">
        <f t="shared" ca="1" si="36"/>
        <v>80748279.330311984</v>
      </c>
      <c r="P23" s="539">
        <f t="shared" ca="1" si="36"/>
        <v>67694695.908722684</v>
      </c>
      <c r="Q23" s="539">
        <f t="shared" ca="1" si="36"/>
        <v>27024033.173543997</v>
      </c>
      <c r="R23" s="539">
        <f t="shared" ca="1" si="36"/>
        <v>210317627.44684556</v>
      </c>
      <c r="S23" s="539">
        <f t="shared" ca="1" si="36"/>
        <v>24127250.481575999</v>
      </c>
      <c r="T23" s="539">
        <f t="shared" ca="1" si="36"/>
        <v>12261957.184</v>
      </c>
      <c r="U23" s="539">
        <f t="shared" ca="1" si="36"/>
        <v>1623648.24</v>
      </c>
      <c r="V23" s="539"/>
      <c r="W23" s="539"/>
      <c r="X23" s="341"/>
      <c r="Y23" s="341"/>
      <c r="Z23" s="324">
        <f t="shared" ref="Z23:AH23" si="37">+SUM(Z6:Z22)</f>
        <v>323241.01511111116</v>
      </c>
      <c r="AA23" s="324">
        <f t="shared" si="37"/>
        <v>1292964.0604444447</v>
      </c>
      <c r="AB23" s="324">
        <f t="shared" si="37"/>
        <v>476705</v>
      </c>
      <c r="AC23" s="324">
        <f t="shared" si="37"/>
        <v>358884.81333333335</v>
      </c>
      <c r="AD23" s="324">
        <f t="shared" si="37"/>
        <v>157335</v>
      </c>
      <c r="AE23" s="324">
        <f t="shared" si="37"/>
        <v>1218102.111111111</v>
      </c>
      <c r="AF23" s="324">
        <f t="shared" si="37"/>
        <v>234630</v>
      </c>
      <c r="AG23" s="324">
        <f t="shared" si="37"/>
        <v>237000</v>
      </c>
      <c r="AH23" s="324">
        <f t="shared" si="37"/>
        <v>150000</v>
      </c>
      <c r="AI23" s="369">
        <f t="shared" si="11"/>
        <v>0</v>
      </c>
      <c r="AJ23" s="207"/>
      <c r="AK23" s="207"/>
      <c r="AL23" s="207"/>
      <c r="AM23" s="207"/>
      <c r="AN23" s="207"/>
      <c r="AO23" s="324">
        <f t="shared" si="31"/>
        <v>3996629.0193291572</v>
      </c>
      <c r="AP23" s="324">
        <f t="shared" ref="AP23:AX23" si="38">+SUM(AP6:AP22)</f>
        <v>276641.36186583148</v>
      </c>
      <c r="AQ23" s="324">
        <f t="shared" si="38"/>
        <v>1106565.4474633259</v>
      </c>
      <c r="AR23" s="324">
        <f t="shared" si="38"/>
        <v>423297</v>
      </c>
      <c r="AS23" s="324">
        <f t="shared" si="38"/>
        <v>277185.31000000006</v>
      </c>
      <c r="AT23" s="324">
        <f t="shared" si="38"/>
        <v>157335</v>
      </c>
      <c r="AU23" s="324">
        <f t="shared" si="38"/>
        <v>1133974.8999999999</v>
      </c>
      <c r="AV23" s="324">
        <f t="shared" si="38"/>
        <v>234630</v>
      </c>
      <c r="AW23" s="324">
        <f t="shared" si="38"/>
        <v>237000</v>
      </c>
      <c r="AX23" s="324">
        <f t="shared" si="38"/>
        <v>150000</v>
      </c>
      <c r="BA23" s="324">
        <f t="shared" ref="BA23" si="39">+SUM(BA6:BA22)</f>
        <v>3</v>
      </c>
    </row>
    <row r="24" spans="1:53" ht="16" customHeight="1">
      <c r="B24" s="323" t="s">
        <v>227</v>
      </c>
      <c r="C24" s="378" t="s">
        <v>193</v>
      </c>
      <c r="D24" s="378"/>
      <c r="E24" s="324">
        <f t="shared" ref="E24:H26" si="40">+SUMIF($C$6:$C$22,$C24,E$6:E$22)</f>
        <v>318650</v>
      </c>
      <c r="F24" s="324">
        <f t="shared" si="40"/>
        <v>643060</v>
      </c>
      <c r="G24" s="324">
        <f t="shared" si="40"/>
        <v>974124</v>
      </c>
      <c r="H24" s="324">
        <f t="shared" si="40"/>
        <v>83000</v>
      </c>
      <c r="I24" s="341"/>
      <c r="J24" s="341"/>
      <c r="K24" s="324">
        <f>+SUMIF($C$6:$C$22,$C24,K$6:K$22)</f>
        <v>1700184</v>
      </c>
      <c r="L24" s="341"/>
      <c r="M24" s="539">
        <f ca="1">+SUMIF($C$6:$C$22,$C24,M$6:M$22)</f>
        <v>21418905.200000003</v>
      </c>
      <c r="N24" s="539">
        <f t="shared" ref="N24:U26" ca="1" si="41">+SUMIF($C$6:$C$22,$C24,N$6:N$22)</f>
        <v>90715363.200000018</v>
      </c>
      <c r="O24" s="539">
        <f t="shared" ca="1" si="41"/>
        <v>40321875</v>
      </c>
      <c r="P24" s="539">
        <f t="shared" ca="1" si="41"/>
        <v>38495577</v>
      </c>
      <c r="Q24" s="539">
        <f t="shared" ca="1" si="41"/>
        <v>13055625</v>
      </c>
      <c r="R24" s="539">
        <f t="shared" ca="1" si="41"/>
        <v>75179280</v>
      </c>
      <c r="S24" s="539">
        <f t="shared" ca="1" si="41"/>
        <v>0</v>
      </c>
      <c r="T24" s="539">
        <f t="shared" ca="1" si="41"/>
        <v>4150000</v>
      </c>
      <c r="U24" s="539">
        <f t="shared" ca="1" si="41"/>
        <v>0</v>
      </c>
      <c r="V24" s="539"/>
      <c r="W24" s="539"/>
      <c r="X24" s="341"/>
      <c r="Y24" s="341"/>
      <c r="Z24" s="324">
        <f t="shared" ref="Z24:AH26" si="42">+SUMIF($C$6:$C$22,$C24,Z$6:Z$22)</f>
        <v>125993.56</v>
      </c>
      <c r="AA24" s="324">
        <f t="shared" si="42"/>
        <v>503974.24</v>
      </c>
      <c r="AB24" s="324">
        <f t="shared" si="42"/>
        <v>244375</v>
      </c>
      <c r="AC24" s="324">
        <f t="shared" si="42"/>
        <v>208084.2</v>
      </c>
      <c r="AD24" s="324">
        <f t="shared" si="42"/>
        <v>79125</v>
      </c>
      <c r="AE24" s="324">
        <f t="shared" si="42"/>
        <v>455632</v>
      </c>
      <c r="AF24" s="324">
        <f t="shared" si="42"/>
        <v>0</v>
      </c>
      <c r="AG24" s="324">
        <f t="shared" si="42"/>
        <v>83000</v>
      </c>
      <c r="AH24" s="324">
        <f t="shared" si="42"/>
        <v>0</v>
      </c>
      <c r="AI24" s="369">
        <f t="shared" si="11"/>
        <v>0</v>
      </c>
      <c r="AO24" s="324">
        <f t="shared" ref="AO24:AX26" si="43">+SUMIF($C$6:$C$22,$C24,AO$6:AO$22)</f>
        <v>1489114.8756971073</v>
      </c>
      <c r="AP24" s="324">
        <f t="shared" si="43"/>
        <v>109331.58513942146</v>
      </c>
      <c r="AQ24" s="324">
        <f t="shared" si="43"/>
        <v>437326.34055768582</v>
      </c>
      <c r="AR24" s="324">
        <f t="shared" si="43"/>
        <v>214200</v>
      </c>
      <c r="AS24" s="324">
        <f t="shared" si="43"/>
        <v>156063.15000000002</v>
      </c>
      <c r="AT24" s="324">
        <f t="shared" si="43"/>
        <v>79125</v>
      </c>
      <c r="AU24" s="324">
        <f t="shared" si="43"/>
        <v>410068.80000000005</v>
      </c>
      <c r="AV24" s="324">
        <f t="shared" si="43"/>
        <v>0</v>
      </c>
      <c r="AW24" s="324">
        <f t="shared" si="43"/>
        <v>83000</v>
      </c>
      <c r="AX24" s="324">
        <f t="shared" si="43"/>
        <v>0</v>
      </c>
      <c r="BA24" s="324">
        <f t="shared" ref="BA24:BA26" si="44">+SUMIF($C$6:$C$22,$C24,BA$6:BA$22)</f>
        <v>1</v>
      </c>
    </row>
    <row r="25" spans="1:53" ht="16" customHeight="1">
      <c r="B25" s="323" t="s">
        <v>227</v>
      </c>
      <c r="C25" s="378" t="s">
        <v>225</v>
      </c>
      <c r="D25" s="378"/>
      <c r="E25" s="324">
        <f t="shared" si="40"/>
        <v>411071</v>
      </c>
      <c r="F25" s="324">
        <f t="shared" si="40"/>
        <v>539001</v>
      </c>
      <c r="G25" s="324">
        <f t="shared" si="40"/>
        <v>343998</v>
      </c>
      <c r="H25" s="324">
        <f t="shared" si="40"/>
        <v>106000</v>
      </c>
      <c r="I25" s="341"/>
      <c r="J25" s="341"/>
      <c r="K25" s="324">
        <f>+SUMIF($C$6:$C$22,$C25,K$6:K$22)</f>
        <v>988999</v>
      </c>
      <c r="L25" s="341"/>
      <c r="M25" s="539">
        <f ca="1">+SUMIF($C$6:$C$22,$C25,M$6:M$22)</f>
        <v>15940582.236000001</v>
      </c>
      <c r="N25" s="539">
        <f t="shared" ca="1" si="41"/>
        <v>67513054.175999999</v>
      </c>
      <c r="O25" s="539">
        <f t="shared" ca="1" si="41"/>
        <v>26436564</v>
      </c>
      <c r="P25" s="539">
        <f t="shared" ca="1" si="41"/>
        <v>24720205.715999998</v>
      </c>
      <c r="Q25" s="539">
        <f t="shared" ca="1" si="41"/>
        <v>0</v>
      </c>
      <c r="R25" s="539">
        <f t="shared" ca="1" si="41"/>
        <v>25737883.379999999</v>
      </c>
      <c r="S25" s="539">
        <f t="shared" ca="1" si="41"/>
        <v>0</v>
      </c>
      <c r="T25" s="539">
        <f t="shared" ca="1" si="41"/>
        <v>5514120</v>
      </c>
      <c r="U25" s="539">
        <f t="shared" ca="1" si="41"/>
        <v>0</v>
      </c>
      <c r="V25" s="539"/>
      <c r="W25" s="539"/>
      <c r="X25" s="341"/>
      <c r="Y25" s="341"/>
      <c r="Z25" s="324">
        <f t="shared" si="42"/>
        <v>90127</v>
      </c>
      <c r="AA25" s="324">
        <f t="shared" si="42"/>
        <v>360508</v>
      </c>
      <c r="AB25" s="324">
        <f t="shared" si="42"/>
        <v>154000</v>
      </c>
      <c r="AC25" s="324">
        <f t="shared" si="42"/>
        <v>128434</v>
      </c>
      <c r="AD25" s="324">
        <f t="shared" si="42"/>
        <v>0</v>
      </c>
      <c r="AE25" s="324">
        <f t="shared" si="42"/>
        <v>149930</v>
      </c>
      <c r="AF25" s="324">
        <f t="shared" si="42"/>
        <v>0</v>
      </c>
      <c r="AG25" s="324">
        <f t="shared" si="42"/>
        <v>106000</v>
      </c>
      <c r="AH25" s="324">
        <f t="shared" si="42"/>
        <v>0</v>
      </c>
      <c r="AI25" s="369">
        <f t="shared" si="11"/>
        <v>0</v>
      </c>
      <c r="AO25" s="324">
        <f t="shared" si="43"/>
        <v>863621.3</v>
      </c>
      <c r="AP25" s="324">
        <f t="shared" si="43"/>
        <v>75947.420000000013</v>
      </c>
      <c r="AQ25" s="324">
        <f t="shared" si="43"/>
        <v>303789.68000000005</v>
      </c>
      <c r="AR25" s="324">
        <f t="shared" si="43"/>
        <v>138600</v>
      </c>
      <c r="AS25" s="324">
        <f t="shared" si="43"/>
        <v>104347.20000000001</v>
      </c>
      <c r="AT25" s="324">
        <f t="shared" si="43"/>
        <v>0</v>
      </c>
      <c r="AU25" s="324">
        <f t="shared" si="43"/>
        <v>134937</v>
      </c>
      <c r="AV25" s="324">
        <f t="shared" si="43"/>
        <v>0</v>
      </c>
      <c r="AW25" s="324">
        <f t="shared" si="43"/>
        <v>106000</v>
      </c>
      <c r="AX25" s="324">
        <f t="shared" si="43"/>
        <v>0</v>
      </c>
      <c r="BA25" s="324">
        <f t="shared" si="44"/>
        <v>1</v>
      </c>
    </row>
    <row r="26" spans="1:53" ht="16" customHeight="1">
      <c r="B26" s="323" t="s">
        <v>227</v>
      </c>
      <c r="C26" s="378" t="s">
        <v>226</v>
      </c>
      <c r="D26" s="378"/>
      <c r="E26" s="324">
        <f t="shared" si="40"/>
        <v>282202</v>
      </c>
      <c r="F26" s="324">
        <f t="shared" si="40"/>
        <v>1081800</v>
      </c>
      <c r="G26" s="324">
        <f t="shared" si="40"/>
        <v>479879</v>
      </c>
      <c r="H26" s="324">
        <f t="shared" si="40"/>
        <v>198000</v>
      </c>
      <c r="I26" s="341"/>
      <c r="J26" s="341"/>
      <c r="K26" s="324">
        <f>+SUMIF($C$6:$C$22,$C26,K$6:K$22)</f>
        <v>1759679</v>
      </c>
      <c r="L26" s="341"/>
      <c r="M26" s="539">
        <f ca="1">+SUMIF($C$6:$C$22,$C26,M$6:M$22)</f>
        <v>19711606.353037525</v>
      </c>
      <c r="N26" s="539">
        <f t="shared" ca="1" si="41"/>
        <v>83484450.4363942</v>
      </c>
      <c r="O26" s="539">
        <f t="shared" ca="1" si="41"/>
        <v>13989840.330312001</v>
      </c>
      <c r="P26" s="539">
        <f t="shared" ca="1" si="41"/>
        <v>4478913.1927226875</v>
      </c>
      <c r="Q26" s="539">
        <f t="shared" ca="1" si="41"/>
        <v>13968408.173543999</v>
      </c>
      <c r="R26" s="539">
        <f t="shared" ca="1" si="41"/>
        <v>109400464.06684557</v>
      </c>
      <c r="S26" s="539">
        <f t="shared" ca="1" si="41"/>
        <v>24127250.481575999</v>
      </c>
      <c r="T26" s="539">
        <f t="shared" ca="1" si="41"/>
        <v>2597837.1839999999</v>
      </c>
      <c r="U26" s="539">
        <f t="shared" ca="1" si="41"/>
        <v>1623648.24</v>
      </c>
      <c r="V26" s="539"/>
      <c r="W26" s="539"/>
      <c r="X26" s="341"/>
      <c r="Y26" s="341"/>
      <c r="Z26" s="324">
        <f t="shared" si="42"/>
        <v>107120.45511111115</v>
      </c>
      <c r="AA26" s="324">
        <f t="shared" si="42"/>
        <v>428481.8204444446</v>
      </c>
      <c r="AB26" s="324">
        <f t="shared" si="42"/>
        <v>78330</v>
      </c>
      <c r="AC26" s="324">
        <f t="shared" si="42"/>
        <v>22366.613333333331</v>
      </c>
      <c r="AD26" s="324">
        <f t="shared" si="42"/>
        <v>78210</v>
      </c>
      <c r="AE26" s="324">
        <f t="shared" si="42"/>
        <v>612540.11111111101</v>
      </c>
      <c r="AF26" s="324">
        <f t="shared" si="42"/>
        <v>234630</v>
      </c>
      <c r="AG26" s="324">
        <f t="shared" si="42"/>
        <v>48000</v>
      </c>
      <c r="AH26" s="324">
        <f t="shared" si="42"/>
        <v>150000</v>
      </c>
      <c r="AI26" s="369">
        <f t="shared" si="11"/>
        <v>0</v>
      </c>
      <c r="AO26" s="324">
        <f t="shared" si="43"/>
        <v>1643892.8436320503</v>
      </c>
      <c r="AP26" s="324">
        <f t="shared" si="43"/>
        <v>91362.356726410057</v>
      </c>
      <c r="AQ26" s="324">
        <f t="shared" si="43"/>
        <v>365449.42690564023</v>
      </c>
      <c r="AR26" s="324">
        <f t="shared" si="43"/>
        <v>70497</v>
      </c>
      <c r="AS26" s="324">
        <f t="shared" si="43"/>
        <v>16774.96</v>
      </c>
      <c r="AT26" s="324">
        <f t="shared" si="43"/>
        <v>78210</v>
      </c>
      <c r="AU26" s="324">
        <f t="shared" si="43"/>
        <v>588969.09999999986</v>
      </c>
      <c r="AV26" s="324">
        <f t="shared" si="43"/>
        <v>234630</v>
      </c>
      <c r="AW26" s="324">
        <f t="shared" si="43"/>
        <v>48000</v>
      </c>
      <c r="AX26" s="324">
        <f t="shared" si="43"/>
        <v>150000</v>
      </c>
      <c r="BA26" s="324">
        <f t="shared" si="44"/>
        <v>1</v>
      </c>
    </row>
    <row r="28" spans="1:53" ht="16" customHeight="1">
      <c r="B28" s="356" t="s">
        <v>21</v>
      </c>
      <c r="C28" s="257"/>
      <c r="AN28" s="325"/>
      <c r="AP28" s="373" t="s">
        <v>454</v>
      </c>
      <c r="AR28" s="373" t="s">
        <v>455</v>
      </c>
      <c r="AT28" s="373" t="s">
        <v>456</v>
      </c>
      <c r="AV28" s="373" t="s">
        <v>457</v>
      </c>
      <c r="AX28" s="373" t="s">
        <v>458</v>
      </c>
    </row>
    <row r="29" spans="1:53" ht="16" customHeight="1">
      <c r="B29" s="354" t="s">
        <v>357</v>
      </c>
      <c r="AM29" s="330" t="s">
        <v>459</v>
      </c>
      <c r="AN29" s="374" t="s">
        <v>451</v>
      </c>
      <c r="AP29" s="30">
        <f>+Assumptions!E62</f>
        <v>565</v>
      </c>
      <c r="AQ29" s="376"/>
      <c r="AR29" s="30">
        <f>+Assumptions!E66</f>
        <v>650</v>
      </c>
      <c r="AS29" s="376"/>
      <c r="AT29" s="30">
        <f>+Assumptions!E70</f>
        <v>900</v>
      </c>
      <c r="AU29" s="376"/>
      <c r="AV29" s="30">
        <f>+Assumptions!E74</f>
        <v>1400</v>
      </c>
      <c r="AW29" s="376"/>
      <c r="AX29" s="30">
        <f>+Assumptions!E78</f>
        <v>1800</v>
      </c>
    </row>
    <row r="30" spans="1:53" ht="16" customHeight="1">
      <c r="B30" s="355" t="s">
        <v>360</v>
      </c>
      <c r="AM30" s="41" t="s">
        <v>21</v>
      </c>
      <c r="AN30" s="375">
        <f>+SUM(AO30,AQ30,AS30,AU30,AW30)-1</f>
        <v>0</v>
      </c>
      <c r="AO30" s="44">
        <v>0.5</v>
      </c>
      <c r="AP30" s="42">
        <f>AO30*$AQ24/AP$29</f>
        <v>387.01446067051842</v>
      </c>
      <c r="AQ30" s="44">
        <v>0.2</v>
      </c>
      <c r="AR30" s="42">
        <f>AQ30*$AQ24/AR$29</f>
        <v>134.56195094082642</v>
      </c>
      <c r="AS30" s="44">
        <v>0.1</v>
      </c>
      <c r="AT30" s="42">
        <f>AS30*$AQ24/AT$29</f>
        <v>48.591815617520645</v>
      </c>
      <c r="AU30" s="44">
        <v>0.05</v>
      </c>
      <c r="AV30" s="42">
        <f>AU30*$AQ24/AV$29</f>
        <v>15.618797877060208</v>
      </c>
      <c r="AW30" s="44">
        <v>0.15</v>
      </c>
      <c r="AX30" s="42">
        <f>AW30*$AQ24/AX$29</f>
        <v>36.443861713140478</v>
      </c>
      <c r="AY30" s="42">
        <f>+(AX30*$AX$29+AV30*$AV$29+AT30*$AT$29+AR30*$AR$29+AP30*$AP$29)</f>
        <v>437326.34055768582</v>
      </c>
    </row>
    <row r="31" spans="1:53" ht="16" customHeight="1">
      <c r="AM31" s="41" t="s">
        <v>357</v>
      </c>
      <c r="AN31" s="375">
        <f>+SUM(AO31,AQ31,AS31,AU31,AW31)-1</f>
        <v>0</v>
      </c>
      <c r="AO31" s="44">
        <v>0.5</v>
      </c>
      <c r="AP31" s="42">
        <f t="shared" ref="AP31:AR31" si="45">AO31*$AQ25/AP$29</f>
        <v>268.84042477876113</v>
      </c>
      <c r="AQ31" s="44">
        <v>0.2</v>
      </c>
      <c r="AR31" s="42">
        <f t="shared" si="45"/>
        <v>93.473747692307711</v>
      </c>
      <c r="AS31" s="44">
        <v>0.1</v>
      </c>
      <c r="AT31" s="42">
        <f t="shared" ref="AT31" si="46">AS31*$AQ25/AT$29</f>
        <v>33.754408888888896</v>
      </c>
      <c r="AU31" s="44">
        <v>0.05</v>
      </c>
      <c r="AV31" s="42">
        <f t="shared" ref="AV31" si="47">AU31*$AQ25/AV$29</f>
        <v>10.849631428571431</v>
      </c>
      <c r="AW31" s="44">
        <v>0.15</v>
      </c>
      <c r="AX31" s="42">
        <f t="shared" ref="AX31" si="48">AW31*$AQ25/AX$29</f>
        <v>25.315806666666671</v>
      </c>
      <c r="AY31" s="42">
        <f t="shared" ref="AY31:AY33" si="49">+(AX31*$AX$29+AV31*$AV$29+AT31*$AT$29+AR31*$AR$29+AP31*$AP$29)</f>
        <v>303789.68000000005</v>
      </c>
    </row>
    <row r="32" spans="1:53" ht="16" customHeight="1">
      <c r="B32" s="119" t="s">
        <v>614</v>
      </c>
      <c r="F32" s="471" t="s">
        <v>505</v>
      </c>
      <c r="G32" s="471" t="s">
        <v>578</v>
      </c>
      <c r="AN32" s="375"/>
      <c r="AO32" s="44"/>
      <c r="AP32" s="42"/>
      <c r="AQ32" s="44"/>
      <c r="AR32" s="42"/>
      <c r="AS32" s="44"/>
      <c r="AT32" s="42"/>
      <c r="AU32" s="44"/>
      <c r="AV32" s="42"/>
      <c r="AW32" s="44"/>
      <c r="AX32" s="42"/>
      <c r="AY32" s="42"/>
    </row>
    <row r="33" spans="2:51" ht="16" customHeight="1">
      <c r="B33" s="41" t="s">
        <v>833</v>
      </c>
      <c r="F33" s="340">
        <f>+AD14</f>
        <v>60000</v>
      </c>
      <c r="G33" s="327">
        <f>+'Public Benefits'!F6</f>
        <v>0</v>
      </c>
      <c r="AM33" s="41" t="s">
        <v>360</v>
      </c>
      <c r="AN33" s="375">
        <f>+SUM(AO33,AQ33,AS33,AU33,AW33)-1</f>
        <v>0</v>
      </c>
      <c r="AO33" s="44">
        <v>0.5</v>
      </c>
      <c r="AP33" s="42">
        <f>AO33*$AQ26/AP$29</f>
        <v>323.40657248286743</v>
      </c>
      <c r="AQ33" s="44">
        <v>0.2</v>
      </c>
      <c r="AR33" s="42">
        <f>AQ33*$AQ26/AR$29</f>
        <v>112.44597750942776</v>
      </c>
      <c r="AS33" s="44">
        <v>0.1</v>
      </c>
      <c r="AT33" s="42">
        <f t="shared" ref="AT33" si="50">AS33*$AQ26/AT$29</f>
        <v>40.605491878404465</v>
      </c>
      <c r="AU33" s="44">
        <v>0.05</v>
      </c>
      <c r="AV33" s="42">
        <f t="shared" ref="AV33" si="51">AU33*$AQ26/AV$29</f>
        <v>13.051765246630007</v>
      </c>
      <c r="AW33" s="44">
        <v>0.15</v>
      </c>
      <c r="AX33" s="42">
        <f t="shared" ref="AX33" si="52">AW33*$AQ26/AX$29</f>
        <v>30.454118908803352</v>
      </c>
      <c r="AY33" s="42">
        <f t="shared" si="49"/>
        <v>365449.42690564017</v>
      </c>
    </row>
    <row r="34" spans="2:51" ht="16" customHeight="1">
      <c r="B34" s="41" t="s">
        <v>356</v>
      </c>
      <c r="F34" s="340">
        <f>+AD22</f>
        <v>78210</v>
      </c>
      <c r="G34" s="327">
        <f>+'Public Benefits'!F7</f>
        <v>30233063.214641966</v>
      </c>
      <c r="AM34" s="377" t="s">
        <v>17</v>
      </c>
      <c r="AN34" s="377"/>
      <c r="AO34" s="377"/>
      <c r="AP34" s="377">
        <f>+SUM(AP30:AP33)</f>
        <v>979.26145793214698</v>
      </c>
      <c r="AQ34" s="377"/>
      <c r="AR34" s="377">
        <f>+SUM(AR30:AR33)</f>
        <v>340.48167614256192</v>
      </c>
      <c r="AS34" s="377"/>
      <c r="AT34" s="377">
        <f>+SUM(AT30:AT33)</f>
        <v>122.95171638481401</v>
      </c>
      <c r="AU34" s="377"/>
      <c r="AV34" s="377">
        <f>+SUM(AV30:AV33)</f>
        <v>39.520194552261643</v>
      </c>
      <c r="AW34" s="377"/>
      <c r="AX34" s="377">
        <f>+SUM(AX30:AX33)</f>
        <v>92.213787288610504</v>
      </c>
      <c r="AY34" s="377">
        <f>+SUM(AY30:AY33)</f>
        <v>1106565.4474633262</v>
      </c>
    </row>
    <row r="35" spans="2:51" ht="16" customHeight="1">
      <c r="B35" s="41" t="s">
        <v>453</v>
      </c>
      <c r="F35" s="340">
        <f>+'Parcel Breakdown'!AD8</f>
        <v>19125</v>
      </c>
      <c r="G35" s="327" t="e">
        <f>+'Public Benefits'!#REF!</f>
        <v>#REF!</v>
      </c>
      <c r="AM35" s="330" t="s">
        <v>30</v>
      </c>
      <c r="AN35" s="374" t="s">
        <v>451</v>
      </c>
      <c r="AP35" s="30"/>
      <c r="AQ35" s="376"/>
      <c r="AR35" s="30"/>
      <c r="AS35" s="376"/>
      <c r="AT35" s="30"/>
      <c r="AU35" s="376"/>
      <c r="AV35" s="30"/>
      <c r="AW35" s="376"/>
      <c r="AX35" s="30"/>
    </row>
    <row r="36" spans="2:51" ht="16" customHeight="1">
      <c r="B36" s="41" t="s">
        <v>496</v>
      </c>
      <c r="F36" s="547">
        <v>30000</v>
      </c>
      <c r="G36" s="34">
        <f>+'Public Benefits'!F5</f>
        <v>0</v>
      </c>
      <c r="AM36" s="41" t="s">
        <v>21</v>
      </c>
      <c r="AN36" s="375">
        <f>+SUM(AO36,AQ36,AS36,AU36,AW36)-1</f>
        <v>0</v>
      </c>
      <c r="AO36" s="108">
        <f>+AO30</f>
        <v>0.5</v>
      </c>
      <c r="AP36" s="42">
        <f>+AO36*$AP24/AP$29</f>
        <v>96.753615167629604</v>
      </c>
      <c r="AQ36" s="108">
        <f>+AQ30</f>
        <v>0.2</v>
      </c>
      <c r="AR36" s="42">
        <f>+AQ36*$AP24/AR$29</f>
        <v>33.640487735206605</v>
      </c>
      <c r="AS36" s="108">
        <f>+AS30</f>
        <v>0.1</v>
      </c>
      <c r="AT36" s="42">
        <f>+AS36*$AP24/AT$29</f>
        <v>12.147953904380161</v>
      </c>
      <c r="AU36" s="108">
        <f>+AU30</f>
        <v>0.05</v>
      </c>
      <c r="AV36" s="42">
        <f>+AU36*$AP24/AV$29</f>
        <v>3.9046994692650521</v>
      </c>
      <c r="AW36" s="108">
        <f>+AW30</f>
        <v>0.15</v>
      </c>
      <c r="AX36" s="42">
        <f>+AW36*$AP24/AX$29</f>
        <v>9.1109654282851196</v>
      </c>
      <c r="AY36" s="42">
        <f>+(AX36*$AX$29+AV36*$AV$29+AT36*$AT$29+AR36*$AR$29+AP36*$AP$29)</f>
        <v>109331.58513942146</v>
      </c>
    </row>
    <row r="37" spans="2:51" ht="16" customHeight="1">
      <c r="B37" s="41" t="s">
        <v>358</v>
      </c>
      <c r="F37" s="340">
        <f>+SUM(Infra!G31:I33)</f>
        <v>1731000</v>
      </c>
      <c r="G37" s="34">
        <f>+'Public Benefits'!F4</f>
        <v>15398186.713020956</v>
      </c>
      <c r="H37" s="41"/>
      <c r="AM37" s="41" t="s">
        <v>357</v>
      </c>
      <c r="AN37" s="375">
        <f>+SUM(AO37,AQ37,AS37,AU37,AW37)-1</f>
        <v>0</v>
      </c>
      <c r="AO37" s="108">
        <f>+AO31</f>
        <v>0.5</v>
      </c>
      <c r="AP37" s="42">
        <f>+AO37*$AP25/AP$29</f>
        <v>67.210106194690283</v>
      </c>
      <c r="AQ37" s="108">
        <f>+AQ31</f>
        <v>0.2</v>
      </c>
      <c r="AR37" s="42">
        <f>+AQ37*$AP25/AR$29</f>
        <v>23.368436923076928</v>
      </c>
      <c r="AS37" s="108">
        <f>+AS31</f>
        <v>0.1</v>
      </c>
      <c r="AT37" s="42">
        <f>+AS37*$AP25/AT$29</f>
        <v>8.4386022222222241</v>
      </c>
      <c r="AU37" s="108">
        <f>+AU31</f>
        <v>0.05</v>
      </c>
      <c r="AV37" s="42">
        <f>+AU37*$AP25/AV$29</f>
        <v>2.7124078571428578</v>
      </c>
      <c r="AW37" s="108">
        <f>+AW31</f>
        <v>0.15</v>
      </c>
      <c r="AX37" s="42">
        <f>+AW37*$AP25/AX$29</f>
        <v>6.3289516666666676</v>
      </c>
      <c r="AY37" s="42">
        <f t="shared" ref="AY37:AY38" si="53">+(AX37*$AX$29+AV37*$AV$29+AT37*$AT$29+AR37*$AR$29+AP37*$AP$29)</f>
        <v>75947.420000000013</v>
      </c>
    </row>
    <row r="38" spans="2:51" ht="16" customHeight="1">
      <c r="B38" s="41" t="s">
        <v>613</v>
      </c>
      <c r="F38" s="340">
        <f>+Z23</f>
        <v>323241.01511111116</v>
      </c>
      <c r="G38" s="327">
        <f ca="1">+'Public Benefits'!F8</f>
        <v>14626574.890403992</v>
      </c>
      <c r="AM38" s="41" t="s">
        <v>360</v>
      </c>
      <c r="AN38" s="375">
        <f>+SUM(AO38,AQ38,AS38,AU38,AW38)-1</f>
        <v>0</v>
      </c>
      <c r="AO38" s="108">
        <f t="shared" ref="AO38" si="54">+AO33</f>
        <v>0.5</v>
      </c>
      <c r="AP38" s="42">
        <f>+AO38*$AP26/AP$29</f>
        <v>80.851643120716858</v>
      </c>
      <c r="AQ38" s="108">
        <f t="shared" ref="AQ38" si="55">+AQ33</f>
        <v>0.2</v>
      </c>
      <c r="AR38" s="42">
        <f>+AQ38*$AP26/AR$29</f>
        <v>28.111494377356941</v>
      </c>
      <c r="AS38" s="108">
        <f t="shared" ref="AS38" si="56">+AS33</f>
        <v>0.1</v>
      </c>
      <c r="AT38" s="42">
        <f>+AS38*$AP26/AT$29</f>
        <v>10.151372969601116</v>
      </c>
      <c r="AU38" s="108">
        <f t="shared" ref="AU38" si="57">+AU33</f>
        <v>0.05</v>
      </c>
      <c r="AV38" s="42">
        <f>+AU38*$AP26/AV$29</f>
        <v>3.2629413116575017</v>
      </c>
      <c r="AW38" s="108">
        <f t="shared" ref="AW38" si="58">+AW33</f>
        <v>0.15</v>
      </c>
      <c r="AX38" s="42">
        <f>+AW38*$AP26/AX$29</f>
        <v>7.613529727200838</v>
      </c>
      <c r="AY38" s="42">
        <f t="shared" si="53"/>
        <v>91362.356726410042</v>
      </c>
    </row>
    <row r="39" spans="2:51" ht="16" customHeight="1">
      <c r="AM39" s="377" t="s">
        <v>17</v>
      </c>
      <c r="AN39" s="377"/>
      <c r="AO39" s="377"/>
      <c r="AP39" s="377">
        <f>+SUM(AP36:AP38)</f>
        <v>244.81536448303675</v>
      </c>
      <c r="AQ39" s="377"/>
      <c r="AR39" s="377">
        <f>+SUM(AR36:AR38)</f>
        <v>85.120419035640481</v>
      </c>
      <c r="AS39" s="377"/>
      <c r="AT39" s="377">
        <f>+SUM(AT36:AT38)</f>
        <v>30.737929096203501</v>
      </c>
      <c r="AU39" s="377"/>
      <c r="AV39" s="377">
        <f>+SUM(AV36:AV38)</f>
        <v>9.8800486380654107</v>
      </c>
      <c r="AW39" s="377"/>
      <c r="AX39" s="377">
        <f>+SUM(AX36:AX38)</f>
        <v>23.053446822152626</v>
      </c>
      <c r="AY39" s="377">
        <f>+SUM(AY36:AY38)</f>
        <v>276641.36186583154</v>
      </c>
    </row>
    <row r="40" spans="2:51" ht="16" customHeight="1">
      <c r="AP40" s="42"/>
      <c r="AR40" s="42"/>
      <c r="AT40" s="42"/>
      <c r="AV40" s="42"/>
      <c r="AX40" s="42"/>
    </row>
    <row r="41" spans="2:51" ht="16" customHeight="1">
      <c r="AN41" s="325"/>
      <c r="AP41" s="373" t="s">
        <v>144</v>
      </c>
      <c r="AR41" s="42"/>
      <c r="AT41" s="42"/>
      <c r="AV41" s="42"/>
      <c r="AX41" s="42"/>
    </row>
    <row r="42" spans="2:51" ht="16" customHeight="1">
      <c r="AM42" s="330" t="s">
        <v>26</v>
      </c>
      <c r="AN42" s="374"/>
      <c r="AP42" s="30">
        <f>+Assumptions!E94</f>
        <v>450</v>
      </c>
      <c r="AR42" s="42"/>
      <c r="AT42" s="42"/>
      <c r="AV42" s="42"/>
      <c r="AX42" s="42"/>
    </row>
    <row r="43" spans="2:51" ht="16" customHeight="1">
      <c r="AM43" s="41" t="s">
        <v>21</v>
      </c>
      <c r="AN43" s="375"/>
      <c r="AO43" s="44"/>
      <c r="AP43" s="42">
        <f>$AS24/AP$42</f>
        <v>346.80700000000007</v>
      </c>
    </row>
    <row r="44" spans="2:51" ht="16" customHeight="1">
      <c r="AM44" s="41" t="s">
        <v>357</v>
      </c>
      <c r="AN44" s="375"/>
      <c r="AO44" s="44"/>
      <c r="AP44" s="42">
        <f>$AS25/AP$42</f>
        <v>231.88266666666669</v>
      </c>
    </row>
    <row r="45" spans="2:51" ht="16" customHeight="1">
      <c r="AM45" s="41" t="s">
        <v>360</v>
      </c>
      <c r="AN45" s="375"/>
      <c r="AO45" s="44"/>
      <c r="AP45" s="42">
        <f>$AS26/AP$42</f>
        <v>37.277688888888889</v>
      </c>
    </row>
    <row r="46" spans="2:51" ht="16" customHeight="1">
      <c r="AM46" s="377" t="s">
        <v>17</v>
      </c>
      <c r="AN46" s="377"/>
      <c r="AO46" s="377"/>
      <c r="AP46" s="377">
        <f>+SUM(AP43:AP45)</f>
        <v>615.96735555555563</v>
      </c>
    </row>
    <row r="48" spans="2:51" ht="16" customHeight="1">
      <c r="AN48" s="325"/>
      <c r="AP48" s="373" t="s">
        <v>460</v>
      </c>
      <c r="AR48" s="373" t="s">
        <v>461</v>
      </c>
    </row>
    <row r="49" spans="39:44" ht="16" customHeight="1">
      <c r="AM49" s="330" t="s">
        <v>212</v>
      </c>
      <c r="AN49" s="374"/>
      <c r="AP49" s="30">
        <f>+Assumptions!$F$178</f>
        <v>300</v>
      </c>
      <c r="AR49" s="30">
        <f>+Assumptions!$F$178</f>
        <v>300</v>
      </c>
    </row>
    <row r="50" spans="39:44" ht="16" customHeight="1">
      <c r="AM50" s="41" t="s">
        <v>21</v>
      </c>
      <c r="AN50" s="375"/>
      <c r="AO50" s="44"/>
      <c r="AP50" s="42">
        <f>+AW24/$AP$49</f>
        <v>276.66666666666669</v>
      </c>
      <c r="AR50" s="42">
        <f>+AX24/$AP$49</f>
        <v>0</v>
      </c>
    </row>
    <row r="51" spans="39:44" ht="16" customHeight="1">
      <c r="AM51" s="41" t="s">
        <v>357</v>
      </c>
      <c r="AN51" s="375"/>
      <c r="AO51" s="44"/>
      <c r="AP51" s="42">
        <f>+AW25/$AP$49</f>
        <v>353.33333333333331</v>
      </c>
      <c r="AR51" s="42">
        <f t="shared" ref="AR51:AR52" si="59">+AX25/$AP$49</f>
        <v>0</v>
      </c>
    </row>
    <row r="52" spans="39:44" ht="16" customHeight="1">
      <c r="AM52" s="41" t="s">
        <v>360</v>
      </c>
      <c r="AN52" s="375"/>
      <c r="AO52" s="44"/>
      <c r="AP52" s="42">
        <f>+AW26/$AP$49</f>
        <v>160</v>
      </c>
      <c r="AR52" s="42">
        <f t="shared" si="59"/>
        <v>500</v>
      </c>
    </row>
    <row r="53" spans="39:44" ht="16" customHeight="1">
      <c r="AM53" s="377" t="s">
        <v>17</v>
      </c>
      <c r="AN53" s="377"/>
      <c r="AO53" s="377"/>
      <c r="AP53" s="377">
        <f>+SUM(AP50:AP52)</f>
        <v>790</v>
      </c>
      <c r="AR53" s="377">
        <f>+SUM(AR50:AR52)</f>
        <v>500</v>
      </c>
    </row>
    <row r="66" ht="16" hidden="1" customHeight="1"/>
    <row r="67" ht="16" hidden="1" customHeight="1"/>
    <row r="68" ht="16" hidden="1" customHeight="1"/>
    <row r="69" ht="16" hidden="1" customHeight="1"/>
    <row r="70" ht="16" hidden="1" customHeight="1"/>
    <row r="71" ht="16" hidden="1" customHeight="1"/>
    <row r="72" ht="16" hidden="1" customHeight="1"/>
    <row r="73" ht="16" hidden="1" customHeight="1"/>
    <row r="74" ht="16" hidden="1" customHeight="1"/>
    <row r="75" ht="16" hidden="1" customHeight="1"/>
    <row r="76" ht="16" hidden="1" customHeight="1"/>
    <row r="77" ht="16" hidden="1" customHeight="1"/>
    <row r="78" ht="16" hidden="1" customHeight="1"/>
    <row r="79" ht="16" hidden="1" customHeight="1"/>
    <row r="80" ht="16" hidden="1" customHeight="1"/>
    <row r="82" spans="1:14" ht="16" customHeight="1">
      <c r="A82" s="741" t="s">
        <v>711</v>
      </c>
      <c r="B82" s="741" t="s">
        <v>712</v>
      </c>
      <c r="C82" s="741" t="s">
        <v>713</v>
      </c>
      <c r="D82" s="741" t="s">
        <v>714</v>
      </c>
      <c r="E82" s="741" t="s">
        <v>713</v>
      </c>
      <c r="F82" s="741" t="s">
        <v>715</v>
      </c>
      <c r="G82" s="741" t="s">
        <v>716</v>
      </c>
      <c r="H82" s="955" t="s">
        <v>722</v>
      </c>
      <c r="I82" s="955"/>
      <c r="J82" s="739"/>
      <c r="K82" s="739"/>
      <c r="L82" s="739"/>
      <c r="M82" s="739"/>
      <c r="N82" s="739"/>
    </row>
    <row r="83" spans="1:14" ht="16" customHeight="1">
      <c r="A83" s="742">
        <v>1</v>
      </c>
      <c r="B83" s="743" t="s">
        <v>717</v>
      </c>
      <c r="C83" s="744" t="s">
        <v>718</v>
      </c>
      <c r="D83" s="745">
        <v>53040</v>
      </c>
      <c r="E83" s="744">
        <v>1</v>
      </c>
      <c r="F83" s="745">
        <v>53040</v>
      </c>
      <c r="G83" s="744" t="s">
        <v>719</v>
      </c>
      <c r="H83" s="890">
        <v>4822</v>
      </c>
      <c r="I83" s="891">
        <v>5786</v>
      </c>
      <c r="J83" s="739"/>
      <c r="K83" s="740" t="s">
        <v>720</v>
      </c>
      <c r="L83" s="740" t="s">
        <v>721</v>
      </c>
      <c r="M83" s="740" t="s">
        <v>722</v>
      </c>
      <c r="N83" s="739"/>
    </row>
    <row r="84" spans="1:14" ht="16" customHeight="1">
      <c r="A84" s="742"/>
      <c r="B84" s="743"/>
      <c r="C84" s="747" t="s">
        <v>723</v>
      </c>
      <c r="D84" s="747">
        <v>53040</v>
      </c>
      <c r="E84" s="748">
        <v>2</v>
      </c>
      <c r="F84" s="747">
        <v>106080</v>
      </c>
      <c r="G84" s="747" t="s">
        <v>724</v>
      </c>
      <c r="H84" s="892">
        <v>9644</v>
      </c>
      <c r="I84" s="893">
        <v>11572</v>
      </c>
      <c r="J84" s="747" t="s">
        <v>725</v>
      </c>
      <c r="K84" s="749">
        <v>394772</v>
      </c>
      <c r="L84" s="899"/>
      <c r="M84" s="891">
        <v>35888</v>
      </c>
      <c r="N84" s="750"/>
    </row>
    <row r="85" spans="1:14" ht="16" customHeight="1">
      <c r="A85" s="742"/>
      <c r="B85" s="743"/>
      <c r="C85" s="751" t="s">
        <v>726</v>
      </c>
      <c r="D85" s="751">
        <v>27648</v>
      </c>
      <c r="E85" s="751">
        <v>7</v>
      </c>
      <c r="F85" s="751">
        <v>193536</v>
      </c>
      <c r="G85" s="751" t="s">
        <v>727</v>
      </c>
      <c r="H85" s="892">
        <v>17594</v>
      </c>
      <c r="I85" s="893">
        <v>21113</v>
      </c>
      <c r="J85" s="751" t="s">
        <v>727</v>
      </c>
      <c r="K85" s="752">
        <f>1347954</f>
        <v>1347954</v>
      </c>
      <c r="L85" s="892">
        <f>905586-F86</f>
        <v>656754</v>
      </c>
      <c r="M85" s="893">
        <v>122541</v>
      </c>
      <c r="N85" s="753"/>
    </row>
    <row r="86" spans="1:14" ht="16" customHeight="1">
      <c r="A86" s="742"/>
      <c r="B86" s="743"/>
      <c r="C86" s="754" t="s">
        <v>728</v>
      </c>
      <c r="D86" s="755">
        <v>27648</v>
      </c>
      <c r="E86" s="754">
        <v>9</v>
      </c>
      <c r="F86" s="754">
        <v>248832</v>
      </c>
      <c r="G86" s="754" t="s">
        <v>804</v>
      </c>
      <c r="H86" s="892">
        <v>22621</v>
      </c>
      <c r="I86" s="893">
        <v>27145</v>
      </c>
      <c r="J86" s="754" t="s">
        <v>729</v>
      </c>
      <c r="K86" s="755"/>
      <c r="L86" s="894"/>
      <c r="M86" s="893">
        <v>0</v>
      </c>
      <c r="N86" s="750"/>
    </row>
    <row r="87" spans="1:14" ht="16" customHeight="1">
      <c r="A87" s="742"/>
      <c r="B87" s="743" t="s">
        <v>730</v>
      </c>
      <c r="C87" s="743"/>
      <c r="D87" s="743"/>
      <c r="E87" s="743"/>
      <c r="F87" s="743">
        <v>601488</v>
      </c>
      <c r="G87" s="743"/>
      <c r="H87" s="892">
        <v>54681</v>
      </c>
      <c r="I87" s="893">
        <v>65617</v>
      </c>
      <c r="J87" s="754"/>
      <c r="K87" s="755"/>
      <c r="L87" s="894"/>
      <c r="M87" s="895"/>
      <c r="N87" s="750"/>
    </row>
    <row r="88" spans="1:14" ht="16" customHeight="1">
      <c r="A88" s="742">
        <v>1.3</v>
      </c>
      <c r="B88" s="743" t="s">
        <v>731</v>
      </c>
      <c r="C88" s="743" t="s">
        <v>467</v>
      </c>
      <c r="D88" s="743" t="s">
        <v>467</v>
      </c>
      <c r="E88" s="743" t="s">
        <v>467</v>
      </c>
      <c r="F88" s="743" t="s">
        <v>467</v>
      </c>
      <c r="G88" s="743" t="s">
        <v>467</v>
      </c>
      <c r="H88" s="894"/>
      <c r="I88" s="895"/>
      <c r="J88" s="754" t="s">
        <v>732</v>
      </c>
      <c r="K88" s="755"/>
      <c r="L88" s="894"/>
      <c r="M88" s="893">
        <v>0</v>
      </c>
      <c r="N88" s="750"/>
    </row>
    <row r="89" spans="1:14" ht="16" customHeight="1">
      <c r="A89" s="742">
        <v>1.5</v>
      </c>
      <c r="B89" s="743" t="s">
        <v>733</v>
      </c>
      <c r="C89" s="743" t="s">
        <v>467</v>
      </c>
      <c r="D89" s="743" t="s">
        <v>467</v>
      </c>
      <c r="E89" s="743" t="s">
        <v>467</v>
      </c>
      <c r="F89" s="743" t="s">
        <v>467</v>
      </c>
      <c r="G89" s="743" t="s">
        <v>467</v>
      </c>
      <c r="H89" s="894"/>
      <c r="I89" s="895"/>
      <c r="J89" s="754" t="s">
        <v>734</v>
      </c>
      <c r="K89" s="755">
        <v>341796</v>
      </c>
      <c r="L89" s="892">
        <f>750516+F86</f>
        <v>999348</v>
      </c>
      <c r="M89" s="893">
        <v>31072</v>
      </c>
      <c r="N89" s="756"/>
    </row>
    <row r="90" spans="1:14" ht="16" customHeight="1">
      <c r="A90" s="742">
        <v>2</v>
      </c>
      <c r="B90" s="743" t="s">
        <v>735</v>
      </c>
      <c r="C90" s="757" t="s">
        <v>736</v>
      </c>
      <c r="D90" s="757">
        <v>8515</v>
      </c>
      <c r="E90" s="757">
        <v>2</v>
      </c>
      <c r="F90" s="757">
        <v>17030</v>
      </c>
      <c r="G90" s="757" t="s">
        <v>737</v>
      </c>
      <c r="H90" s="892">
        <v>1548</v>
      </c>
      <c r="I90" s="893">
        <v>1858</v>
      </c>
      <c r="J90" s="744" t="s">
        <v>738</v>
      </c>
      <c r="K90" s="745">
        <v>53040</v>
      </c>
      <c r="L90" s="894"/>
      <c r="M90" s="893">
        <v>4822</v>
      </c>
      <c r="N90" s="750"/>
    </row>
    <row r="91" spans="1:14" ht="16" customHeight="1">
      <c r="A91" s="742"/>
      <c r="B91" s="743"/>
      <c r="C91" s="757" t="s">
        <v>739</v>
      </c>
      <c r="D91" s="758">
        <v>23970</v>
      </c>
      <c r="E91" s="757">
        <v>2</v>
      </c>
      <c r="F91" s="757">
        <v>47940</v>
      </c>
      <c r="G91" s="757" t="s">
        <v>834</v>
      </c>
      <c r="H91" s="892">
        <v>4358</v>
      </c>
      <c r="I91" s="893">
        <v>5230</v>
      </c>
      <c r="J91" s="757" t="s">
        <v>740</v>
      </c>
      <c r="K91" s="758">
        <v>124575</v>
      </c>
      <c r="L91" s="894"/>
      <c r="M91" s="893">
        <v>11325</v>
      </c>
      <c r="N91" s="750"/>
    </row>
    <row r="92" spans="1:14" ht="16" customHeight="1">
      <c r="A92" s="742"/>
      <c r="B92" s="743"/>
      <c r="C92" s="757" t="s">
        <v>741</v>
      </c>
      <c r="D92" s="757">
        <v>8515</v>
      </c>
      <c r="E92" s="757">
        <v>4</v>
      </c>
      <c r="F92" s="757">
        <v>34060</v>
      </c>
      <c r="G92" s="757" t="s">
        <v>742</v>
      </c>
      <c r="H92" s="892">
        <v>3096</v>
      </c>
      <c r="I92" s="893">
        <v>3716</v>
      </c>
      <c r="J92" s="759" t="s">
        <v>743</v>
      </c>
      <c r="K92" s="760">
        <v>708611.5</v>
      </c>
      <c r="L92" s="894"/>
      <c r="M92" s="893">
        <v>64419</v>
      </c>
      <c r="N92" s="746"/>
    </row>
    <row r="93" spans="1:14" ht="16" customHeight="1">
      <c r="A93" s="742"/>
      <c r="B93" s="743"/>
      <c r="C93" s="757" t="s">
        <v>744</v>
      </c>
      <c r="D93" s="757">
        <v>8515</v>
      </c>
      <c r="E93" s="757">
        <v>3</v>
      </c>
      <c r="F93" s="757">
        <v>25545</v>
      </c>
      <c r="G93" s="757" t="s">
        <v>835</v>
      </c>
      <c r="H93" s="892">
        <v>2322</v>
      </c>
      <c r="I93" s="893">
        <v>2787</v>
      </c>
      <c r="J93" s="761" t="s">
        <v>745</v>
      </c>
      <c r="K93" s="762">
        <v>451350.8</v>
      </c>
      <c r="L93" s="894"/>
      <c r="M93" s="893">
        <v>41032</v>
      </c>
      <c r="N93" s="750"/>
    </row>
    <row r="94" spans="1:14" ht="16" customHeight="1">
      <c r="A94" s="742">
        <v>3</v>
      </c>
      <c r="B94" s="743" t="s">
        <v>746</v>
      </c>
      <c r="C94" s="743" t="s">
        <v>467</v>
      </c>
      <c r="D94" s="743" t="s">
        <v>467</v>
      </c>
      <c r="E94" s="743" t="s">
        <v>467</v>
      </c>
      <c r="F94" s="743" t="s">
        <v>467</v>
      </c>
      <c r="G94" s="743" t="s">
        <v>467</v>
      </c>
      <c r="H94" s="894"/>
      <c r="I94" s="895"/>
      <c r="J94" s="739" t="s">
        <v>30</v>
      </c>
      <c r="K94" s="739">
        <f>F116+F117+F121+F122</f>
        <v>228512</v>
      </c>
      <c r="L94" s="900"/>
      <c r="M94" s="901"/>
      <c r="N94" s="739"/>
    </row>
    <row r="95" spans="1:14" ht="16" customHeight="1">
      <c r="A95" s="742">
        <v>4</v>
      </c>
      <c r="B95" s="743" t="s">
        <v>747</v>
      </c>
      <c r="C95" s="743" t="s">
        <v>467</v>
      </c>
      <c r="D95" s="743" t="s">
        <v>467</v>
      </c>
      <c r="E95" s="743" t="s">
        <v>467</v>
      </c>
      <c r="F95" s="743" t="s">
        <v>467</v>
      </c>
      <c r="G95" s="743" t="s">
        <v>467</v>
      </c>
      <c r="H95" s="894"/>
      <c r="I95" s="895"/>
      <c r="J95" s="739"/>
      <c r="K95" s="739"/>
      <c r="L95" s="739"/>
      <c r="M95" s="739"/>
      <c r="N95" s="739"/>
    </row>
    <row r="96" spans="1:14" ht="16" customHeight="1">
      <c r="A96" s="742">
        <v>5</v>
      </c>
      <c r="B96" s="743" t="s">
        <v>748</v>
      </c>
      <c r="C96" s="743" t="s">
        <v>467</v>
      </c>
      <c r="D96" s="743" t="s">
        <v>467</v>
      </c>
      <c r="E96" s="743" t="s">
        <v>467</v>
      </c>
      <c r="F96" s="743" t="s">
        <v>467</v>
      </c>
      <c r="G96" s="743" t="s">
        <v>467</v>
      </c>
      <c r="H96" s="894"/>
      <c r="I96" s="895"/>
      <c r="J96" s="739"/>
      <c r="K96" s="739"/>
      <c r="L96" s="739"/>
      <c r="M96" s="739"/>
      <c r="N96" s="739"/>
    </row>
    <row r="97" spans="1:18" ht="16" customHeight="1">
      <c r="A97" s="742">
        <v>6</v>
      </c>
      <c r="B97" s="743" t="s">
        <v>749</v>
      </c>
      <c r="C97" s="747" t="s">
        <v>718</v>
      </c>
      <c r="D97" s="749">
        <v>32480</v>
      </c>
      <c r="E97" s="747">
        <v>1</v>
      </c>
      <c r="F97" s="749">
        <v>32480</v>
      </c>
      <c r="G97" s="747" t="s">
        <v>750</v>
      </c>
      <c r="H97" s="892">
        <v>2953</v>
      </c>
      <c r="I97" s="893">
        <v>3543</v>
      </c>
      <c r="J97" s="739"/>
      <c r="K97" s="739"/>
      <c r="L97" s="739"/>
      <c r="M97" s="739"/>
      <c r="N97" s="739"/>
    </row>
    <row r="98" spans="1:18" ht="16" customHeight="1">
      <c r="A98" s="742"/>
      <c r="B98" s="743"/>
      <c r="C98" s="751" t="s">
        <v>751</v>
      </c>
      <c r="D98" s="752">
        <v>32480</v>
      </c>
      <c r="E98" s="751">
        <v>5</v>
      </c>
      <c r="F98" s="752">
        <v>162400</v>
      </c>
      <c r="G98" s="751" t="s">
        <v>752</v>
      </c>
      <c r="H98" s="892">
        <v>14764</v>
      </c>
      <c r="I98" s="893">
        <v>17716</v>
      </c>
      <c r="J98" s="739"/>
      <c r="K98" s="739"/>
      <c r="L98" s="739"/>
      <c r="M98" s="739"/>
      <c r="N98" s="739"/>
    </row>
    <row r="99" spans="1:18" ht="16" customHeight="1">
      <c r="A99" s="742">
        <v>7</v>
      </c>
      <c r="B99" s="743" t="s">
        <v>753</v>
      </c>
      <c r="C99" s="747" t="s">
        <v>718</v>
      </c>
      <c r="D99" s="749">
        <v>19570</v>
      </c>
      <c r="E99" s="747">
        <v>1</v>
      </c>
      <c r="F99" s="749">
        <v>19570</v>
      </c>
      <c r="G99" s="747" t="s">
        <v>750</v>
      </c>
      <c r="H99" s="892">
        <v>1779</v>
      </c>
      <c r="I99" s="893">
        <v>2135</v>
      </c>
      <c r="J99" s="739"/>
      <c r="K99" s="739"/>
      <c r="L99" s="739"/>
      <c r="M99" s="739"/>
      <c r="N99" s="739"/>
    </row>
    <row r="100" spans="1:18" ht="16" customHeight="1">
      <c r="A100" s="742"/>
      <c r="B100" s="743"/>
      <c r="C100" s="751" t="s">
        <v>754</v>
      </c>
      <c r="D100" s="752">
        <v>19570</v>
      </c>
      <c r="E100" s="751">
        <v>3</v>
      </c>
      <c r="F100" s="752">
        <v>58710</v>
      </c>
      <c r="G100" s="751" t="s">
        <v>755</v>
      </c>
      <c r="H100" s="892">
        <v>5337</v>
      </c>
      <c r="I100" s="893">
        <v>6405</v>
      </c>
      <c r="J100" s="739"/>
      <c r="K100" s="739"/>
      <c r="L100" s="739"/>
      <c r="M100" s="739"/>
      <c r="N100" s="739"/>
    </row>
    <row r="101" spans="1:18" ht="16" customHeight="1">
      <c r="A101" s="742"/>
      <c r="B101" s="743"/>
      <c r="C101" s="751" t="s">
        <v>756</v>
      </c>
      <c r="D101" s="752">
        <v>10374</v>
      </c>
      <c r="E101" s="751">
        <v>6</v>
      </c>
      <c r="F101" s="752">
        <v>62244</v>
      </c>
      <c r="G101" s="751" t="s">
        <v>755</v>
      </c>
      <c r="H101" s="892">
        <v>5659</v>
      </c>
      <c r="I101" s="893">
        <v>6790</v>
      </c>
      <c r="J101" s="739"/>
      <c r="K101" s="739"/>
      <c r="L101" s="739"/>
      <c r="M101" s="739"/>
      <c r="N101" s="739"/>
    </row>
    <row r="102" spans="1:18" ht="16" customHeight="1">
      <c r="A102" s="742">
        <v>7.5</v>
      </c>
      <c r="B102" s="743" t="s">
        <v>757</v>
      </c>
      <c r="C102" s="759" t="s">
        <v>758</v>
      </c>
      <c r="D102" s="760">
        <v>16180.5</v>
      </c>
      <c r="E102" s="759">
        <v>5</v>
      </c>
      <c r="F102" s="760">
        <v>80902.5</v>
      </c>
      <c r="G102" s="759" t="s">
        <v>759</v>
      </c>
      <c r="H102" s="892">
        <v>7355</v>
      </c>
      <c r="I102" s="893">
        <v>8826</v>
      </c>
      <c r="J102" s="763" t="s">
        <v>760</v>
      </c>
      <c r="K102" s="739"/>
      <c r="L102" s="739"/>
      <c r="M102" s="739"/>
      <c r="N102" s="739"/>
      <c r="O102" s="325" t="s">
        <v>1243</v>
      </c>
    </row>
    <row r="103" spans="1:18" ht="16" customHeight="1">
      <c r="A103" s="742"/>
      <c r="B103" s="743"/>
      <c r="C103" s="754" t="s">
        <v>761</v>
      </c>
      <c r="D103" s="754">
        <v>5915</v>
      </c>
      <c r="E103" s="754">
        <v>4</v>
      </c>
      <c r="F103" s="754">
        <v>23660</v>
      </c>
      <c r="G103" s="754" t="s">
        <v>762</v>
      </c>
      <c r="H103" s="892">
        <v>2151</v>
      </c>
      <c r="I103" s="893">
        <v>2581</v>
      </c>
      <c r="J103" s="763" t="s">
        <v>763</v>
      </c>
      <c r="K103" s="763" t="s">
        <v>764</v>
      </c>
      <c r="L103" s="740" t="s">
        <v>221</v>
      </c>
      <c r="M103" s="740" t="s">
        <v>765</v>
      </c>
      <c r="N103" s="739"/>
      <c r="O103" s="763" t="s">
        <v>763</v>
      </c>
      <c r="P103" s="763" t="s">
        <v>764</v>
      </c>
      <c r="Q103" s="740" t="s">
        <v>221</v>
      </c>
      <c r="R103" s="740" t="s">
        <v>765</v>
      </c>
    </row>
    <row r="104" spans="1:18" ht="16" customHeight="1">
      <c r="A104" s="742">
        <v>8</v>
      </c>
      <c r="B104" s="743" t="s">
        <v>836</v>
      </c>
      <c r="C104" s="740" t="s">
        <v>467</v>
      </c>
      <c r="D104" s="740" t="s">
        <v>467</v>
      </c>
      <c r="E104" s="740" t="s">
        <v>467</v>
      </c>
      <c r="F104" s="740" t="s">
        <v>467</v>
      </c>
      <c r="G104" s="740" t="s">
        <v>467</v>
      </c>
      <c r="H104" s="896"/>
      <c r="I104" s="895"/>
      <c r="J104" s="746">
        <v>49530</v>
      </c>
      <c r="K104" s="763">
        <v>40</v>
      </c>
      <c r="L104" s="763">
        <v>300</v>
      </c>
      <c r="M104" s="746">
        <v>37530</v>
      </c>
      <c r="N104" s="739"/>
      <c r="O104" s="851">
        <f>H86*10.765</f>
        <v>243515.065</v>
      </c>
      <c r="P104" s="325">
        <f>565</f>
        <v>565</v>
      </c>
      <c r="Q104" s="325">
        <v>100</v>
      </c>
      <c r="R104" s="853">
        <f>O104-(P104*Q104)</f>
        <v>187015.065</v>
      </c>
    </row>
    <row r="105" spans="1:18" ht="16" customHeight="1">
      <c r="A105" s="742">
        <v>9</v>
      </c>
      <c r="B105" s="743" t="s">
        <v>812</v>
      </c>
      <c r="C105" s="747" t="s">
        <v>718</v>
      </c>
      <c r="D105" s="749">
        <v>27468</v>
      </c>
      <c r="E105" s="747">
        <v>1</v>
      </c>
      <c r="F105" s="749">
        <v>27468</v>
      </c>
      <c r="G105" s="747" t="s">
        <v>837</v>
      </c>
      <c r="H105" s="892">
        <v>2497</v>
      </c>
      <c r="I105" s="893">
        <v>2997</v>
      </c>
      <c r="J105" s="739"/>
      <c r="K105" s="763">
        <v>55</v>
      </c>
      <c r="L105" s="763">
        <v>200</v>
      </c>
      <c r="M105" s="746">
        <v>26530</v>
      </c>
      <c r="N105" s="739"/>
      <c r="P105" s="325">
        <v>650</v>
      </c>
      <c r="Q105" s="325">
        <v>100</v>
      </c>
      <c r="R105" s="853">
        <f>R104-(Q105*P105)</f>
        <v>122015.065</v>
      </c>
    </row>
    <row r="106" spans="1:18" ht="16" customHeight="1">
      <c r="A106" s="742"/>
      <c r="B106" s="743"/>
      <c r="C106" s="754" t="s">
        <v>766</v>
      </c>
      <c r="D106" s="755">
        <v>27468</v>
      </c>
      <c r="E106" s="754">
        <v>1</v>
      </c>
      <c r="F106" s="754">
        <v>27468</v>
      </c>
      <c r="G106" s="754" t="s">
        <v>767</v>
      </c>
      <c r="H106" s="892">
        <v>2497</v>
      </c>
      <c r="I106" s="893">
        <v>2997</v>
      </c>
      <c r="J106" s="739"/>
      <c r="K106" s="763">
        <v>70</v>
      </c>
      <c r="L106" s="740">
        <v>100</v>
      </c>
      <c r="M106" s="746">
        <v>19530</v>
      </c>
      <c r="N106" s="739"/>
      <c r="P106" s="325">
        <v>900</v>
      </c>
      <c r="Q106" s="325">
        <v>55</v>
      </c>
      <c r="R106" s="853">
        <f>R105-(Q106*P106)</f>
        <v>72515.065000000002</v>
      </c>
    </row>
    <row r="107" spans="1:18" ht="16" customHeight="1">
      <c r="A107" s="742"/>
      <c r="B107" s="743"/>
      <c r="C107" s="754" t="s">
        <v>768</v>
      </c>
      <c r="D107" s="755">
        <v>27468</v>
      </c>
      <c r="E107" s="754">
        <v>3</v>
      </c>
      <c r="F107" s="754">
        <v>82404</v>
      </c>
      <c r="G107" s="754" t="s">
        <v>813</v>
      </c>
      <c r="H107" s="892">
        <v>7491</v>
      </c>
      <c r="I107" s="893">
        <v>8990</v>
      </c>
      <c r="J107" s="739"/>
      <c r="K107" s="763">
        <v>100</v>
      </c>
      <c r="L107" s="763">
        <v>55</v>
      </c>
      <c r="M107" s="746">
        <v>14030</v>
      </c>
      <c r="N107" s="739"/>
      <c r="P107" s="325">
        <v>1400</v>
      </c>
      <c r="Q107" s="852">
        <f>R106/P107</f>
        <v>51.796475000000001</v>
      </c>
      <c r="R107" s="853"/>
    </row>
    <row r="108" spans="1:18" ht="16" customHeight="1">
      <c r="A108" s="742"/>
      <c r="B108" s="743"/>
      <c r="C108" s="754" t="s">
        <v>761</v>
      </c>
      <c r="D108" s="754">
        <v>22087</v>
      </c>
      <c r="E108" s="754">
        <v>4</v>
      </c>
      <c r="F108" s="754">
        <v>109872</v>
      </c>
      <c r="G108" s="754" t="s">
        <v>814</v>
      </c>
      <c r="H108" s="892">
        <v>9988</v>
      </c>
      <c r="I108" s="893">
        <v>11986</v>
      </c>
      <c r="J108" s="739"/>
      <c r="K108" s="763">
        <v>140</v>
      </c>
      <c r="L108" s="764">
        <v>100</v>
      </c>
      <c r="M108" s="739"/>
      <c r="N108" s="739"/>
    </row>
    <row r="109" spans="1:18" ht="16" customHeight="1">
      <c r="A109" s="742">
        <v>10</v>
      </c>
      <c r="B109" s="743" t="s">
        <v>812</v>
      </c>
      <c r="C109" s="743" t="s">
        <v>467</v>
      </c>
      <c r="D109" s="743" t="s">
        <v>467</v>
      </c>
      <c r="E109" s="743" t="s">
        <v>467</v>
      </c>
      <c r="F109" s="743" t="s">
        <v>467</v>
      </c>
      <c r="G109" s="743" t="s">
        <v>467</v>
      </c>
      <c r="H109" s="894"/>
      <c r="I109" s="895"/>
      <c r="J109" s="739"/>
      <c r="K109" s="739"/>
      <c r="L109" s="739"/>
      <c r="M109" s="739"/>
      <c r="N109" s="739"/>
    </row>
    <row r="110" spans="1:18" ht="16" customHeight="1">
      <c r="A110" s="742">
        <v>11</v>
      </c>
      <c r="B110" s="743" t="s">
        <v>812</v>
      </c>
      <c r="C110" s="747" t="s">
        <v>718</v>
      </c>
      <c r="D110" s="749">
        <v>20776</v>
      </c>
      <c r="E110" s="747">
        <v>1</v>
      </c>
      <c r="F110" s="749">
        <v>20776</v>
      </c>
      <c r="G110" s="747" t="s">
        <v>837</v>
      </c>
      <c r="H110" s="892">
        <v>1889</v>
      </c>
      <c r="I110" s="893">
        <v>2266</v>
      </c>
      <c r="J110" s="739"/>
      <c r="K110" s="740" t="s">
        <v>1242</v>
      </c>
      <c r="L110" s="739"/>
      <c r="M110" s="739"/>
      <c r="N110" s="739"/>
    </row>
    <row r="111" spans="1:18" ht="16" customHeight="1">
      <c r="A111" s="742"/>
      <c r="B111" s="743"/>
      <c r="C111" s="754" t="s">
        <v>769</v>
      </c>
      <c r="D111" s="754">
        <v>11858</v>
      </c>
      <c r="E111" s="754">
        <v>4</v>
      </c>
      <c r="F111" s="754">
        <v>47432</v>
      </c>
      <c r="G111" s="754" t="s">
        <v>812</v>
      </c>
      <c r="H111" s="892">
        <v>4312</v>
      </c>
      <c r="I111" s="893">
        <v>5174</v>
      </c>
      <c r="J111" s="739"/>
      <c r="K111" s="740" t="s">
        <v>770</v>
      </c>
      <c r="L111" s="763" t="s">
        <v>771</v>
      </c>
      <c r="M111" s="740" t="s">
        <v>772</v>
      </c>
      <c r="N111" s="739"/>
    </row>
    <row r="112" spans="1:18" ht="16" customHeight="1">
      <c r="A112" s="742"/>
      <c r="B112" s="743"/>
      <c r="C112" s="754" t="s">
        <v>761</v>
      </c>
      <c r="D112" s="754">
        <v>6370</v>
      </c>
      <c r="E112" s="754">
        <v>4</v>
      </c>
      <c r="F112" s="754">
        <v>25480</v>
      </c>
      <c r="G112" s="754" t="s">
        <v>812</v>
      </c>
      <c r="H112" s="892">
        <v>2316</v>
      </c>
      <c r="I112" s="893">
        <v>2780</v>
      </c>
      <c r="J112" s="739"/>
      <c r="K112" s="763">
        <v>883</v>
      </c>
      <c r="L112" s="740">
        <v>1017</v>
      </c>
      <c r="M112" s="765">
        <v>1.1517553789999999</v>
      </c>
      <c r="N112" s="765">
        <v>13.821064549999999</v>
      </c>
    </row>
    <row r="113" spans="1:14" ht="16" customHeight="1">
      <c r="A113" s="742">
        <v>12</v>
      </c>
      <c r="B113" s="743" t="s">
        <v>812</v>
      </c>
      <c r="C113" s="743" t="s">
        <v>467</v>
      </c>
      <c r="D113" s="743" t="s">
        <v>467</v>
      </c>
      <c r="E113" s="743" t="s">
        <v>467</v>
      </c>
      <c r="F113" s="743" t="s">
        <v>467</v>
      </c>
      <c r="G113" s="743" t="s">
        <v>467</v>
      </c>
      <c r="H113" s="894"/>
      <c r="I113" s="895"/>
      <c r="J113" s="739"/>
      <c r="K113" s="763">
        <v>538</v>
      </c>
      <c r="L113" s="763">
        <v>2126</v>
      </c>
      <c r="M113" s="765">
        <v>3.9516728620000001</v>
      </c>
      <c r="N113" s="765">
        <v>47.42007435</v>
      </c>
    </row>
    <row r="114" spans="1:14" ht="16" customHeight="1">
      <c r="A114" s="742">
        <v>13</v>
      </c>
      <c r="B114" s="743" t="s">
        <v>773</v>
      </c>
      <c r="C114" s="747" t="s">
        <v>718</v>
      </c>
      <c r="D114" s="749">
        <v>33920</v>
      </c>
      <c r="E114" s="747">
        <v>0.3</v>
      </c>
      <c r="F114" s="749">
        <v>10176</v>
      </c>
      <c r="G114" s="747" t="s">
        <v>837</v>
      </c>
      <c r="H114" s="892">
        <v>925</v>
      </c>
      <c r="I114" s="893">
        <v>1110</v>
      </c>
      <c r="J114" s="739"/>
      <c r="K114" s="763">
        <v>647</v>
      </c>
      <c r="L114" s="740">
        <v>2376</v>
      </c>
      <c r="M114" s="765">
        <v>3.6723338490000001</v>
      </c>
      <c r="N114" s="765">
        <v>44.068006179999998</v>
      </c>
    </row>
    <row r="115" spans="1:14" ht="16" customHeight="1">
      <c r="A115" s="742"/>
      <c r="B115" s="743"/>
      <c r="C115" s="759" t="s">
        <v>736</v>
      </c>
      <c r="D115" s="760">
        <v>33920</v>
      </c>
      <c r="E115" s="759">
        <v>1.7</v>
      </c>
      <c r="F115" s="760">
        <v>57664</v>
      </c>
      <c r="G115" s="759" t="s">
        <v>774</v>
      </c>
      <c r="H115" s="892">
        <v>5242</v>
      </c>
      <c r="I115" s="893">
        <v>6291</v>
      </c>
      <c r="J115" s="739"/>
      <c r="K115" s="740">
        <v>610</v>
      </c>
      <c r="L115" s="740">
        <v>1947</v>
      </c>
      <c r="M115" s="765">
        <v>3.1918032790000002</v>
      </c>
      <c r="N115" s="765">
        <v>38.301639340000001</v>
      </c>
    </row>
    <row r="116" spans="1:14" ht="16" customHeight="1">
      <c r="A116" s="742"/>
      <c r="B116" s="743"/>
      <c r="C116" s="766" t="s">
        <v>739</v>
      </c>
      <c r="D116" s="766">
        <v>19360</v>
      </c>
      <c r="E116" s="766">
        <v>4</v>
      </c>
      <c r="F116" s="767">
        <v>77440</v>
      </c>
      <c r="G116" s="766" t="s">
        <v>773</v>
      </c>
      <c r="H116" s="892">
        <v>7040</v>
      </c>
      <c r="I116" s="893">
        <v>8448</v>
      </c>
      <c r="J116" s="739"/>
      <c r="K116" s="740">
        <v>641</v>
      </c>
      <c r="L116" s="740">
        <v>2193</v>
      </c>
      <c r="M116" s="765">
        <v>3.4212168489999999</v>
      </c>
      <c r="N116" s="765">
        <v>41.054602180000003</v>
      </c>
    </row>
    <row r="117" spans="1:14" ht="16" customHeight="1">
      <c r="A117" s="742"/>
      <c r="B117" s="743"/>
      <c r="C117" s="766" t="s">
        <v>775</v>
      </c>
      <c r="D117" s="768">
        <v>10560</v>
      </c>
      <c r="E117" s="766">
        <v>3</v>
      </c>
      <c r="F117" s="767">
        <v>31680</v>
      </c>
      <c r="G117" s="766" t="s">
        <v>773</v>
      </c>
      <c r="H117" s="892">
        <v>2880</v>
      </c>
      <c r="I117" s="893">
        <v>3456</v>
      </c>
      <c r="J117" s="739"/>
      <c r="K117" s="739"/>
      <c r="L117" s="739"/>
      <c r="M117" s="739"/>
      <c r="N117" s="739"/>
    </row>
    <row r="118" spans="1:14" ht="16" customHeight="1">
      <c r="A118" s="742">
        <v>14</v>
      </c>
      <c r="B118" s="743" t="s">
        <v>776</v>
      </c>
      <c r="C118" s="743" t="s">
        <v>467</v>
      </c>
      <c r="D118" s="743" t="s">
        <v>467</v>
      </c>
      <c r="E118" s="743" t="s">
        <v>467</v>
      </c>
      <c r="F118" s="743" t="s">
        <v>467</v>
      </c>
      <c r="G118" s="743" t="s">
        <v>467</v>
      </c>
      <c r="H118" s="894"/>
      <c r="I118" s="895"/>
      <c r="J118" s="739"/>
      <c r="K118" s="739"/>
      <c r="L118" s="739"/>
      <c r="M118" s="739"/>
      <c r="N118" s="739"/>
    </row>
    <row r="119" spans="1:14" ht="16" customHeight="1">
      <c r="A119" s="742">
        <v>14.1</v>
      </c>
      <c r="B119" s="743" t="s">
        <v>777</v>
      </c>
      <c r="C119" s="747" t="s">
        <v>718</v>
      </c>
      <c r="D119" s="749">
        <v>17576</v>
      </c>
      <c r="E119" s="747">
        <v>1</v>
      </c>
      <c r="F119" s="749">
        <v>17576</v>
      </c>
      <c r="G119" s="747" t="s">
        <v>837</v>
      </c>
      <c r="H119" s="892">
        <v>1598</v>
      </c>
      <c r="I119" s="893">
        <v>1917</v>
      </c>
      <c r="J119" s="739"/>
      <c r="K119" s="739"/>
      <c r="L119" s="739"/>
      <c r="M119" s="739"/>
      <c r="N119" s="739"/>
    </row>
    <row r="120" spans="1:14" ht="16" customHeight="1">
      <c r="A120" s="742"/>
      <c r="B120" s="743"/>
      <c r="C120" s="759" t="s">
        <v>766</v>
      </c>
      <c r="D120" s="760">
        <v>24011</v>
      </c>
      <c r="E120" s="759">
        <v>1</v>
      </c>
      <c r="F120" s="760">
        <v>24011</v>
      </c>
      <c r="G120" s="759" t="s">
        <v>774</v>
      </c>
      <c r="H120" s="892">
        <v>2183</v>
      </c>
      <c r="I120" s="893">
        <v>2619</v>
      </c>
      <c r="J120" s="739"/>
      <c r="K120" s="739"/>
      <c r="L120" s="739"/>
      <c r="M120" s="739"/>
      <c r="N120" s="739"/>
    </row>
    <row r="121" spans="1:14" ht="16" customHeight="1">
      <c r="A121" s="742"/>
      <c r="B121" s="743"/>
      <c r="C121" s="766" t="s">
        <v>739</v>
      </c>
      <c r="D121" s="767">
        <v>8528</v>
      </c>
      <c r="E121" s="766">
        <v>4</v>
      </c>
      <c r="F121" s="767">
        <v>34112</v>
      </c>
      <c r="G121" s="766" t="s">
        <v>773</v>
      </c>
      <c r="H121" s="892">
        <v>3101</v>
      </c>
      <c r="I121" s="893">
        <v>3721</v>
      </c>
      <c r="J121" s="739"/>
      <c r="K121" s="739"/>
      <c r="L121" s="739"/>
      <c r="M121" s="739"/>
      <c r="N121" s="739"/>
    </row>
    <row r="122" spans="1:14" ht="16" customHeight="1">
      <c r="A122" s="742"/>
      <c r="B122" s="743"/>
      <c r="C122" s="766" t="s">
        <v>778</v>
      </c>
      <c r="D122" s="767">
        <v>8528</v>
      </c>
      <c r="E122" s="766">
        <v>10</v>
      </c>
      <c r="F122" s="767">
        <v>85280</v>
      </c>
      <c r="G122" s="766" t="s">
        <v>773</v>
      </c>
      <c r="H122" s="892">
        <v>7753</v>
      </c>
      <c r="I122" s="893">
        <v>9303</v>
      </c>
      <c r="J122" s="739"/>
      <c r="K122" s="739"/>
      <c r="L122" s="739"/>
      <c r="M122" s="739"/>
      <c r="N122" s="739"/>
    </row>
    <row r="123" spans="1:14" ht="16" customHeight="1">
      <c r="A123" s="742">
        <v>15</v>
      </c>
      <c r="B123" s="743" t="s">
        <v>779</v>
      </c>
      <c r="C123" s="759" t="s">
        <v>780</v>
      </c>
      <c r="D123" s="760">
        <v>30676.5</v>
      </c>
      <c r="E123" s="759">
        <v>4</v>
      </c>
      <c r="F123" s="760">
        <v>122706</v>
      </c>
      <c r="G123" s="759" t="s">
        <v>759</v>
      </c>
      <c r="H123" s="892">
        <v>11155</v>
      </c>
      <c r="I123" s="893">
        <v>13386</v>
      </c>
      <c r="J123" s="739"/>
      <c r="K123" s="739"/>
      <c r="L123" s="739"/>
      <c r="M123" s="739"/>
      <c r="N123" s="739"/>
    </row>
    <row r="124" spans="1:14" ht="16" customHeight="1">
      <c r="A124" s="742"/>
      <c r="B124" s="743"/>
      <c r="C124" s="761" t="s">
        <v>781</v>
      </c>
      <c r="D124" s="762">
        <v>23087.7</v>
      </c>
      <c r="E124" s="761">
        <v>4</v>
      </c>
      <c r="F124" s="762">
        <v>92350.8</v>
      </c>
      <c r="G124" s="761" t="s">
        <v>782</v>
      </c>
      <c r="H124" s="892">
        <v>8396</v>
      </c>
      <c r="I124" s="893">
        <v>10075</v>
      </c>
      <c r="J124" s="739"/>
      <c r="K124" s="739"/>
      <c r="L124" s="739"/>
      <c r="M124" s="739"/>
      <c r="N124" s="739"/>
    </row>
    <row r="125" spans="1:14" ht="16" customHeight="1">
      <c r="A125" s="742">
        <v>15.1</v>
      </c>
      <c r="B125" s="743" t="s">
        <v>783</v>
      </c>
      <c r="C125" s="747" t="s">
        <v>736</v>
      </c>
      <c r="D125" s="749">
        <v>12936</v>
      </c>
      <c r="E125" s="747">
        <v>2</v>
      </c>
      <c r="F125" s="749">
        <v>25872</v>
      </c>
      <c r="G125" s="747" t="s">
        <v>784</v>
      </c>
      <c r="H125" s="892">
        <v>2352</v>
      </c>
      <c r="I125" s="893">
        <v>2822</v>
      </c>
      <c r="J125" s="739"/>
      <c r="K125" s="739"/>
      <c r="L125" s="739"/>
      <c r="M125" s="739"/>
      <c r="N125" s="739"/>
    </row>
    <row r="126" spans="1:14" ht="16" customHeight="1">
      <c r="A126" s="742"/>
      <c r="B126" s="743"/>
      <c r="C126" s="761" t="s">
        <v>739</v>
      </c>
      <c r="D126" s="762">
        <v>12936</v>
      </c>
      <c r="E126" s="761">
        <v>5</v>
      </c>
      <c r="F126" s="762">
        <v>64680</v>
      </c>
      <c r="G126" s="761" t="s">
        <v>785</v>
      </c>
      <c r="H126" s="892">
        <v>5880</v>
      </c>
      <c r="I126" s="893">
        <v>7056</v>
      </c>
      <c r="J126" s="739"/>
      <c r="K126" s="739"/>
      <c r="L126" s="739"/>
      <c r="M126" s="739"/>
      <c r="N126" s="739"/>
    </row>
    <row r="127" spans="1:14" ht="16" customHeight="1">
      <c r="A127" s="742"/>
      <c r="B127" s="743"/>
      <c r="C127" s="761" t="s">
        <v>786</v>
      </c>
      <c r="D127" s="762">
        <v>7752</v>
      </c>
      <c r="E127" s="761">
        <v>6</v>
      </c>
      <c r="F127" s="762">
        <v>46512</v>
      </c>
      <c r="G127" s="761" t="s">
        <v>785</v>
      </c>
      <c r="H127" s="892">
        <v>4228</v>
      </c>
      <c r="I127" s="893">
        <v>5074</v>
      </c>
      <c r="J127" s="739"/>
      <c r="K127" s="739"/>
      <c r="L127" s="739"/>
      <c r="M127" s="739"/>
      <c r="N127" s="739"/>
    </row>
    <row r="128" spans="1:14" ht="16" customHeight="1">
      <c r="A128" s="742">
        <v>15.2</v>
      </c>
      <c r="B128" s="743" t="s">
        <v>787</v>
      </c>
      <c r="C128" s="747" t="s">
        <v>736</v>
      </c>
      <c r="D128" s="749">
        <v>17526</v>
      </c>
      <c r="E128" s="747">
        <v>2</v>
      </c>
      <c r="F128" s="749">
        <v>35052</v>
      </c>
      <c r="G128" s="747" t="s">
        <v>788</v>
      </c>
      <c r="H128" s="892">
        <v>3187</v>
      </c>
      <c r="I128" s="893">
        <v>3824</v>
      </c>
      <c r="J128" s="739"/>
      <c r="K128" s="739"/>
      <c r="L128" s="739"/>
      <c r="M128" s="739"/>
      <c r="N128" s="739"/>
    </row>
    <row r="129" spans="1:14" ht="16" customHeight="1">
      <c r="A129" s="742"/>
      <c r="B129" s="743"/>
      <c r="C129" s="761" t="s">
        <v>739</v>
      </c>
      <c r="D129" s="762">
        <v>10862</v>
      </c>
      <c r="E129" s="761">
        <v>4</v>
      </c>
      <c r="F129" s="762">
        <v>43448</v>
      </c>
      <c r="G129" s="761" t="s">
        <v>785</v>
      </c>
      <c r="H129" s="892">
        <v>3950</v>
      </c>
      <c r="I129" s="893">
        <v>4740</v>
      </c>
      <c r="J129" s="739"/>
      <c r="K129" s="739"/>
      <c r="L129" s="739"/>
      <c r="M129" s="739"/>
      <c r="N129" s="739"/>
    </row>
    <row r="130" spans="1:14" ht="16" customHeight="1">
      <c r="A130" s="742">
        <v>16</v>
      </c>
      <c r="B130" s="743" t="s">
        <v>789</v>
      </c>
      <c r="C130" s="747" t="s">
        <v>790</v>
      </c>
      <c r="D130" s="749">
        <v>17980</v>
      </c>
      <c r="E130" s="747">
        <v>3</v>
      </c>
      <c r="F130" s="749">
        <v>53940</v>
      </c>
      <c r="G130" s="747" t="s">
        <v>791</v>
      </c>
      <c r="H130" s="892">
        <v>4904</v>
      </c>
      <c r="I130" s="893">
        <v>5884</v>
      </c>
      <c r="J130" s="739"/>
      <c r="K130" s="739"/>
      <c r="L130" s="739"/>
      <c r="M130" s="739"/>
    </row>
    <row r="131" spans="1:14" ht="16" customHeight="1">
      <c r="A131" s="742"/>
      <c r="B131" s="743"/>
      <c r="C131" s="751" t="s">
        <v>792</v>
      </c>
      <c r="D131" s="752">
        <v>10192</v>
      </c>
      <c r="E131" s="751">
        <v>20</v>
      </c>
      <c r="F131" s="752">
        <v>203840</v>
      </c>
      <c r="G131" s="751" t="s">
        <v>793</v>
      </c>
      <c r="H131" s="892">
        <v>18531</v>
      </c>
      <c r="I131" s="893">
        <v>22237</v>
      </c>
      <c r="J131" s="739"/>
      <c r="K131" s="739"/>
      <c r="L131" s="739"/>
      <c r="M131" s="739"/>
    </row>
    <row r="132" spans="1:14" ht="16" customHeight="1">
      <c r="A132" s="742">
        <v>17</v>
      </c>
      <c r="B132" s="743" t="s">
        <v>794</v>
      </c>
      <c r="C132" s="747" t="s">
        <v>766</v>
      </c>
      <c r="D132" s="749">
        <v>22891</v>
      </c>
      <c r="E132" s="747">
        <v>2</v>
      </c>
      <c r="F132" s="749">
        <v>45782</v>
      </c>
      <c r="G132" s="747" t="s">
        <v>788</v>
      </c>
      <c r="H132" s="892">
        <v>4162</v>
      </c>
      <c r="I132" s="893">
        <v>4994</v>
      </c>
      <c r="J132" s="739"/>
      <c r="K132" s="739"/>
      <c r="L132" s="739"/>
      <c r="M132" s="739"/>
    </row>
    <row r="133" spans="1:14" ht="16" customHeight="1">
      <c r="A133" s="742"/>
      <c r="B133" s="743"/>
      <c r="C133" s="751" t="s">
        <v>795</v>
      </c>
      <c r="D133" s="752">
        <v>10192</v>
      </c>
      <c r="E133" s="751">
        <v>21</v>
      </c>
      <c r="F133" s="752">
        <v>214032</v>
      </c>
      <c r="G133" s="751" t="s">
        <v>793</v>
      </c>
      <c r="H133" s="892">
        <v>19457</v>
      </c>
      <c r="I133" s="893">
        <v>23349</v>
      </c>
      <c r="J133" s="763" t="s">
        <v>804</v>
      </c>
      <c r="K133" s="739"/>
      <c r="L133" s="739"/>
      <c r="M133" s="739"/>
    </row>
    <row r="134" spans="1:14" ht="16" customHeight="1">
      <c r="A134" s="742">
        <v>18</v>
      </c>
      <c r="B134" s="743" t="s">
        <v>796</v>
      </c>
      <c r="C134" s="759" t="s">
        <v>797</v>
      </c>
      <c r="D134" s="760">
        <v>23040</v>
      </c>
      <c r="E134" s="759">
        <v>8</v>
      </c>
      <c r="F134" s="760">
        <v>184320</v>
      </c>
      <c r="G134" s="759" t="s">
        <v>798</v>
      </c>
      <c r="H134" s="892">
        <v>16756</v>
      </c>
      <c r="I134" s="893">
        <v>20108</v>
      </c>
      <c r="J134" s="763" t="s">
        <v>799</v>
      </c>
      <c r="K134" s="763" t="s">
        <v>800</v>
      </c>
      <c r="L134" s="740" t="s">
        <v>221</v>
      </c>
      <c r="M134" s="740" t="s">
        <v>765</v>
      </c>
    </row>
    <row r="135" spans="1:14" ht="16" customHeight="1">
      <c r="A135" s="742"/>
      <c r="B135" s="772"/>
      <c r="C135" s="754" t="s">
        <v>801</v>
      </c>
      <c r="D135" s="755">
        <v>13624</v>
      </c>
      <c r="E135" s="754">
        <v>15</v>
      </c>
      <c r="F135" s="754">
        <v>204360</v>
      </c>
      <c r="G135" s="754" t="s">
        <v>804</v>
      </c>
      <c r="H135" s="892">
        <v>18578</v>
      </c>
      <c r="I135" s="893">
        <v>22294</v>
      </c>
      <c r="J135" s="746">
        <v>397573</v>
      </c>
      <c r="K135" s="763">
        <v>565</v>
      </c>
      <c r="L135" s="763">
        <v>200</v>
      </c>
      <c r="M135" s="746">
        <v>284573</v>
      </c>
    </row>
    <row r="136" spans="1:14" ht="16" customHeight="1">
      <c r="A136" s="742">
        <v>19</v>
      </c>
      <c r="B136" s="743" t="s">
        <v>802</v>
      </c>
      <c r="C136" s="759" t="s">
        <v>797</v>
      </c>
      <c r="D136" s="760">
        <v>29876</v>
      </c>
      <c r="E136" s="759">
        <v>8</v>
      </c>
      <c r="F136" s="760">
        <v>239008</v>
      </c>
      <c r="G136" s="759" t="s">
        <v>798</v>
      </c>
      <c r="H136" s="892">
        <v>21728</v>
      </c>
      <c r="I136" s="893">
        <v>26074</v>
      </c>
      <c r="J136" s="739"/>
      <c r="K136" s="763">
        <v>650</v>
      </c>
      <c r="L136" s="763">
        <v>120</v>
      </c>
      <c r="M136" s="746">
        <v>206573</v>
      </c>
    </row>
    <row r="137" spans="1:14" ht="16" customHeight="1">
      <c r="A137" s="742"/>
      <c r="B137" s="772"/>
      <c r="C137" s="754" t="s">
        <v>801</v>
      </c>
      <c r="D137" s="755">
        <v>13624</v>
      </c>
      <c r="E137" s="754">
        <v>15</v>
      </c>
      <c r="F137" s="754">
        <v>204360</v>
      </c>
      <c r="G137" s="754" t="s">
        <v>804</v>
      </c>
      <c r="H137" s="897">
        <v>18578</v>
      </c>
      <c r="I137" s="898">
        <v>22294</v>
      </c>
      <c r="J137" s="739"/>
      <c r="K137" s="763">
        <v>900</v>
      </c>
      <c r="L137" s="763">
        <v>90</v>
      </c>
      <c r="M137" s="746">
        <v>125573</v>
      </c>
    </row>
    <row r="138" spans="1:14" ht="16" customHeight="1">
      <c r="A138" s="742">
        <v>20</v>
      </c>
      <c r="B138" s="743" t="s">
        <v>803</v>
      </c>
      <c r="C138" s="743"/>
      <c r="D138" s="743" t="s">
        <v>467</v>
      </c>
      <c r="E138" s="743" t="s">
        <v>467</v>
      </c>
      <c r="F138" s="743" t="s">
        <v>467</v>
      </c>
      <c r="G138" s="743" t="s">
        <v>467</v>
      </c>
      <c r="H138" s="739"/>
      <c r="I138" s="739"/>
      <c r="J138" s="739"/>
      <c r="K138" s="763">
        <v>1400</v>
      </c>
      <c r="L138" s="763">
        <v>85</v>
      </c>
      <c r="M138" s="746">
        <v>6573</v>
      </c>
    </row>
    <row r="139" spans="1:14" ht="16" customHeight="1">
      <c r="A139" s="769"/>
      <c r="B139" s="770"/>
      <c r="C139" s="770"/>
      <c r="D139" s="770"/>
      <c r="E139" s="770"/>
      <c r="F139" s="770"/>
      <c r="G139" s="770"/>
      <c r="H139" s="739"/>
      <c r="I139" s="739"/>
      <c r="J139" s="739"/>
      <c r="K139" s="763">
        <v>1800</v>
      </c>
      <c r="L139" s="771">
        <v>3.6520000000000001</v>
      </c>
      <c r="M139" s="739"/>
    </row>
    <row r="140" spans="1:14" ht="16" customHeight="1">
      <c r="A140" s="769"/>
      <c r="B140" s="770"/>
      <c r="C140" s="770"/>
      <c r="D140" s="770"/>
      <c r="E140" s="770"/>
      <c r="F140" s="770"/>
      <c r="G140" s="770"/>
      <c r="H140" s="739"/>
      <c r="I140" s="739"/>
      <c r="J140" s="739"/>
      <c r="K140" s="739"/>
      <c r="L140" s="739"/>
      <c r="M140" s="739"/>
    </row>
    <row r="141" spans="1:14" ht="16" customHeight="1">
      <c r="A141" s="769"/>
      <c r="B141" s="770"/>
      <c r="C141" s="770"/>
      <c r="D141" s="770"/>
      <c r="E141" s="770"/>
      <c r="F141" s="770"/>
      <c r="G141" s="770"/>
      <c r="H141" s="739"/>
      <c r="I141" s="739"/>
      <c r="J141" s="739"/>
      <c r="K141" s="739"/>
      <c r="L141" s="739"/>
      <c r="M141" s="739"/>
    </row>
    <row r="142" spans="1:14" ht="16" customHeight="1">
      <c r="A142" s="769"/>
      <c r="B142" s="770"/>
      <c r="C142" s="770"/>
      <c r="D142" s="770"/>
      <c r="E142" s="770"/>
      <c r="F142" s="770"/>
      <c r="G142" s="770"/>
      <c r="H142" s="739"/>
      <c r="I142" s="739"/>
      <c r="J142" s="739"/>
      <c r="K142" s="739"/>
      <c r="L142" s="739"/>
      <c r="M142" s="739"/>
    </row>
    <row r="143" spans="1:14" ht="16" customHeight="1">
      <c r="A143" s="769"/>
      <c r="B143" s="770"/>
      <c r="C143" s="770"/>
      <c r="D143" s="770"/>
      <c r="E143" s="770"/>
      <c r="F143" s="770"/>
      <c r="G143" s="770"/>
      <c r="H143" s="739"/>
      <c r="I143" s="739"/>
      <c r="J143" s="739"/>
      <c r="K143" s="739"/>
      <c r="L143" s="739"/>
      <c r="M143" s="739"/>
    </row>
    <row r="144" spans="1:14" ht="16" customHeight="1">
      <c r="A144" s="769"/>
      <c r="B144" s="740"/>
      <c r="C144" s="739"/>
      <c r="D144" s="739"/>
      <c r="E144" s="739"/>
      <c r="F144" s="739"/>
      <c r="G144" s="739"/>
      <c r="H144" s="739"/>
      <c r="I144" s="739"/>
      <c r="J144" s="739"/>
      <c r="K144" s="739"/>
      <c r="L144" s="739"/>
      <c r="M144" s="739"/>
    </row>
    <row r="145" spans="1:13" ht="16" customHeight="1">
      <c r="A145" s="739"/>
      <c r="B145" s="740"/>
      <c r="C145" s="739"/>
      <c r="D145" s="739"/>
      <c r="E145" s="739"/>
      <c r="F145" s="739"/>
      <c r="G145" s="739"/>
      <c r="H145" s="739"/>
      <c r="I145" s="739"/>
      <c r="J145" s="739"/>
      <c r="K145" s="739"/>
      <c r="L145" s="739"/>
      <c r="M145" s="739"/>
    </row>
  </sheetData>
  <mergeCells count="6">
    <mergeCell ref="H82:I82"/>
    <mergeCell ref="Z3:AH3"/>
    <mergeCell ref="AP3:AX3"/>
    <mergeCell ref="AK3:AM3"/>
    <mergeCell ref="M3:U3"/>
    <mergeCell ref="V3:W3"/>
  </mergeCells>
  <phoneticPr fontId="79"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1:AK80"/>
  <sheetViews>
    <sheetView showGridLines="0" zoomScale="55" zoomScaleNormal="55" workbookViewId="0">
      <selection activeCell="A22" sqref="A22"/>
    </sheetView>
  </sheetViews>
  <sheetFormatPr defaultColWidth="12.453125" defaultRowHeight="15.25" outlineLevelRow="1"/>
  <cols>
    <col min="1" max="2" width="12.453125" style="18"/>
    <col min="3" max="3" width="23.453125" style="18" customWidth="1"/>
    <col min="4" max="6" width="12.453125" style="18"/>
    <col min="7" max="7" width="22.1796875" style="18" bestFit="1" customWidth="1"/>
    <col min="8" max="8" width="18.6328125" style="18" bestFit="1" customWidth="1"/>
    <col min="9" max="9" width="17.453125" style="18" bestFit="1" customWidth="1"/>
    <col min="10" max="10" width="18.6328125" style="18" bestFit="1" customWidth="1"/>
    <col min="11" max="11" width="14.81640625" style="18" bestFit="1" customWidth="1"/>
    <col min="12" max="16" width="14.453125" style="18" customWidth="1"/>
    <col min="17" max="17" width="19.7265625" style="18" bestFit="1" customWidth="1"/>
    <col min="18" max="18" width="16.1796875" style="18" customWidth="1"/>
    <col min="19" max="19" width="14.453125" style="18" customWidth="1"/>
    <col min="20" max="20" width="16.1796875" style="18" bestFit="1" customWidth="1"/>
    <col min="21" max="21" width="13.453125" style="18" customWidth="1"/>
    <col min="22" max="22" width="5.453125" style="18" customWidth="1"/>
    <col min="23" max="26" width="10.453125" style="18" customWidth="1"/>
    <col min="27" max="27" width="1.453125" style="18" customWidth="1"/>
    <col min="28" max="31" width="10.453125" style="18" customWidth="1"/>
    <col min="32" max="32" width="4.453125" style="18" customWidth="1"/>
    <col min="33" max="33" width="15.81640625" style="18" customWidth="1"/>
    <col min="34" max="36" width="10.453125" style="18" customWidth="1"/>
    <col min="37" max="37" width="10.81640625" style="18" customWidth="1"/>
    <col min="38" max="16384" width="12.453125" style="18"/>
  </cols>
  <sheetData>
    <row r="1" spans="2:20" ht="15.5">
      <c r="B1" s="14"/>
      <c r="H1" s="25"/>
      <c r="I1" s="25"/>
      <c r="J1" s="25"/>
    </row>
    <row r="2" spans="2:20" ht="15.5">
      <c r="B2" s="7" t="s">
        <v>91</v>
      </c>
      <c r="C2" s="8"/>
      <c r="D2" s="16"/>
      <c r="E2" s="16"/>
      <c r="F2" s="8"/>
      <c r="G2" s="45" t="s">
        <v>17</v>
      </c>
      <c r="H2" s="127" t="str">
        <f>+Assumptions!F21</f>
        <v>I</v>
      </c>
      <c r="I2" s="127" t="str">
        <f>+Assumptions!G21</f>
        <v>II</v>
      </c>
      <c r="J2" s="127" t="str">
        <f>+Assumptions!H21</f>
        <v>III</v>
      </c>
    </row>
    <row r="3" spans="2:20" ht="15.5">
      <c r="B3" s="33" t="s">
        <v>1238</v>
      </c>
      <c r="C3" s="9"/>
      <c r="D3" s="17"/>
      <c r="E3" s="9"/>
      <c r="F3" s="105">
        <f>+G3/Budget!$G$10</f>
        <v>56.221702225113958</v>
      </c>
      <c r="G3" s="48">
        <f>+SUM(H3:J3)</f>
        <v>242929501.86687696</v>
      </c>
      <c r="H3" s="34">
        <f>+H14</f>
        <v>62857885.033285916</v>
      </c>
      <c r="I3" s="34">
        <f>+I14</f>
        <v>100152177.31526883</v>
      </c>
      <c r="J3" s="34">
        <f>+J14</f>
        <v>79919439.518322229</v>
      </c>
      <c r="K3" s="34"/>
    </row>
    <row r="4" spans="2:20" ht="15.5">
      <c r="B4" s="12" t="s">
        <v>95</v>
      </c>
      <c r="C4" s="12"/>
      <c r="D4" s="12"/>
      <c r="E4" s="12"/>
      <c r="F4" s="106">
        <f>+G4/Budget!$G$10</f>
        <v>56.221702225113958</v>
      </c>
      <c r="G4" s="13">
        <f>+SUM(G3:G3)</f>
        <v>242929501.86687696</v>
      </c>
      <c r="H4" s="13">
        <f>+SUM(H3:H3)</f>
        <v>62857885.033285916</v>
      </c>
      <c r="I4" s="13">
        <f>+SUM(I3:I3)</f>
        <v>100152177.31526883</v>
      </c>
      <c r="J4" s="13">
        <f>+SUM(J3:J3)</f>
        <v>79919439.518322229</v>
      </c>
      <c r="N4" s="41"/>
    </row>
    <row r="5" spans="2:20">
      <c r="B5" s="9"/>
      <c r="C5" s="9"/>
      <c r="D5" s="9"/>
      <c r="E5" s="9"/>
      <c r="F5" s="9"/>
      <c r="G5" s="9"/>
      <c r="H5" s="9"/>
      <c r="I5" s="9"/>
      <c r="J5" s="9"/>
    </row>
    <row r="6" spans="2:20" ht="15.5">
      <c r="B6" s="15" t="s">
        <v>92</v>
      </c>
      <c r="C6" s="16"/>
      <c r="D6" s="16"/>
      <c r="E6" s="32"/>
      <c r="F6" s="32" t="s">
        <v>55</v>
      </c>
      <c r="G6" s="15" t="s">
        <v>17</v>
      </c>
      <c r="H6" s="23" t="str">
        <f>+H$2</f>
        <v>I</v>
      </c>
      <c r="I6" s="46" t="str">
        <f t="shared" ref="I6:J6" si="0">+I$2</f>
        <v>II</v>
      </c>
      <c r="J6" s="46" t="str">
        <f t="shared" si="0"/>
        <v>III</v>
      </c>
    </row>
    <row r="7" spans="2:20" ht="15.5">
      <c r="B7" s="9" t="s">
        <v>60</v>
      </c>
      <c r="C7" s="9"/>
      <c r="D7" s="17"/>
      <c r="E7" s="9"/>
      <c r="F7" s="105">
        <f>+G7/Budget!$G$10</f>
        <v>37.730054004658236</v>
      </c>
      <c r="G7" s="27">
        <f t="shared" ref="G7:G13" si="1">+SUM(H7:J7)</f>
        <v>163028561.24956849</v>
      </c>
      <c r="H7" s="11">
        <f>+Budget!H24</f>
        <v>23250525.361561798</v>
      </c>
      <c r="I7" s="11">
        <f>+Budget!I24</f>
        <v>81611947</v>
      </c>
      <c r="J7" s="11">
        <f>+Budget!J24</f>
        <v>58166088.88800668</v>
      </c>
    </row>
    <row r="8" spans="2:20" ht="15.5">
      <c r="B8" s="9" t="s">
        <v>8</v>
      </c>
      <c r="C8" s="9"/>
      <c r="D8" s="17"/>
      <c r="E8" s="9"/>
      <c r="F8" s="105">
        <f>+G8/Budget!$G$10</f>
        <v>10.882722936821764</v>
      </c>
      <c r="G8" s="27">
        <f t="shared" si="1"/>
        <v>47023379.893617027</v>
      </c>
      <c r="H8" s="11">
        <f>+Budget!H31</f>
        <v>25343149.042553194</v>
      </c>
      <c r="I8" s="11">
        <f>+Budget!I31</f>
        <v>13924805.425531914</v>
      </c>
      <c r="J8" s="11">
        <f>+Budget!J31</f>
        <v>7755425.4255319145</v>
      </c>
    </row>
    <row r="9" spans="2:20" ht="15.5">
      <c r="B9" s="9" t="s">
        <v>344</v>
      </c>
      <c r="C9" s="9"/>
      <c r="D9" s="17"/>
      <c r="E9" s="9"/>
      <c r="F9" s="105">
        <f>+G9/Budget!$G$10</f>
        <v>3.7029147497069606E-2</v>
      </c>
      <c r="G9" s="27">
        <f t="shared" si="1"/>
        <v>160000</v>
      </c>
      <c r="H9" s="11">
        <f>+Budget!H34</f>
        <v>80000</v>
      </c>
      <c r="I9" s="11">
        <f>+Budget!I34</f>
        <v>40000</v>
      </c>
      <c r="J9" s="11">
        <f>+Budget!J34</f>
        <v>40000</v>
      </c>
    </row>
    <row r="10" spans="2:20" ht="15.5">
      <c r="B10" s="9" t="s">
        <v>57</v>
      </c>
      <c r="C10" s="9"/>
      <c r="D10" s="17"/>
      <c r="E10" s="9"/>
      <c r="F10" s="105">
        <f>+G10/Budget!$G$10</f>
        <v>7.405963241812989</v>
      </c>
      <c r="G10" s="27">
        <f t="shared" si="1"/>
        <v>32000577.890264757</v>
      </c>
      <c r="H10" s="34">
        <f>+SUMPRODUCT(Budget!$E$49:$E$63,Budget!H$49:H$63)</f>
        <v>13861260.518399568</v>
      </c>
      <c r="I10" s="34">
        <f>+SUMPRODUCT(Budget!$E$49:$E$63,Budget!I$49:I$63)</f>
        <v>4473480.1146556279</v>
      </c>
      <c r="J10" s="34">
        <f>+SUMPRODUCT(Budget!$E$49:$E$63,Budget!J$49:J$63)</f>
        <v>13665837.257209564</v>
      </c>
      <c r="K10" s="34"/>
    </row>
    <row r="11" spans="2:20" ht="15.5">
      <c r="B11" s="9" t="s">
        <v>79</v>
      </c>
      <c r="C11" s="9"/>
      <c r="D11" s="17"/>
      <c r="E11" s="9"/>
      <c r="F11" s="105">
        <f>+G11/Budget!$G$10</f>
        <v>0</v>
      </c>
      <c r="G11" s="27">
        <f t="shared" si="1"/>
        <v>0</v>
      </c>
      <c r="H11" s="11">
        <v>0</v>
      </c>
      <c r="I11" s="11">
        <v>0</v>
      </c>
      <c r="J11" s="11">
        <v>0</v>
      </c>
    </row>
    <row r="12" spans="2:20" ht="15.5">
      <c r="B12" s="9" t="s">
        <v>82</v>
      </c>
      <c r="C12" s="9"/>
      <c r="D12" s="17"/>
      <c r="E12" s="9"/>
      <c r="F12" s="105">
        <f>+G12/Budget!$G$10</f>
        <v>0</v>
      </c>
      <c r="G12" s="27">
        <f t="shared" si="1"/>
        <v>0</v>
      </c>
      <c r="H12" s="11">
        <v>0</v>
      </c>
      <c r="I12" s="11">
        <v>0</v>
      </c>
      <c r="J12" s="11">
        <v>0</v>
      </c>
    </row>
    <row r="13" spans="2:20" ht="15.5">
      <c r="B13" s="9" t="s">
        <v>59</v>
      </c>
      <c r="C13" s="9"/>
      <c r="D13" s="22"/>
      <c r="E13" s="9"/>
      <c r="F13" s="105">
        <f>+G13/Budget!$G$10</f>
        <v>0.16593289432390565</v>
      </c>
      <c r="G13" s="27">
        <f t="shared" si="1"/>
        <v>716982.83342672</v>
      </c>
      <c r="H13" s="11">
        <f>+Budget!$E$79*Budget!H79</f>
        <v>322950.11077135976</v>
      </c>
      <c r="I13" s="11">
        <f>+Budget!$E$79*Budget!I79</f>
        <v>101944.77508129374</v>
      </c>
      <c r="J13" s="11">
        <f>+Budget!$E$79*Budget!J79</f>
        <v>292087.94757406652</v>
      </c>
    </row>
    <row r="14" spans="2:20" ht="15.5">
      <c r="B14" s="12" t="s">
        <v>96</v>
      </c>
      <c r="C14" s="12"/>
      <c r="D14" s="12"/>
      <c r="E14" s="12"/>
      <c r="F14" s="106">
        <f>+G14/Budget!$G$10</f>
        <v>56.221702225113965</v>
      </c>
      <c r="G14" s="13">
        <f t="shared" ref="G14:J14" si="2">+SUM(G7:G13)</f>
        <v>242929501.86687699</v>
      </c>
      <c r="H14" s="13">
        <f t="shared" si="2"/>
        <v>62857885.033285916</v>
      </c>
      <c r="I14" s="13">
        <f t="shared" si="2"/>
        <v>100152177.31526883</v>
      </c>
      <c r="J14" s="13">
        <f t="shared" si="2"/>
        <v>79919439.518322229</v>
      </c>
    </row>
    <row r="15" spans="2:20">
      <c r="B15" s="9"/>
      <c r="C15" s="9"/>
      <c r="D15" s="9"/>
      <c r="E15" s="9"/>
      <c r="F15" s="9"/>
      <c r="G15" s="9"/>
      <c r="H15" s="9"/>
      <c r="I15" s="9"/>
      <c r="J15" s="9"/>
    </row>
    <row r="16" spans="2:20" ht="15.5">
      <c r="B16" s="7" t="s">
        <v>93</v>
      </c>
      <c r="C16" s="8"/>
      <c r="D16" s="16"/>
      <c r="E16" s="16"/>
      <c r="F16" s="8"/>
      <c r="G16" s="7" t="s">
        <v>17</v>
      </c>
      <c r="H16" s="46" t="str">
        <f t="shared" ref="H16:J16" si="3">+H$2</f>
        <v>I</v>
      </c>
      <c r="I16" s="46" t="str">
        <f t="shared" si="3"/>
        <v>II</v>
      </c>
      <c r="J16" s="46" t="str">
        <f t="shared" si="3"/>
        <v>III</v>
      </c>
      <c r="L16" s="7" t="s">
        <v>101</v>
      </c>
      <c r="M16" s="8"/>
      <c r="N16" s="16"/>
      <c r="O16" s="16"/>
      <c r="P16" s="8"/>
      <c r="Q16" s="45" t="s">
        <v>17</v>
      </c>
      <c r="R16" s="46" t="str">
        <f>+H$2</f>
        <v>I</v>
      </c>
      <c r="S16" s="46" t="str">
        <f>+I$2</f>
        <v>II</v>
      </c>
      <c r="T16" s="46" t="str">
        <f>+J$2</f>
        <v>III</v>
      </c>
    </row>
    <row r="17" spans="2:20" ht="15.5">
      <c r="B17" s="9" t="s">
        <v>312</v>
      </c>
      <c r="C17" s="9"/>
      <c r="D17" s="17"/>
      <c r="E17" s="9"/>
      <c r="F17" s="105">
        <f ca="1">+G17/Budget!$G$10</f>
        <v>130.95976270261824</v>
      </c>
      <c r="G17" s="29">
        <f ca="1">+SUM(H17:J17)</f>
        <v>565866714.43292427</v>
      </c>
      <c r="H17" s="39">
        <f ca="1">+MIN(Assumptions!N143*Budget!H82,'Loan Sizing'!F64)</f>
        <v>235709391.27993742</v>
      </c>
      <c r="I17" s="39">
        <f ca="1">+MIN(Assumptions!O143*Budget!I82,'Loan Sizing'!G64)</f>
        <v>94690612.485990435</v>
      </c>
      <c r="J17" s="39">
        <f ca="1">+MIN(Assumptions!P143*Budget!J82,'Loan Sizing'!H64)</f>
        <v>235466710.66699639</v>
      </c>
      <c r="K17" s="39"/>
      <c r="L17" s="9" t="s">
        <v>100</v>
      </c>
      <c r="M17" s="33"/>
      <c r="N17" s="40"/>
      <c r="O17" s="33"/>
      <c r="P17" s="105">
        <f ca="1">+Q17/Budget!$G$10</f>
        <v>166.0069007012381</v>
      </c>
      <c r="Q17" s="48">
        <f t="shared" ref="Q17:Q25" ca="1" si="4">+SUM(R17:T17)</f>
        <v>717302609.09463477</v>
      </c>
      <c r="R17" s="34">
        <f ca="1">+'Loan Sizing'!F28</f>
        <v>318032343.41816425</v>
      </c>
      <c r="S17" s="34">
        <f ca="1">+'Loan Sizing'!G28</f>
        <v>66234502.341733627</v>
      </c>
      <c r="T17" s="34">
        <f ca="1">+'Loan Sizing'!H28</f>
        <v>333035763.33473682</v>
      </c>
    </row>
    <row r="18" spans="2:20" ht="15.5">
      <c r="B18" s="9" t="s">
        <v>97</v>
      </c>
      <c r="C18" s="9"/>
      <c r="D18" s="17"/>
      <c r="E18" s="9"/>
      <c r="F18" s="105">
        <f ca="1">+G18/Budget!$G$10</f>
        <v>35.108765252104419</v>
      </c>
      <c r="G18" s="48">
        <f t="shared" ref="G18:G22" ca="1" si="5">+SUM(H18:J18)</f>
        <v>151702181.12046069</v>
      </c>
      <c r="H18" s="118">
        <f ca="1">+INDEX('Taxes and TIF'!$B$47:$AT$47,1,MATCH('S&amp;U'!H$16,'Taxes and TIF'!$B$48:$AT$48,0))-33826380</f>
        <v>51774802.650901601</v>
      </c>
      <c r="I18" s="118">
        <f ca="1">+INDEX('Taxes and TIF'!$B$47:$AT$47,1,MATCH('S&amp;U'!I$16,'Taxes and TIF'!$B$48:$AT$48,0))</f>
        <v>16009703.256704569</v>
      </c>
      <c r="J18" s="118">
        <f ca="1">+INDEX('Taxes and TIF'!$B$47:$AT$47,1,MATCH('S&amp;U'!J$16,'Taxes and TIF'!$B$48:$AT$48,0))</f>
        <v>83917675.21285449</v>
      </c>
      <c r="L18" s="33"/>
      <c r="M18" s="33"/>
      <c r="N18" s="40"/>
      <c r="O18" s="33"/>
      <c r="P18" s="105"/>
      <c r="Q18" s="48"/>
      <c r="R18" s="34"/>
      <c r="S18" s="34"/>
      <c r="T18" s="34"/>
    </row>
    <row r="19" spans="2:20" ht="15.5" outlineLevel="1">
      <c r="B19" s="9" t="s">
        <v>840</v>
      </c>
      <c r="C19" s="9"/>
      <c r="D19" s="17"/>
      <c r="E19" s="9"/>
      <c r="F19" s="105">
        <f>+G19/Budget!$G$10</f>
        <v>0</v>
      </c>
      <c r="G19" s="48">
        <f t="shared" si="5"/>
        <v>0</v>
      </c>
      <c r="H19" s="118">
        <f>+Assumptions!N173</f>
        <v>0</v>
      </c>
      <c r="I19" s="118">
        <f>+Assumptions!O173</f>
        <v>0</v>
      </c>
      <c r="J19" s="118">
        <f>+Assumptions!P173</f>
        <v>0</v>
      </c>
      <c r="L19" s="33" t="s">
        <v>246</v>
      </c>
      <c r="M19" s="33"/>
      <c r="N19" s="40"/>
      <c r="O19" s="33"/>
      <c r="P19" s="105">
        <f ca="1">+Q19/Budget!$G$10</f>
        <v>6.5856593398927341</v>
      </c>
      <c r="Q19" s="48">
        <f t="shared" ca="1" si="4"/>
        <v>28456110</v>
      </c>
      <c r="R19" s="34">
        <f ca="1">+'Loan Sizing'!F60</f>
        <v>0</v>
      </c>
      <c r="S19" s="34">
        <f>+'Loan Sizing'!G60</f>
        <v>28456110</v>
      </c>
      <c r="T19" s="34">
        <f ca="1">+'Loan Sizing'!H60</f>
        <v>0</v>
      </c>
    </row>
    <row r="20" spans="2:20" ht="15.5">
      <c r="B20" s="9" t="s">
        <v>1240</v>
      </c>
      <c r="C20" s="9"/>
      <c r="D20" s="17"/>
      <c r="E20" s="9"/>
      <c r="F20" s="105">
        <f>+G20/Budget!$G$10</f>
        <v>22.278239443354142</v>
      </c>
      <c r="G20" s="48">
        <f t="shared" si="5"/>
        <v>96262500</v>
      </c>
      <c r="H20" s="34">
        <f>+Assumptions!N176*Assumptions!N177</f>
        <v>32087500</v>
      </c>
      <c r="I20" s="34">
        <f>+Assumptions!O176*Assumptions!O177</f>
        <v>32087500</v>
      </c>
      <c r="J20" s="34">
        <f>+Assumptions!P176*Assumptions!P177</f>
        <v>32087500</v>
      </c>
      <c r="L20" s="9" t="s">
        <v>97</v>
      </c>
      <c r="M20" s="33"/>
      <c r="N20" s="40"/>
      <c r="O20" s="33"/>
      <c r="P20" s="105">
        <f ca="1">+Q20/Budget!$G$10</f>
        <v>35.108765252104419</v>
      </c>
      <c r="Q20" s="48">
        <f t="shared" ca="1" si="4"/>
        <v>151702181.12046069</v>
      </c>
      <c r="R20" s="34">
        <f t="shared" ref="R20:T24" ca="1" si="6">+H18</f>
        <v>51774802.650901601</v>
      </c>
      <c r="S20" s="34">
        <f t="shared" ca="1" si="6"/>
        <v>16009703.256704569</v>
      </c>
      <c r="T20" s="34">
        <f t="shared" ca="1" si="6"/>
        <v>83917675.21285449</v>
      </c>
    </row>
    <row r="21" spans="2:20" ht="15.5">
      <c r="B21" s="33" t="s">
        <v>1239</v>
      </c>
      <c r="C21" s="9"/>
      <c r="D21" s="17"/>
      <c r="E21" s="9"/>
      <c r="F21" s="105">
        <f>+G21/Budget!$G$10</f>
        <v>0.22432083874286438</v>
      </c>
      <c r="G21" s="48">
        <f t="shared" si="5"/>
        <v>969272.49544966302</v>
      </c>
      <c r="H21" s="34">
        <f>+Assumptions!N185*Assumptions!N186+Assumptions!N189*Assumptions!N190</f>
        <v>266062.01999999996</v>
      </c>
      <c r="I21" s="34">
        <f>+Assumptions!O185*Assumptions!O186+Assumptions!O189*Assumptions!O190</f>
        <v>415216.38844709995</v>
      </c>
      <c r="J21" s="34">
        <f>+Assumptions!P185*Assumptions!P186+Assumptions!P189*Assumptions!P190</f>
        <v>287994.08700256317</v>
      </c>
      <c r="L21" s="33" t="s">
        <v>840</v>
      </c>
      <c r="M21" s="33"/>
      <c r="N21" s="40"/>
      <c r="O21" s="33"/>
      <c r="P21" s="105">
        <f>+Q21/Budget!$G$10</f>
        <v>0</v>
      </c>
      <c r="Q21" s="48">
        <f t="shared" si="4"/>
        <v>0</v>
      </c>
      <c r="R21" s="34">
        <f t="shared" si="6"/>
        <v>0</v>
      </c>
      <c r="S21" s="34">
        <f t="shared" si="6"/>
        <v>0</v>
      </c>
      <c r="T21" s="34">
        <f t="shared" si="6"/>
        <v>0</v>
      </c>
    </row>
    <row r="22" spans="2:20" s="41" customFormat="1" ht="15.5">
      <c r="B22" s="52" t="s">
        <v>842</v>
      </c>
      <c r="C22" s="33"/>
      <c r="D22" s="40"/>
      <c r="E22" s="33"/>
      <c r="F22" s="105">
        <f>+G22/Budget!$G$10</f>
        <v>2.1303190739884874</v>
      </c>
      <c r="G22" s="48">
        <f t="shared" si="5"/>
        <v>9204939.2134974767</v>
      </c>
      <c r="H22" s="34">
        <f>+Assumptions!N181*Assumptions!N182</f>
        <v>9204939.2134974767</v>
      </c>
      <c r="I22" s="34">
        <f>+Assumptions!O181*Assumptions!O182</f>
        <v>0</v>
      </c>
      <c r="J22" s="34">
        <f>+Assumptions!P181*Assumptions!P182</f>
        <v>0</v>
      </c>
      <c r="L22" s="33" t="str">
        <f>B20</f>
        <v>Affordable Housing Tax Abatement</v>
      </c>
      <c r="M22" s="33"/>
      <c r="N22" s="40"/>
      <c r="O22" s="33"/>
      <c r="P22" s="105">
        <f>+Q22/Budget!$G$10</f>
        <v>22.278239443354142</v>
      </c>
      <c r="Q22" s="48">
        <f t="shared" si="4"/>
        <v>96262500</v>
      </c>
      <c r="R22" s="34">
        <f t="shared" si="6"/>
        <v>32087500</v>
      </c>
      <c r="S22" s="34">
        <f t="shared" si="6"/>
        <v>32087500</v>
      </c>
      <c r="T22" s="34">
        <f t="shared" si="6"/>
        <v>32087500</v>
      </c>
    </row>
    <row r="23" spans="2:20" ht="15.5">
      <c r="B23" s="9" t="s">
        <v>604</v>
      </c>
      <c r="C23" s="9"/>
      <c r="D23" s="17"/>
      <c r="E23" s="9"/>
      <c r="F23" s="105">
        <f ca="1">+G23/Budget!$G$10</f>
        <v>53.140399938806084</v>
      </c>
      <c r="G23" s="48">
        <f ca="1">+SUM(H23:J23)</f>
        <v>229615439.86077011</v>
      </c>
      <c r="H23" s="34">
        <f ca="1">+H36-SUM(H17:H22)</f>
        <v>87488989.368558347</v>
      </c>
      <c r="I23" s="34">
        <f ca="1">+I36-SUM(I17:I22)</f>
        <v>64517857.38131699</v>
      </c>
      <c r="J23" s="34">
        <f ca="1">+J36-SUM(J17:J22)</f>
        <v>77608593.110894859</v>
      </c>
      <c r="L23" s="33" t="str">
        <f t="shared" ref="L23:L25" si="7">B21</f>
        <v>Federal and State Tax Credit Equity</v>
      </c>
      <c r="M23" s="33"/>
      <c r="N23" s="40"/>
      <c r="O23" s="33"/>
      <c r="P23" s="105">
        <f>+Q23/Budget!$G$10</f>
        <v>0.22432083874286438</v>
      </c>
      <c r="Q23" s="48">
        <f t="shared" si="4"/>
        <v>969272.49544966302</v>
      </c>
      <c r="R23" s="34">
        <f t="shared" si="6"/>
        <v>266062.01999999996</v>
      </c>
      <c r="S23" s="34">
        <f t="shared" si="6"/>
        <v>415216.38844709995</v>
      </c>
      <c r="T23" s="34">
        <f t="shared" si="6"/>
        <v>287994.08700256317</v>
      </c>
    </row>
    <row r="24" spans="2:20" ht="15.5">
      <c r="L24" s="33" t="str">
        <f t="shared" si="7"/>
        <v>Affordable Housing Loan</v>
      </c>
      <c r="M24" s="33"/>
      <c r="N24" s="40"/>
      <c r="O24" s="33"/>
      <c r="P24" s="105">
        <f>+Q24/Budget!$G$10</f>
        <v>2.1303190739884874</v>
      </c>
      <c r="Q24" s="48">
        <f t="shared" ref="Q24" si="8">+SUM(R24:T24)</f>
        <v>9204939.2134974767</v>
      </c>
      <c r="R24" s="34">
        <f t="shared" si="6"/>
        <v>9204939.2134974767</v>
      </c>
      <c r="S24" s="34">
        <f t="shared" si="6"/>
        <v>0</v>
      </c>
      <c r="T24" s="34">
        <f t="shared" si="6"/>
        <v>0</v>
      </c>
    </row>
    <row r="25" spans="2:20" ht="15.5">
      <c r="B25" s="9"/>
      <c r="C25" s="9"/>
      <c r="D25" s="9"/>
      <c r="E25" s="9"/>
      <c r="F25" s="9"/>
      <c r="G25" s="9"/>
      <c r="H25" s="9"/>
      <c r="I25" s="9"/>
      <c r="J25" s="9"/>
      <c r="L25" s="33" t="str">
        <f t="shared" si="7"/>
        <v>Fund Equity</v>
      </c>
      <c r="M25" s="33"/>
      <c r="N25" s="44"/>
      <c r="O25" s="33"/>
      <c r="P25" s="105">
        <f ca="1">+Q25/Budget!$G$10</f>
        <v>11.507602600293504</v>
      </c>
      <c r="Q25" s="48">
        <f t="shared" ca="1" si="4"/>
        <v>49723435.199059546</v>
      </c>
      <c r="R25" s="34">
        <f ca="1">+R36-SUM(R17:R24)</f>
        <v>5166037.2303314805</v>
      </c>
      <c r="S25" s="34">
        <f ca="1">+S36-SUM(S17:S24)</f>
        <v>64517857.52557379</v>
      </c>
      <c r="T25" s="34">
        <f ca="1">+T36-SUM(T17:T24)</f>
        <v>-19960459.556845605</v>
      </c>
    </row>
    <row r="26" spans="2:20" ht="15.5">
      <c r="B26" s="12" t="s">
        <v>95</v>
      </c>
      <c r="C26" s="12"/>
      <c r="D26" s="12"/>
      <c r="E26" s="12"/>
      <c r="F26" s="106">
        <f ca="1">+G26/Budget!$G$10</f>
        <v>243.84180724961425</v>
      </c>
      <c r="G26" s="13">
        <f ca="1">+SUM(G17:G23)</f>
        <v>1053621047.1231023</v>
      </c>
      <c r="H26" s="13">
        <f ca="1">+SUM(H17:H23)</f>
        <v>416531684.53289479</v>
      </c>
      <c r="I26" s="13">
        <f ca="1">+SUM(I17:I23)</f>
        <v>207720889.5124591</v>
      </c>
      <c r="J26" s="13">
        <f ca="1">+SUM(J17:J23)</f>
        <v>429368473.0777483</v>
      </c>
      <c r="L26" s="12" t="s">
        <v>95</v>
      </c>
      <c r="M26" s="35"/>
      <c r="N26" s="35"/>
      <c r="O26" s="35"/>
      <c r="P26" s="106">
        <f ca="1">+Q26/Budget!$G$10</f>
        <v>243.84180724961425</v>
      </c>
      <c r="Q26" s="36">
        <f ca="1">+SUM(Q17:Q25)</f>
        <v>1053621047.1231022</v>
      </c>
      <c r="R26" s="36">
        <f ca="1">+SUM(R17:R25)</f>
        <v>416531684.53289479</v>
      </c>
      <c r="S26" s="36">
        <f ca="1">+SUM(S17:S25)</f>
        <v>207720889.5124591</v>
      </c>
      <c r="T26" s="36">
        <f ca="1">+SUM(T17:T25)</f>
        <v>429368473.0777483</v>
      </c>
    </row>
    <row r="28" spans="2:20" ht="15.5">
      <c r="B28" s="15" t="s">
        <v>94</v>
      </c>
      <c r="C28" s="16"/>
      <c r="D28" s="16"/>
      <c r="E28" s="16"/>
      <c r="F28" s="16"/>
      <c r="G28" s="15" t="s">
        <v>17</v>
      </c>
      <c r="H28" s="46" t="str">
        <f>+H$2</f>
        <v>I</v>
      </c>
      <c r="I28" s="46" t="str">
        <f>+I$2</f>
        <v>II</v>
      </c>
      <c r="J28" s="46" t="str">
        <f>+J$2</f>
        <v>III</v>
      </c>
      <c r="L28" s="15" t="s">
        <v>102</v>
      </c>
      <c r="M28" s="16"/>
      <c r="N28" s="16"/>
      <c r="O28" s="16"/>
      <c r="P28" s="16"/>
      <c r="Q28" s="46" t="s">
        <v>17</v>
      </c>
      <c r="R28" s="46" t="str">
        <f>+H$2</f>
        <v>I</v>
      </c>
      <c r="S28" s="46" t="str">
        <f>+I$2</f>
        <v>II</v>
      </c>
      <c r="T28" s="46" t="str">
        <f>+J$2</f>
        <v>III</v>
      </c>
    </row>
    <row r="29" spans="2:20" ht="15.5">
      <c r="B29" s="9" t="s">
        <v>60</v>
      </c>
      <c r="C29" s="9"/>
      <c r="D29" s="17"/>
      <c r="E29" s="9"/>
      <c r="F29" s="105">
        <f>+G29/Budget!$G$10</f>
        <v>37.730054004658236</v>
      </c>
      <c r="G29" s="48">
        <f t="shared" ref="G29:G35" si="9">+SUM(H29:J29)</f>
        <v>163028561.24956849</v>
      </c>
      <c r="H29" s="11">
        <f>+Budget!H24</f>
        <v>23250525.361561798</v>
      </c>
      <c r="I29" s="34">
        <f>+Budget!I24</f>
        <v>81611947</v>
      </c>
      <c r="J29" s="34">
        <f>+Budget!J24</f>
        <v>58166088.88800668</v>
      </c>
      <c r="L29" s="9" t="s">
        <v>60</v>
      </c>
      <c r="M29" s="9"/>
      <c r="N29" s="17"/>
      <c r="O29" s="9"/>
      <c r="P29" s="105">
        <f>+Q29/Budget!$G$10</f>
        <v>37.730054004658236</v>
      </c>
      <c r="Q29" s="48">
        <f t="shared" ref="Q29:Q35" si="10">+SUM(R29:T29)</f>
        <v>163028561.24956849</v>
      </c>
      <c r="R29" s="11">
        <f t="shared" ref="R29:T35" si="11">+H29</f>
        <v>23250525.361561798</v>
      </c>
      <c r="S29" s="11">
        <f t="shared" si="11"/>
        <v>81611947</v>
      </c>
      <c r="T29" s="11">
        <f t="shared" si="11"/>
        <v>58166088.88800668</v>
      </c>
    </row>
    <row r="30" spans="2:20" ht="15.5">
      <c r="B30" s="9" t="s">
        <v>8</v>
      </c>
      <c r="C30" s="9"/>
      <c r="D30" s="17"/>
      <c r="E30" s="9"/>
      <c r="F30" s="105">
        <f>+G30/Budget!$G$10</f>
        <v>10.882722936821764</v>
      </c>
      <c r="G30" s="48">
        <f t="shared" si="9"/>
        <v>47023379.893617027</v>
      </c>
      <c r="H30" s="11">
        <f>+Budget!H31</f>
        <v>25343149.042553194</v>
      </c>
      <c r="I30" s="34">
        <f>+Budget!I31</f>
        <v>13924805.425531914</v>
      </c>
      <c r="J30" s="34">
        <f>+Budget!J31</f>
        <v>7755425.4255319145</v>
      </c>
      <c r="L30" s="9" t="s">
        <v>8</v>
      </c>
      <c r="M30" s="9"/>
      <c r="N30" s="17"/>
      <c r="O30" s="9"/>
      <c r="P30" s="105">
        <f>+Q30/Budget!$G$10</f>
        <v>10.882722936821764</v>
      </c>
      <c r="Q30" s="48">
        <f t="shared" si="10"/>
        <v>47023379.893617027</v>
      </c>
      <c r="R30" s="11">
        <f t="shared" si="11"/>
        <v>25343149.042553194</v>
      </c>
      <c r="S30" s="11">
        <f t="shared" si="11"/>
        <v>13924805.425531914</v>
      </c>
      <c r="T30" s="11">
        <f t="shared" si="11"/>
        <v>7755425.4255319145</v>
      </c>
    </row>
    <row r="31" spans="2:20" ht="15.5">
      <c r="B31" s="9" t="s">
        <v>56</v>
      </c>
      <c r="C31" s="9"/>
      <c r="D31" s="17"/>
      <c r="E31" s="9"/>
      <c r="F31" s="105">
        <f>+G31/Budget!$G$10</f>
        <v>157.44786551666948</v>
      </c>
      <c r="G31" s="48">
        <f t="shared" si="9"/>
        <v>680319699.08733976</v>
      </c>
      <c r="H31" s="11">
        <f>+Budget!H45</f>
        <v>306778604.85938877</v>
      </c>
      <c r="I31" s="34">
        <f>+Budget!I45</f>
        <v>86638131.338622525</v>
      </c>
      <c r="J31" s="34">
        <f>+Budget!J45</f>
        <v>286902962.88932848</v>
      </c>
      <c r="L31" s="9" t="s">
        <v>56</v>
      </c>
      <c r="M31" s="9"/>
      <c r="N31" s="17"/>
      <c r="O31" s="9"/>
      <c r="P31" s="105">
        <f>+Q31/Budget!$G$10</f>
        <v>157.44786551666948</v>
      </c>
      <c r="Q31" s="48">
        <f t="shared" si="10"/>
        <v>680319699.08733976</v>
      </c>
      <c r="R31" s="11">
        <f t="shared" si="11"/>
        <v>306778604.85938877</v>
      </c>
      <c r="S31" s="11">
        <f t="shared" si="11"/>
        <v>86638131.338622525</v>
      </c>
      <c r="T31" s="11">
        <f t="shared" si="11"/>
        <v>286902962.88932848</v>
      </c>
    </row>
    <row r="32" spans="2:20" ht="15.5">
      <c r="B32" s="9" t="s">
        <v>57</v>
      </c>
      <c r="C32" s="9"/>
      <c r="D32" s="17"/>
      <c r="E32" s="9"/>
      <c r="F32" s="105">
        <f>+G32/Budget!$G$10</f>
        <v>15.576429784912811</v>
      </c>
      <c r="G32" s="48">
        <f t="shared" si="9"/>
        <v>67304513.715398893</v>
      </c>
      <c r="H32" s="11">
        <f>+Budget!H64</f>
        <v>25818999.375817623</v>
      </c>
      <c r="I32" s="34">
        <f>+Budget!I64</f>
        <v>12453546.08706864</v>
      </c>
      <c r="J32" s="34">
        <f>+Budget!J64</f>
        <v>29031968.252512634</v>
      </c>
      <c r="L32" s="9" t="s">
        <v>57</v>
      </c>
      <c r="M32" s="9"/>
      <c r="N32" s="17"/>
      <c r="O32" s="9"/>
      <c r="P32" s="105">
        <f>+Q32/Budget!$G$10</f>
        <v>15.576429784912811</v>
      </c>
      <c r="Q32" s="48">
        <f t="shared" si="10"/>
        <v>67304513.715398893</v>
      </c>
      <c r="R32" s="11">
        <f t="shared" si="11"/>
        <v>25818999.375817623</v>
      </c>
      <c r="S32" s="11">
        <f t="shared" si="11"/>
        <v>12453546.08706864</v>
      </c>
      <c r="T32" s="11">
        <f t="shared" si="11"/>
        <v>29031968.252512634</v>
      </c>
    </row>
    <row r="33" spans="2:37" ht="15.5">
      <c r="B33" s="9" t="s">
        <v>79</v>
      </c>
      <c r="C33" s="9"/>
      <c r="D33" s="17"/>
      <c r="E33" s="9"/>
      <c r="F33" s="105">
        <f ca="1">+G33/Budget!$G$10</f>
        <v>16.210774185375044</v>
      </c>
      <c r="G33" s="48">
        <f ca="1">+SUM(H33:J33)</f>
        <v>70045465.396287292</v>
      </c>
      <c r="H33" s="11">
        <f ca="1">+Budget!H71</f>
        <v>23682699.066332366</v>
      </c>
      <c r="I33" s="34">
        <f ca="1">+Budget!I71</f>
        <v>9438811.0305340122</v>
      </c>
      <c r="J33" s="34">
        <f ca="1">+Budget!J71</f>
        <v>36923955.299420923</v>
      </c>
      <c r="L33" s="9" t="s">
        <v>79</v>
      </c>
      <c r="M33" s="9"/>
      <c r="N33" s="17"/>
      <c r="O33" s="9"/>
      <c r="P33" s="105">
        <f ca="1">+Q33/Budget!$G$10</f>
        <v>16.210774185375044</v>
      </c>
      <c r="Q33" s="48">
        <f t="shared" ca="1" si="10"/>
        <v>70045465.396287292</v>
      </c>
      <c r="R33" s="11">
        <f t="shared" ca="1" si="11"/>
        <v>23682699.066332366</v>
      </c>
      <c r="S33" s="11">
        <f t="shared" ca="1" si="11"/>
        <v>9438811.0305340122</v>
      </c>
      <c r="T33" s="11">
        <f t="shared" ca="1" si="11"/>
        <v>36923955.299420923</v>
      </c>
    </row>
    <row r="34" spans="2:37" ht="15.5">
      <c r="B34" s="9" t="s">
        <v>82</v>
      </c>
      <c r="C34" s="9"/>
      <c r="D34" s="17"/>
      <c r="E34" s="9"/>
      <c r="F34" s="105">
        <f>+G34/Budget!$G$10</f>
        <v>0.4628643437133701</v>
      </c>
      <c r="G34" s="48">
        <f t="shared" si="9"/>
        <v>2000000</v>
      </c>
      <c r="H34" s="11">
        <f>+Budget!H76</f>
        <v>892703.13486241782</v>
      </c>
      <c r="I34" s="34">
        <f>+Budget!I76</f>
        <v>255489.46132555051</v>
      </c>
      <c r="J34" s="34">
        <f>+Budget!J76</f>
        <v>851807.40381203161</v>
      </c>
      <c r="L34" s="9" t="s">
        <v>82</v>
      </c>
      <c r="M34" s="9"/>
      <c r="N34" s="17"/>
      <c r="O34" s="9"/>
      <c r="P34" s="105">
        <f>+Q34/Budget!$G$10</f>
        <v>0.4628643437133701</v>
      </c>
      <c r="Q34" s="48">
        <f t="shared" si="10"/>
        <v>2000000</v>
      </c>
      <c r="R34" s="11">
        <f t="shared" si="11"/>
        <v>892703.13486241782</v>
      </c>
      <c r="S34" s="11">
        <f t="shared" si="11"/>
        <v>255489.46132555051</v>
      </c>
      <c r="T34" s="11">
        <f t="shared" si="11"/>
        <v>851807.40381203161</v>
      </c>
    </row>
    <row r="35" spans="2:37" ht="15.5">
      <c r="B35" s="9" t="s">
        <v>59</v>
      </c>
      <c r="C35" s="9"/>
      <c r="D35" s="22"/>
      <c r="E35" s="9"/>
      <c r="F35" s="105">
        <f>+G35/Budget!$G$10</f>
        <v>5.5310964774635218</v>
      </c>
      <c r="G35" s="48">
        <f t="shared" si="9"/>
        <v>23899427.78089067</v>
      </c>
      <c r="H35" s="11">
        <f>+Budget!H80</f>
        <v>10765003.692378659</v>
      </c>
      <c r="I35" s="34">
        <f>+Budget!I80</f>
        <v>3398159.1693764585</v>
      </c>
      <c r="J35" s="34">
        <f>+Budget!J80</f>
        <v>9736264.9191355519</v>
      </c>
      <c r="L35" s="9" t="s">
        <v>59</v>
      </c>
      <c r="M35" s="9"/>
      <c r="N35" s="22"/>
      <c r="O35" s="9"/>
      <c r="P35" s="105">
        <f>+Q35/Budget!$G$10</f>
        <v>5.5310964774635218</v>
      </c>
      <c r="Q35" s="48">
        <f t="shared" si="10"/>
        <v>23899427.78089067</v>
      </c>
      <c r="R35" s="11">
        <f t="shared" si="11"/>
        <v>10765003.692378659</v>
      </c>
      <c r="S35" s="11">
        <f t="shared" si="11"/>
        <v>3398159.1693764585</v>
      </c>
      <c r="T35" s="11">
        <f t="shared" si="11"/>
        <v>9736264.9191355519</v>
      </c>
    </row>
    <row r="36" spans="2:37" ht="15.5">
      <c r="B36" s="12" t="s">
        <v>96</v>
      </c>
      <c r="C36" s="12"/>
      <c r="D36" s="12"/>
      <c r="E36" s="12"/>
      <c r="F36" s="106">
        <f ca="1">+G36/Budget!$G$10</f>
        <v>243.84180724961422</v>
      </c>
      <c r="G36" s="13">
        <f t="shared" ref="G36:I36" ca="1" si="12">+SUM(G29:G35)</f>
        <v>1053621047.1231022</v>
      </c>
      <c r="H36" s="13">
        <f t="shared" ca="1" si="12"/>
        <v>416531684.53289479</v>
      </c>
      <c r="I36" s="13">
        <f t="shared" ca="1" si="12"/>
        <v>207720889.5124591</v>
      </c>
      <c r="J36" s="36">
        <f t="shared" ref="J36" ca="1" si="13">+SUM(J29:J35)</f>
        <v>429368473.0777483</v>
      </c>
      <c r="L36" s="12" t="s">
        <v>96</v>
      </c>
      <c r="M36" s="12"/>
      <c r="N36" s="12"/>
      <c r="O36" s="12"/>
      <c r="P36" s="106">
        <f ca="1">+Q36/Budget!$G$10</f>
        <v>243.84180724961422</v>
      </c>
      <c r="Q36" s="36">
        <f t="shared" ref="Q36" ca="1" si="14">+SUM(Q29:Q35)</f>
        <v>1053621047.1231022</v>
      </c>
      <c r="R36" s="13">
        <f t="shared" ref="R36:T36" ca="1" si="15">+SUM(R29:R35)</f>
        <v>416531684.53289479</v>
      </c>
      <c r="S36" s="13">
        <f ca="1">+SUM(S29:S35)</f>
        <v>207720889.5124591</v>
      </c>
      <c r="T36" s="13">
        <f t="shared" ca="1" si="15"/>
        <v>429368473.0777483</v>
      </c>
    </row>
    <row r="38" spans="2:37" ht="15.5">
      <c r="B38" s="187" t="s">
        <v>346</v>
      </c>
      <c r="C38" s="188"/>
      <c r="D38" s="188"/>
      <c r="E38" s="188"/>
      <c r="F38" s="188"/>
      <c r="G38" s="187" t="s">
        <v>17</v>
      </c>
      <c r="H38" s="189" t="str">
        <f>+H$2</f>
        <v>I</v>
      </c>
      <c r="I38" s="189" t="str">
        <f>+I$2</f>
        <v>II</v>
      </c>
      <c r="J38" s="189" t="str">
        <f>+J$2</f>
        <v>III</v>
      </c>
      <c r="K38" s="34"/>
    </row>
    <row r="39" spans="2:37" s="41" customFormat="1" ht="15.5">
      <c r="B39" s="14" t="s">
        <v>60</v>
      </c>
      <c r="C39" s="14"/>
      <c r="D39" s="181"/>
      <c r="E39" s="14"/>
      <c r="F39" s="105">
        <f>+G39/Budget!$G$10</f>
        <v>0</v>
      </c>
      <c r="G39" s="182">
        <f t="shared" ref="G39:G45" si="16">+SUM(H39:J39)</f>
        <v>0</v>
      </c>
      <c r="H39" s="183">
        <f t="shared" ref="H39:J45" si="17">+H29-H7</f>
        <v>0</v>
      </c>
      <c r="I39" s="183">
        <f t="shared" si="17"/>
        <v>0</v>
      </c>
      <c r="J39" s="183">
        <f t="shared" si="17"/>
        <v>0</v>
      </c>
      <c r="K39" s="34"/>
    </row>
    <row r="40" spans="2:37" s="41" customFormat="1" ht="15.5">
      <c r="B40" s="14" t="s">
        <v>8</v>
      </c>
      <c r="C40" s="14"/>
      <c r="D40" s="181"/>
      <c r="E40" s="14"/>
      <c r="F40" s="105">
        <f>+G40/Budget!$G$10</f>
        <v>0</v>
      </c>
      <c r="G40" s="182">
        <f t="shared" si="16"/>
        <v>0</v>
      </c>
      <c r="H40" s="183">
        <f t="shared" si="17"/>
        <v>0</v>
      </c>
      <c r="I40" s="183">
        <f t="shared" si="17"/>
        <v>0</v>
      </c>
      <c r="J40" s="183">
        <f t="shared" si="17"/>
        <v>0</v>
      </c>
      <c r="K40" s="34"/>
    </row>
    <row r="41" spans="2:37" ht="15.5">
      <c r="B41" s="14" t="s">
        <v>56</v>
      </c>
      <c r="C41" s="14"/>
      <c r="D41" s="181"/>
      <c r="E41" s="14"/>
      <c r="F41" s="105">
        <f>+G41/Budget!$G$10</f>
        <v>157.41083636917239</v>
      </c>
      <c r="G41" s="182">
        <f t="shared" si="16"/>
        <v>680159699.08733976</v>
      </c>
      <c r="H41" s="183">
        <f t="shared" si="17"/>
        <v>306698604.85938877</v>
      </c>
      <c r="I41" s="183">
        <f t="shared" si="17"/>
        <v>86598131.338622525</v>
      </c>
      <c r="J41" s="183">
        <f t="shared" si="17"/>
        <v>286862962.88932848</v>
      </c>
    </row>
    <row r="42" spans="2:37" ht="15.5" hidden="1" outlineLevel="1">
      <c r="B42" s="14" t="s">
        <v>57</v>
      </c>
      <c r="C42" s="14"/>
      <c r="D42" s="181"/>
      <c r="E42" s="14"/>
      <c r="F42" s="105">
        <f>+G42/Budget!$G$10</f>
        <v>8.1704665430998222</v>
      </c>
      <c r="G42" s="182">
        <f t="shared" si="16"/>
        <v>35303935.825134136</v>
      </c>
      <c r="H42" s="183">
        <f t="shared" si="17"/>
        <v>11957738.857418055</v>
      </c>
      <c r="I42" s="183">
        <f t="shared" si="17"/>
        <v>7980065.9724130118</v>
      </c>
      <c r="J42" s="183">
        <f t="shared" si="17"/>
        <v>15366130.99530307</v>
      </c>
    </row>
    <row r="43" spans="2:37" ht="15.5" collapsed="1">
      <c r="B43" s="14" t="s">
        <v>79</v>
      </c>
      <c r="C43" s="14"/>
      <c r="D43" s="181"/>
      <c r="E43" s="14"/>
      <c r="F43" s="105">
        <f ca="1">+G43/Budget!$G$10</f>
        <v>16.210774185375044</v>
      </c>
      <c r="G43" s="182">
        <f t="shared" ca="1" si="16"/>
        <v>70045465.396287292</v>
      </c>
      <c r="H43" s="183">
        <f ca="1">+H33-H11</f>
        <v>23682699.066332366</v>
      </c>
      <c r="I43" s="183">
        <f t="shared" ca="1" si="17"/>
        <v>9438811.0305340122</v>
      </c>
      <c r="J43" s="183">
        <f t="shared" ca="1" si="17"/>
        <v>36923955.299420923</v>
      </c>
    </row>
    <row r="44" spans="2:37" ht="15.5">
      <c r="B44" s="14" t="s">
        <v>82</v>
      </c>
      <c r="C44" s="14"/>
      <c r="D44" s="181"/>
      <c r="E44" s="14"/>
      <c r="F44" s="105">
        <f>+G44/Budget!$G$10</f>
        <v>0.4628643437133701</v>
      </c>
      <c r="G44" s="182">
        <f t="shared" si="16"/>
        <v>2000000</v>
      </c>
      <c r="H44" s="183">
        <f t="shared" si="17"/>
        <v>892703.13486241782</v>
      </c>
      <c r="I44" s="183">
        <f t="shared" si="17"/>
        <v>255489.46132555051</v>
      </c>
      <c r="J44" s="183">
        <f t="shared" si="17"/>
        <v>851807.40381203161</v>
      </c>
    </row>
    <row r="45" spans="2:37" s="41" customFormat="1" ht="15.5">
      <c r="B45" s="14" t="s">
        <v>59</v>
      </c>
      <c r="C45" s="14"/>
      <c r="D45" s="184"/>
      <c r="E45" s="14"/>
      <c r="F45" s="105">
        <f>+G45/Budget!$G$10</f>
        <v>5.3651635831396174</v>
      </c>
      <c r="G45" s="182">
        <f t="shared" si="16"/>
        <v>23182444.947463952</v>
      </c>
      <c r="H45" s="183">
        <f t="shared" si="17"/>
        <v>10442053.581607299</v>
      </c>
      <c r="I45" s="183">
        <f t="shared" si="17"/>
        <v>3296214.3942951648</v>
      </c>
      <c r="J45" s="183">
        <f t="shared" si="17"/>
        <v>9444176.9715614859</v>
      </c>
    </row>
    <row r="46" spans="2:37" ht="15.5">
      <c r="B46" s="185" t="s">
        <v>96</v>
      </c>
      <c r="C46" s="185"/>
      <c r="D46" s="185"/>
      <c r="E46" s="185"/>
      <c r="F46" s="106">
        <f ca="1">+G46/Budget!$G$10</f>
        <v>187.62010502450028</v>
      </c>
      <c r="G46" s="186">
        <f t="shared" ref="G46:I46" ca="1" si="18">+SUM(G39:G45)</f>
        <v>810691545.25622523</v>
      </c>
      <c r="H46" s="186">
        <f t="shared" ca="1" si="18"/>
        <v>353673799.49960887</v>
      </c>
      <c r="I46" s="186">
        <f t="shared" ca="1" si="18"/>
        <v>107568712.19719028</v>
      </c>
      <c r="J46" s="186">
        <f t="shared" ref="J46" ca="1" si="19">+SUM(J39:J45)</f>
        <v>349449033.55942601</v>
      </c>
      <c r="U46" s="119"/>
    </row>
    <row r="48" spans="2:37" ht="24" customHeight="1">
      <c r="B48" s="9"/>
      <c r="C48" s="9"/>
      <c r="D48" s="9"/>
      <c r="E48" s="9"/>
      <c r="F48" s="9"/>
      <c r="G48" s="9"/>
      <c r="H48" s="9"/>
      <c r="I48" s="9"/>
      <c r="J48" s="9"/>
      <c r="U48" s="695"/>
      <c r="V48" s="695"/>
      <c r="W48" s="695"/>
      <c r="X48" s="957" t="s">
        <v>602</v>
      </c>
      <c r="Y48" s="957"/>
      <c r="Z48" s="957"/>
      <c r="AA48" s="695"/>
      <c r="AB48" s="695"/>
      <c r="AC48" s="957" t="s">
        <v>605</v>
      </c>
      <c r="AD48" s="957"/>
      <c r="AE48" s="957"/>
      <c r="AF48" s="695"/>
      <c r="AG48" s="695"/>
      <c r="AH48" s="695"/>
      <c r="AI48" s="695"/>
      <c r="AJ48" s="695"/>
      <c r="AK48" s="695"/>
    </row>
    <row r="49" spans="2:37" s="207" customFormat="1" ht="4" customHeight="1">
      <c r="B49" s="546"/>
      <c r="C49" s="546"/>
      <c r="D49" s="546"/>
      <c r="E49" s="546"/>
      <c r="F49" s="546"/>
      <c r="G49" s="546"/>
      <c r="H49" s="546"/>
      <c r="I49" s="546"/>
      <c r="J49" s="546"/>
      <c r="U49" s="696"/>
      <c r="V49" s="696"/>
      <c r="W49" s="696"/>
      <c r="X49" s="697"/>
      <c r="Y49" s="697"/>
      <c r="Z49" s="697"/>
      <c r="AA49" s="696"/>
      <c r="AB49" s="696"/>
      <c r="AC49" s="697"/>
      <c r="AD49" s="697"/>
      <c r="AE49" s="697"/>
      <c r="AF49" s="696"/>
      <c r="AG49" s="696"/>
      <c r="AH49" s="696"/>
      <c r="AI49" s="696"/>
      <c r="AJ49" s="696"/>
      <c r="AK49" s="696"/>
    </row>
    <row r="50" spans="2:37" ht="24" customHeight="1">
      <c r="U50" s="706" t="s">
        <v>601</v>
      </c>
      <c r="V50" s="707"/>
      <c r="W50" s="708" t="s">
        <v>17</v>
      </c>
      <c r="X50" s="709" t="s">
        <v>21</v>
      </c>
      <c r="Y50" s="709" t="s">
        <v>357</v>
      </c>
      <c r="Z50" s="709" t="s">
        <v>360</v>
      </c>
      <c r="AA50" s="695"/>
      <c r="AB50" s="708" t="s">
        <v>17</v>
      </c>
      <c r="AC50" s="709" t="str">
        <f>+X50</f>
        <v>Phase I</v>
      </c>
      <c r="AD50" s="709" t="str">
        <f>+Y50</f>
        <v>Phase II</v>
      </c>
      <c r="AE50" s="709" t="str">
        <f>+Z50</f>
        <v>Phase III</v>
      </c>
      <c r="AF50" s="695"/>
      <c r="AG50" s="710" t="s">
        <v>600</v>
      </c>
      <c r="AH50" s="710" t="s">
        <v>17</v>
      </c>
      <c r="AI50" s="709" t="str">
        <f>+X50</f>
        <v>Phase I</v>
      </c>
      <c r="AJ50" s="709" t="str">
        <f>+Y50</f>
        <v>Phase II</v>
      </c>
      <c r="AK50" s="709" t="str">
        <f>+Z50</f>
        <v>Phase III</v>
      </c>
    </row>
    <row r="51" spans="2:37" ht="24" customHeight="1">
      <c r="U51" s="698" t="s">
        <v>603</v>
      </c>
      <c r="V51" s="698"/>
      <c r="W51" s="699">
        <f ca="1">+SUM(X51:Z51)</f>
        <v>565.86671443292425</v>
      </c>
      <c r="X51" s="700">
        <f ca="1">+H17/1000000</f>
        <v>235.70939127993742</v>
      </c>
      <c r="Y51" s="700">
        <f ca="1">+I17/1000000</f>
        <v>94.690612485990428</v>
      </c>
      <c r="Z51" s="700">
        <f ca="1">+J17/1000000</f>
        <v>235.46671066699639</v>
      </c>
      <c r="AA51" s="701"/>
      <c r="AB51" s="699">
        <f t="shared" ref="AB51" ca="1" si="20">+SUM(AC51:AE51)</f>
        <v>717.30260909463482</v>
      </c>
      <c r="AC51" s="700">
        <f t="shared" ref="AC51:AE51" ca="1" si="21">+R17/1000000</f>
        <v>318.03234341816426</v>
      </c>
      <c r="AD51" s="700">
        <f t="shared" ca="1" si="21"/>
        <v>66.234502341733631</v>
      </c>
      <c r="AE51" s="700">
        <f t="shared" ca="1" si="21"/>
        <v>333.03576333473683</v>
      </c>
      <c r="AF51" s="695"/>
      <c r="AG51" s="698" t="s">
        <v>63</v>
      </c>
      <c r="AH51" s="699">
        <f t="shared" ref="AH51:AK57" si="22">+G29/1000000</f>
        <v>163.0285612495685</v>
      </c>
      <c r="AI51" s="700">
        <f t="shared" si="22"/>
        <v>23.250525361561799</v>
      </c>
      <c r="AJ51" s="700">
        <f t="shared" si="22"/>
        <v>81.611947000000001</v>
      </c>
      <c r="AK51" s="700">
        <f t="shared" si="22"/>
        <v>58.166088888006676</v>
      </c>
    </row>
    <row r="52" spans="2:37" s="41" customFormat="1" ht="24" customHeight="1">
      <c r="U52" s="702" t="s">
        <v>606</v>
      </c>
      <c r="V52" s="702"/>
      <c r="W52" s="703">
        <f t="shared" ref="W52:W53" si="23">+SUM(X52:Z52)</f>
        <v>0</v>
      </c>
      <c r="X52" s="704">
        <v>0</v>
      </c>
      <c r="Y52" s="704">
        <v>0</v>
      </c>
      <c r="Z52" s="704">
        <v>0</v>
      </c>
      <c r="AA52" s="701"/>
      <c r="AB52" s="703">
        <f t="shared" ref="AB52:AB58" si="24">+SUM(AC52:AE52)</f>
        <v>0</v>
      </c>
      <c r="AC52" s="705">
        <f t="shared" ref="AC52:AE54" si="25">+R18/1000000</f>
        <v>0</v>
      </c>
      <c r="AD52" s="705">
        <f t="shared" si="25"/>
        <v>0</v>
      </c>
      <c r="AE52" s="705">
        <f t="shared" si="25"/>
        <v>0</v>
      </c>
      <c r="AF52" s="695"/>
      <c r="AG52" s="702" t="s">
        <v>608</v>
      </c>
      <c r="AH52" s="703">
        <f t="shared" si="22"/>
        <v>47.023379893617026</v>
      </c>
      <c r="AI52" s="705">
        <f t="shared" si="22"/>
        <v>25.343149042553193</v>
      </c>
      <c r="AJ52" s="705">
        <f t="shared" si="22"/>
        <v>13.924805425531915</v>
      </c>
      <c r="AK52" s="705">
        <f t="shared" si="22"/>
        <v>7.7554254255319144</v>
      </c>
    </row>
    <row r="53" spans="2:37" s="41" customFormat="1" ht="24" customHeight="1">
      <c r="U53" s="698" t="s">
        <v>607</v>
      </c>
      <c r="V53" s="698"/>
      <c r="W53" s="699">
        <f t="shared" si="23"/>
        <v>0</v>
      </c>
      <c r="X53" s="700">
        <v>0</v>
      </c>
      <c r="Y53" s="700">
        <v>0</v>
      </c>
      <c r="Z53" s="700">
        <v>0</v>
      </c>
      <c r="AA53" s="701"/>
      <c r="AB53" s="699">
        <f t="shared" ca="1" si="24"/>
        <v>28.456109999999999</v>
      </c>
      <c r="AC53" s="700">
        <f t="shared" ca="1" si="25"/>
        <v>0</v>
      </c>
      <c r="AD53" s="700">
        <f t="shared" si="25"/>
        <v>28.456109999999999</v>
      </c>
      <c r="AE53" s="700">
        <f t="shared" ca="1" si="25"/>
        <v>0</v>
      </c>
      <c r="AF53" s="695"/>
      <c r="AG53" s="698" t="s">
        <v>56</v>
      </c>
      <c r="AH53" s="699">
        <f t="shared" si="22"/>
        <v>680.31969908733981</v>
      </c>
      <c r="AI53" s="700">
        <f t="shared" si="22"/>
        <v>306.77860485938879</v>
      </c>
      <c r="AJ53" s="700">
        <f t="shared" si="22"/>
        <v>86.638131338622529</v>
      </c>
      <c r="AK53" s="700">
        <f t="shared" si="22"/>
        <v>286.90296288932848</v>
      </c>
    </row>
    <row r="54" spans="2:37" ht="24" customHeight="1">
      <c r="U54" s="702" t="s">
        <v>97</v>
      </c>
      <c r="V54" s="702"/>
      <c r="W54" s="703">
        <f t="shared" ref="W54:W58" ca="1" si="26">+SUM(X54:Z54)</f>
        <v>151.70218112046069</v>
      </c>
      <c r="X54" s="704">
        <f ca="1">+H18/1000000</f>
        <v>51.774802650901599</v>
      </c>
      <c r="Y54" s="704">
        <f ca="1">+I18/1000000</f>
        <v>16.009703256704569</v>
      </c>
      <c r="Z54" s="704">
        <f ca="1">+J18/1000000</f>
        <v>83.91767521285449</v>
      </c>
      <c r="AA54" s="695"/>
      <c r="AB54" s="703">
        <f t="shared" ca="1" si="24"/>
        <v>151.70218112046069</v>
      </c>
      <c r="AC54" s="705">
        <f t="shared" ca="1" si="25"/>
        <v>51.774802650901599</v>
      </c>
      <c r="AD54" s="705">
        <f t="shared" ca="1" si="25"/>
        <v>16.009703256704569</v>
      </c>
      <c r="AE54" s="705">
        <f t="shared" ca="1" si="25"/>
        <v>83.91767521285449</v>
      </c>
      <c r="AF54" s="695"/>
      <c r="AG54" s="702" t="s">
        <v>57</v>
      </c>
      <c r="AH54" s="703">
        <f t="shared" si="22"/>
        <v>67.304513715398897</v>
      </c>
      <c r="AI54" s="705">
        <f t="shared" si="22"/>
        <v>25.818999375817622</v>
      </c>
      <c r="AJ54" s="705">
        <f t="shared" si="22"/>
        <v>12.45354608706864</v>
      </c>
      <c r="AK54" s="705">
        <f t="shared" si="22"/>
        <v>29.031968252512634</v>
      </c>
    </row>
    <row r="55" spans="2:37" ht="24" customHeight="1">
      <c r="U55" s="698" t="s">
        <v>98</v>
      </c>
      <c r="V55" s="698"/>
      <c r="W55" s="699">
        <f t="shared" si="26"/>
        <v>96.262499999999989</v>
      </c>
      <c r="X55" s="700">
        <f t="shared" ref="X55:Z58" si="27">+H20/1000000</f>
        <v>32.087499999999999</v>
      </c>
      <c r="Y55" s="700">
        <f t="shared" si="27"/>
        <v>32.087499999999999</v>
      </c>
      <c r="Z55" s="700">
        <f t="shared" si="27"/>
        <v>32.087499999999999</v>
      </c>
      <c r="AA55" s="701"/>
      <c r="AB55" s="699">
        <f t="shared" si="24"/>
        <v>96.262499999999989</v>
      </c>
      <c r="AC55" s="700">
        <f t="shared" ref="AC55:AE58" si="28">+R22/1000000</f>
        <v>32.087499999999999</v>
      </c>
      <c r="AD55" s="700">
        <f t="shared" si="28"/>
        <v>32.087499999999999</v>
      </c>
      <c r="AE55" s="700">
        <f t="shared" si="28"/>
        <v>32.087499999999999</v>
      </c>
      <c r="AF55" s="695"/>
      <c r="AG55" s="698" t="s">
        <v>145</v>
      </c>
      <c r="AH55" s="699">
        <f t="shared" ca="1" si="22"/>
        <v>70.045465396287298</v>
      </c>
      <c r="AI55" s="700">
        <f t="shared" ca="1" si="22"/>
        <v>23.682699066332365</v>
      </c>
      <c r="AJ55" s="700">
        <f t="shared" ca="1" si="22"/>
        <v>9.438811030534012</v>
      </c>
      <c r="AK55" s="700">
        <f t="shared" ca="1" si="22"/>
        <v>36.923955299420925</v>
      </c>
    </row>
    <row r="56" spans="2:37" ht="24" customHeight="1">
      <c r="U56" s="702" t="s">
        <v>99</v>
      </c>
      <c r="V56" s="702"/>
      <c r="W56" s="703">
        <f t="shared" si="26"/>
        <v>0.96927249544966321</v>
      </c>
      <c r="X56" s="704">
        <f t="shared" si="27"/>
        <v>0.26606201999999995</v>
      </c>
      <c r="Y56" s="704">
        <f t="shared" si="27"/>
        <v>0.41521638844709996</v>
      </c>
      <c r="Z56" s="704">
        <f t="shared" si="27"/>
        <v>0.28799408700256318</v>
      </c>
      <c r="AA56" s="695"/>
      <c r="AB56" s="703">
        <f t="shared" si="24"/>
        <v>0.96927249544966321</v>
      </c>
      <c r="AC56" s="705">
        <f t="shared" si="28"/>
        <v>0.26606201999999995</v>
      </c>
      <c r="AD56" s="705">
        <f t="shared" si="28"/>
        <v>0.41521638844709996</v>
      </c>
      <c r="AE56" s="705">
        <f t="shared" si="28"/>
        <v>0.28799408700256318</v>
      </c>
      <c r="AF56" s="695"/>
      <c r="AG56" s="702" t="s">
        <v>82</v>
      </c>
      <c r="AH56" s="703">
        <f t="shared" si="22"/>
        <v>2</v>
      </c>
      <c r="AI56" s="705">
        <f t="shared" si="22"/>
        <v>0.89270313486241781</v>
      </c>
      <c r="AJ56" s="705">
        <f t="shared" si="22"/>
        <v>0.2554894613255505</v>
      </c>
      <c r="AK56" s="705">
        <f t="shared" si="22"/>
        <v>0.85180740381203157</v>
      </c>
    </row>
    <row r="57" spans="2:37" ht="24" customHeight="1">
      <c r="U57" s="698" t="s">
        <v>564</v>
      </c>
      <c r="V57" s="698"/>
      <c r="W57" s="699">
        <f t="shared" si="26"/>
        <v>9.204939213497477</v>
      </c>
      <c r="X57" s="700">
        <f t="shared" si="27"/>
        <v>9.204939213497477</v>
      </c>
      <c r="Y57" s="700">
        <f t="shared" si="27"/>
        <v>0</v>
      </c>
      <c r="Z57" s="700">
        <f t="shared" si="27"/>
        <v>0</v>
      </c>
      <c r="AA57" s="701"/>
      <c r="AB57" s="699">
        <f t="shared" si="24"/>
        <v>9.204939213497477</v>
      </c>
      <c r="AC57" s="700">
        <f t="shared" si="28"/>
        <v>9.204939213497477</v>
      </c>
      <c r="AD57" s="700">
        <f t="shared" si="28"/>
        <v>0</v>
      </c>
      <c r="AE57" s="700">
        <f t="shared" si="28"/>
        <v>0</v>
      </c>
      <c r="AF57" s="695"/>
      <c r="AG57" s="698" t="s">
        <v>59</v>
      </c>
      <c r="AH57" s="699">
        <f t="shared" si="22"/>
        <v>23.899427780890669</v>
      </c>
      <c r="AI57" s="700">
        <f t="shared" si="22"/>
        <v>10.765003692378659</v>
      </c>
      <c r="AJ57" s="700">
        <f t="shared" si="22"/>
        <v>3.3981591693764583</v>
      </c>
      <c r="AK57" s="700">
        <f t="shared" si="22"/>
        <v>9.7362649191355519</v>
      </c>
    </row>
    <row r="58" spans="2:37" ht="24" customHeight="1">
      <c r="U58" s="702" t="s">
        <v>604</v>
      </c>
      <c r="V58" s="702"/>
      <c r="W58" s="703">
        <f t="shared" ca="1" si="26"/>
        <v>229.6154398607701</v>
      </c>
      <c r="X58" s="704">
        <f t="shared" ca="1" si="27"/>
        <v>87.48898936855835</v>
      </c>
      <c r="Y58" s="704">
        <f t="shared" ca="1" si="27"/>
        <v>64.517857381316986</v>
      </c>
      <c r="Z58" s="704">
        <f t="shared" ca="1" si="27"/>
        <v>77.608593110894859</v>
      </c>
      <c r="AA58" s="695"/>
      <c r="AB58" s="703">
        <f t="shared" ca="1" si="24"/>
        <v>49.723435199059551</v>
      </c>
      <c r="AC58" s="705">
        <f t="shared" ca="1" si="28"/>
        <v>5.1660372303314803</v>
      </c>
      <c r="AD58" s="705">
        <f t="shared" ca="1" si="28"/>
        <v>64.517857525573788</v>
      </c>
      <c r="AE58" s="705">
        <f t="shared" ca="1" si="28"/>
        <v>-19.960459556845606</v>
      </c>
      <c r="AF58" s="695"/>
      <c r="AG58" s="695"/>
      <c r="AH58" s="695"/>
      <c r="AI58" s="695"/>
      <c r="AJ58" s="695"/>
      <c r="AK58" s="695"/>
    </row>
    <row r="59" spans="2:37" ht="24" customHeight="1">
      <c r="U59" s="711" t="s">
        <v>95</v>
      </c>
      <c r="V59" s="711"/>
      <c r="W59" s="712">
        <f ca="1">+SUM(W51:W58)</f>
        <v>1053.6210471231022</v>
      </c>
      <c r="X59" s="713">
        <f ca="1">+SUM(X51:X58)</f>
        <v>416.53168453289481</v>
      </c>
      <c r="Y59" s="713">
        <f ca="1">+SUM(Y51:Y58)</f>
        <v>207.72088951245908</v>
      </c>
      <c r="Z59" s="713">
        <f ca="1">+SUM(Z51:Z58)</f>
        <v>429.36847307774826</v>
      </c>
      <c r="AA59" s="695"/>
      <c r="AB59" s="712">
        <f ca="1">+SUM(AB51:AB58)</f>
        <v>1053.6210471231022</v>
      </c>
      <c r="AC59" s="713">
        <f ca="1">+SUM(AC51:AC58)</f>
        <v>416.53168453289481</v>
      </c>
      <c r="AD59" s="713">
        <f ca="1">+SUM(AD51:AD58)</f>
        <v>207.72088951245908</v>
      </c>
      <c r="AE59" s="713">
        <f ca="1">+SUM(AE51:AE58)</f>
        <v>429.36847307774826</v>
      </c>
      <c r="AF59" s="695"/>
      <c r="AG59" s="711" t="s">
        <v>96</v>
      </c>
      <c r="AH59" s="712">
        <f ca="1">+SUM(AH51:AH57)</f>
        <v>1053.6210471231022</v>
      </c>
      <c r="AI59" s="713">
        <f ca="1">+SUM(AI51:AI57)</f>
        <v>416.53168453289487</v>
      </c>
      <c r="AJ59" s="713">
        <f ca="1">+SUM(AJ51:AJ57)</f>
        <v>207.72088951245914</v>
      </c>
      <c r="AK59" s="713">
        <f ca="1">+SUM(AK51:AK57)</f>
        <v>429.36847307774821</v>
      </c>
    </row>
    <row r="60" spans="2:37">
      <c r="AA60" s="41"/>
      <c r="AB60" s="41"/>
      <c r="AC60" s="41"/>
      <c r="AD60" s="41"/>
      <c r="AE60" s="41"/>
      <c r="AF60" s="41"/>
      <c r="AG60" s="41"/>
    </row>
    <row r="61" spans="2:37">
      <c r="AA61" s="41"/>
      <c r="AH61" s="41"/>
    </row>
    <row r="62" spans="2:37">
      <c r="AA62" s="41"/>
      <c r="AH62" s="41"/>
    </row>
    <row r="63" spans="2:37">
      <c r="AA63" s="41"/>
      <c r="AH63" s="41"/>
    </row>
    <row r="64" spans="2:37">
      <c r="AA64" s="41"/>
      <c r="AH64" s="41"/>
    </row>
    <row r="65" spans="27:34">
      <c r="AA65" s="41"/>
      <c r="AC65" s="41"/>
      <c r="AD65" s="41"/>
      <c r="AE65" s="41"/>
      <c r="AF65" s="41"/>
      <c r="AG65" s="41"/>
      <c r="AH65" s="41"/>
    </row>
    <row r="66" spans="27:34">
      <c r="AA66" s="41"/>
      <c r="AC66" s="41"/>
      <c r="AD66" s="41"/>
      <c r="AE66" s="41"/>
      <c r="AF66" s="41"/>
      <c r="AG66" s="41"/>
      <c r="AH66" s="41"/>
    </row>
    <row r="67" spans="27:34">
      <c r="AA67" s="41"/>
      <c r="AC67" s="41"/>
      <c r="AD67" s="41"/>
      <c r="AE67" s="41"/>
      <c r="AF67" s="41"/>
      <c r="AG67" s="41"/>
      <c r="AH67" s="41"/>
    </row>
    <row r="68" spans="27:34">
      <c r="AA68" s="41"/>
      <c r="AC68" s="41"/>
      <c r="AD68" s="41"/>
      <c r="AE68" s="41"/>
      <c r="AF68" s="41"/>
      <c r="AG68" s="41"/>
      <c r="AH68" s="41"/>
    </row>
    <row r="69" spans="27:34">
      <c r="AA69" s="41"/>
      <c r="AC69" s="41"/>
      <c r="AD69" s="41"/>
      <c r="AE69" s="41"/>
      <c r="AF69" s="41"/>
      <c r="AG69" s="41"/>
      <c r="AH69" s="41"/>
    </row>
    <row r="70" spans="27:34">
      <c r="AB70" s="41"/>
      <c r="AC70" s="41"/>
      <c r="AD70" s="41"/>
      <c r="AE70" s="41"/>
      <c r="AF70" s="41"/>
      <c r="AG70" s="41"/>
      <c r="AH70" s="41"/>
    </row>
    <row r="71" spans="27:34">
      <c r="AB71" s="41"/>
      <c r="AC71" s="41"/>
      <c r="AD71" s="41"/>
      <c r="AE71" s="41"/>
      <c r="AF71" s="41"/>
      <c r="AG71" s="41"/>
      <c r="AH71" s="41"/>
    </row>
    <row r="72" spans="27:34">
      <c r="AB72" s="41"/>
      <c r="AC72" s="41"/>
      <c r="AD72" s="41"/>
      <c r="AE72" s="41"/>
      <c r="AF72" s="41"/>
      <c r="AG72" s="41"/>
      <c r="AH72" s="41"/>
    </row>
    <row r="73" spans="27:34">
      <c r="AC73" s="41"/>
      <c r="AD73" s="41"/>
      <c r="AE73" s="41"/>
      <c r="AF73" s="41"/>
      <c r="AG73" s="41"/>
      <c r="AH73" s="41"/>
    </row>
    <row r="74" spans="27:34">
      <c r="AC74" s="41"/>
      <c r="AD74" s="41"/>
      <c r="AE74" s="41"/>
      <c r="AF74" s="41"/>
      <c r="AG74" s="41"/>
      <c r="AH74" s="41"/>
    </row>
    <row r="75" spans="27:34">
      <c r="AC75" s="41"/>
      <c r="AD75" s="41"/>
      <c r="AE75" s="41"/>
      <c r="AF75" s="41"/>
      <c r="AG75" s="41"/>
      <c r="AH75" s="41"/>
    </row>
    <row r="76" spans="27:34">
      <c r="AC76" s="41"/>
      <c r="AD76" s="41"/>
      <c r="AE76" s="41"/>
      <c r="AF76" s="41"/>
      <c r="AG76" s="41"/>
      <c r="AH76" s="41"/>
    </row>
    <row r="77" spans="27:34">
      <c r="AC77" s="41"/>
      <c r="AD77" s="41"/>
      <c r="AE77" s="41"/>
      <c r="AF77" s="41"/>
      <c r="AG77" s="41"/>
      <c r="AH77" s="41"/>
    </row>
    <row r="78" spans="27:34">
      <c r="AC78" s="41"/>
      <c r="AD78" s="41"/>
      <c r="AE78" s="41"/>
      <c r="AF78" s="41"/>
      <c r="AG78" s="41"/>
      <c r="AH78" s="41"/>
    </row>
    <row r="79" spans="27:34">
      <c r="AC79" s="41"/>
      <c r="AD79" s="41"/>
      <c r="AE79" s="41"/>
      <c r="AF79" s="41"/>
      <c r="AG79" s="41"/>
      <c r="AH79" s="41"/>
    </row>
    <row r="80" spans="27:34">
      <c r="AC80" s="41"/>
      <c r="AD80" s="41"/>
      <c r="AE80" s="41"/>
      <c r="AF80" s="41"/>
      <c r="AG80" s="41"/>
      <c r="AH80" s="41"/>
    </row>
  </sheetData>
  <mergeCells count="2">
    <mergeCell ref="X48:Z48"/>
    <mergeCell ref="AC48:AE48"/>
  </mergeCells>
  <phoneticPr fontId="79" type="noConversion"/>
  <pageMargins left="0.7" right="0.7" top="0.75" bottom="0.75" header="0.3" footer="0.3"/>
  <pageSetup scale="25" orientation="landscape"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BC96"/>
  <sheetViews>
    <sheetView showGridLines="0" topLeftCell="A46" zoomScale="70" zoomScaleNormal="70" workbookViewId="0">
      <selection activeCell="K38" sqref="K38"/>
    </sheetView>
  </sheetViews>
  <sheetFormatPr defaultColWidth="16.453125" defaultRowHeight="15.25"/>
  <cols>
    <col min="1" max="2" width="12.453125" style="18" customWidth="1"/>
    <col min="3" max="3" width="23.453125" style="18" customWidth="1"/>
    <col min="4" max="5" width="12.453125" style="18" customWidth="1"/>
    <col min="6" max="6" width="14.453125" style="18" bestFit="1" customWidth="1"/>
    <col min="7" max="7" width="22.1796875" style="18" bestFit="1" customWidth="1"/>
    <col min="8" max="8" width="17.1796875" style="18" customWidth="1"/>
    <col min="9" max="10" width="16.81640625" style="18" bestFit="1" customWidth="1"/>
    <col min="11" max="11" width="13.453125" style="18" bestFit="1" customWidth="1"/>
    <col min="12" max="12" width="15.453125" style="41" bestFit="1" customWidth="1"/>
    <col min="13" max="21" width="24.453125" style="18" customWidth="1"/>
    <col min="22" max="23" width="12.453125" style="18" customWidth="1"/>
    <col min="24" max="24" width="17.1796875" style="18" customWidth="1"/>
    <col min="25" max="16384" width="16.453125" style="18"/>
  </cols>
  <sheetData>
    <row r="1" spans="1:55" s="41" customFormat="1"/>
    <row r="2" spans="1:55" s="41" customFormat="1" ht="15.5">
      <c r="M2" s="958" t="s">
        <v>674</v>
      </c>
      <c r="N2" s="958"/>
      <c r="O2" s="958"/>
      <c r="P2" s="958"/>
      <c r="Q2" s="958"/>
      <c r="R2" s="958"/>
      <c r="S2" s="958"/>
      <c r="T2" s="958"/>
      <c r="U2" s="958"/>
      <c r="Y2" s="958" t="s">
        <v>675</v>
      </c>
      <c r="Z2" s="958"/>
      <c r="AA2" s="958"/>
      <c r="AB2" s="958"/>
      <c r="AC2" s="958"/>
      <c r="AD2" s="958"/>
      <c r="AE2" s="958"/>
      <c r="AF2" s="958"/>
      <c r="AG2" s="958"/>
      <c r="AJ2" s="958" t="s">
        <v>680</v>
      </c>
      <c r="AK2" s="958"/>
      <c r="AL2" s="958"/>
      <c r="AM2" s="958"/>
      <c r="AN2" s="958"/>
      <c r="AO2" s="958"/>
      <c r="AP2" s="958"/>
      <c r="AQ2" s="958"/>
      <c r="AR2" s="958"/>
      <c r="AU2" s="958" t="s">
        <v>681</v>
      </c>
      <c r="AV2" s="958"/>
      <c r="AW2" s="958"/>
      <c r="AX2" s="958"/>
      <c r="AY2" s="958"/>
      <c r="AZ2" s="958"/>
      <c r="BA2" s="958"/>
      <c r="BB2" s="958"/>
      <c r="BC2" s="958"/>
    </row>
    <row r="3" spans="1:55" s="41" customFormat="1" ht="25.25">
      <c r="A3" s="203"/>
      <c r="M3" s="146">
        <v>0</v>
      </c>
      <c r="N3" s="146">
        <f>+M3+1</f>
        <v>1</v>
      </c>
      <c r="O3" s="146">
        <f t="shared" ref="O3:U3" si="0">+N3+1</f>
        <v>2</v>
      </c>
      <c r="P3" s="146">
        <f t="shared" si="0"/>
        <v>3</v>
      </c>
      <c r="Q3" s="146">
        <f t="shared" si="0"/>
        <v>4</v>
      </c>
      <c r="R3" s="146">
        <f t="shared" si="0"/>
        <v>5</v>
      </c>
      <c r="S3" s="146">
        <f t="shared" si="0"/>
        <v>6</v>
      </c>
      <c r="T3" s="146">
        <f t="shared" si="0"/>
        <v>7</v>
      </c>
      <c r="U3" s="146">
        <f t="shared" si="0"/>
        <v>8</v>
      </c>
      <c r="Y3" s="146">
        <v>0</v>
      </c>
      <c r="Z3" s="146">
        <f>+Y3+1</f>
        <v>1</v>
      </c>
      <c r="AA3" s="146">
        <f t="shared" ref="AA3" si="1">+Z3+1</f>
        <v>2</v>
      </c>
      <c r="AB3" s="146">
        <f t="shared" ref="AB3" si="2">+AA3+1</f>
        <v>3</v>
      </c>
      <c r="AC3" s="146">
        <f t="shared" ref="AC3" si="3">+AB3+1</f>
        <v>4</v>
      </c>
      <c r="AD3" s="146">
        <f t="shared" ref="AD3" si="4">+AC3+1</f>
        <v>5</v>
      </c>
      <c r="AE3" s="146">
        <f t="shared" ref="AE3" si="5">+AD3+1</f>
        <v>6</v>
      </c>
      <c r="AF3" s="146">
        <f t="shared" ref="AF3" si="6">+AE3+1</f>
        <v>7</v>
      </c>
      <c r="AG3" s="146">
        <f t="shared" ref="AG3" si="7">+AF3+1</f>
        <v>8</v>
      </c>
      <c r="AJ3" s="146">
        <v>0</v>
      </c>
      <c r="AK3" s="146">
        <f>+AJ3+1</f>
        <v>1</v>
      </c>
      <c r="AL3" s="146">
        <f t="shared" ref="AL3" si="8">+AK3+1</f>
        <v>2</v>
      </c>
      <c r="AM3" s="146">
        <f t="shared" ref="AM3" si="9">+AL3+1</f>
        <v>3</v>
      </c>
      <c r="AN3" s="146">
        <f t="shared" ref="AN3" si="10">+AM3+1</f>
        <v>4</v>
      </c>
      <c r="AO3" s="146">
        <f t="shared" ref="AO3" si="11">+AN3+1</f>
        <v>5</v>
      </c>
      <c r="AP3" s="146">
        <f t="shared" ref="AP3" si="12">+AO3+1</f>
        <v>6</v>
      </c>
      <c r="AQ3" s="146">
        <f t="shared" ref="AQ3" si="13">+AP3+1</f>
        <v>7</v>
      </c>
      <c r="AR3" s="146">
        <f t="shared" ref="AR3" si="14">+AQ3+1</f>
        <v>8</v>
      </c>
      <c r="AU3" s="146">
        <v>0</v>
      </c>
      <c r="AV3" s="146">
        <f>+AU3+1</f>
        <v>1</v>
      </c>
      <c r="AW3" s="146">
        <f t="shared" ref="AW3" si="15">+AV3+1</f>
        <v>2</v>
      </c>
      <c r="AX3" s="146">
        <f t="shared" ref="AX3" si="16">+AW3+1</f>
        <v>3</v>
      </c>
      <c r="AY3" s="146">
        <f t="shared" ref="AY3" si="17">+AX3+1</f>
        <v>4</v>
      </c>
      <c r="AZ3" s="146">
        <f t="shared" ref="AZ3" si="18">+AY3+1</f>
        <v>5</v>
      </c>
      <c r="BA3" s="146">
        <f t="shared" ref="BA3" si="19">+AZ3+1</f>
        <v>6</v>
      </c>
      <c r="BB3" s="146">
        <f t="shared" ref="BB3" si="20">+BA3+1</f>
        <v>7</v>
      </c>
      <c r="BC3" s="146">
        <f t="shared" ref="BC3" si="21">+BB3+1</f>
        <v>8</v>
      </c>
    </row>
    <row r="4" spans="1:55" s="41" customFormat="1" ht="32.25" customHeight="1">
      <c r="B4" s="31" t="s">
        <v>214</v>
      </c>
      <c r="C4" s="32"/>
      <c r="D4" s="38"/>
      <c r="E4" s="38"/>
      <c r="F4" s="32"/>
      <c r="G4" s="31" t="s">
        <v>17</v>
      </c>
      <c r="H4" s="127" t="str">
        <f>+Assumptions!F$21</f>
        <v>I</v>
      </c>
      <c r="I4" s="127" t="str">
        <f>+Assumptions!G$21</f>
        <v>II</v>
      </c>
      <c r="J4" s="127" t="str">
        <f>+Assumptions!H$21</f>
        <v>III</v>
      </c>
      <c r="L4" s="211" t="s">
        <v>227</v>
      </c>
      <c r="M4" s="211" t="str">
        <f ca="1">+OFFSET($B$11,M3,0)</f>
        <v>Affordable Residential</v>
      </c>
      <c r="N4" s="211" t="str">
        <f t="shared" ref="N4:U4" ca="1" si="22">+OFFSET($B$11,N3,0)</f>
        <v>Multifamily</v>
      </c>
      <c r="O4" s="211" t="str">
        <f t="shared" ca="1" si="22"/>
        <v>Retail</v>
      </c>
      <c r="P4" s="211" t="str">
        <f t="shared" ca="1" si="22"/>
        <v>Hotel</v>
      </c>
      <c r="Q4" s="211" t="str">
        <f t="shared" ca="1" si="22"/>
        <v>Gallery &amp; Museum Facility</v>
      </c>
      <c r="R4" s="211" t="str">
        <f t="shared" ca="1" si="22"/>
        <v>Office</v>
      </c>
      <c r="S4" s="211" t="str">
        <f t="shared" ca="1" si="22"/>
        <v>School</v>
      </c>
      <c r="T4" s="211" t="str">
        <f t="shared" ca="1" si="22"/>
        <v>Structural Parking</v>
      </c>
      <c r="U4" s="211" t="str">
        <f t="shared" ca="1" si="22"/>
        <v>Surface Parking</v>
      </c>
      <c r="X4" s="211" t="s">
        <v>227</v>
      </c>
      <c r="Y4" s="211" t="str">
        <f ca="1">+OFFSET($B$11,Y3,0)</f>
        <v>Affordable Residential</v>
      </c>
      <c r="Z4" s="211" t="str">
        <f t="shared" ref="Z4:AG4" ca="1" si="23">+OFFSET($B$11,Z3,0)</f>
        <v>Multifamily</v>
      </c>
      <c r="AA4" s="211" t="str">
        <f t="shared" ca="1" si="23"/>
        <v>Retail</v>
      </c>
      <c r="AB4" s="211" t="str">
        <f t="shared" ca="1" si="23"/>
        <v>Hotel</v>
      </c>
      <c r="AC4" s="211" t="str">
        <f t="shared" ca="1" si="23"/>
        <v>Gallery &amp; Museum Facility</v>
      </c>
      <c r="AD4" s="211" t="str">
        <f t="shared" ca="1" si="23"/>
        <v>Office</v>
      </c>
      <c r="AE4" s="211" t="str">
        <f t="shared" ca="1" si="23"/>
        <v>School</v>
      </c>
      <c r="AF4" s="211" t="str">
        <f t="shared" ca="1" si="23"/>
        <v>Structural Parking</v>
      </c>
      <c r="AG4" s="211" t="str">
        <f t="shared" ca="1" si="23"/>
        <v>Surface Parking</v>
      </c>
      <c r="AI4" s="211" t="s">
        <v>227</v>
      </c>
      <c r="AJ4" s="211" t="str">
        <f ca="1">+OFFSET($B$11,AJ3,0)</f>
        <v>Affordable Residential</v>
      </c>
      <c r="AK4" s="211" t="str">
        <f t="shared" ref="AK4:AR4" ca="1" si="24">+OFFSET($B$11,AK3,0)</f>
        <v>Multifamily</v>
      </c>
      <c r="AL4" s="211" t="str">
        <f t="shared" ca="1" si="24"/>
        <v>Retail</v>
      </c>
      <c r="AM4" s="211" t="str">
        <f t="shared" ca="1" si="24"/>
        <v>Hotel</v>
      </c>
      <c r="AN4" s="211" t="str">
        <f t="shared" ca="1" si="24"/>
        <v>Gallery &amp; Museum Facility</v>
      </c>
      <c r="AO4" s="211" t="str">
        <f t="shared" ca="1" si="24"/>
        <v>Office</v>
      </c>
      <c r="AP4" s="211" t="str">
        <f t="shared" ca="1" si="24"/>
        <v>School</v>
      </c>
      <c r="AQ4" s="211" t="str">
        <f t="shared" ca="1" si="24"/>
        <v>Structural Parking</v>
      </c>
      <c r="AR4" s="211" t="str">
        <f t="shared" ca="1" si="24"/>
        <v>Surface Parking</v>
      </c>
      <c r="AT4" s="211" t="s">
        <v>227</v>
      </c>
      <c r="AU4" s="211" t="str">
        <f ca="1">+OFFSET($B$11,AU3,0)</f>
        <v>Affordable Residential</v>
      </c>
      <c r="AV4" s="211" t="str">
        <f t="shared" ref="AV4:BC4" ca="1" si="25">+OFFSET($B$11,AV3,0)</f>
        <v>Multifamily</v>
      </c>
      <c r="AW4" s="211" t="str">
        <f t="shared" ca="1" si="25"/>
        <v>Retail</v>
      </c>
      <c r="AX4" s="211" t="str">
        <f t="shared" ca="1" si="25"/>
        <v>Hotel</v>
      </c>
      <c r="AY4" s="211" t="str">
        <f t="shared" ca="1" si="25"/>
        <v>Gallery &amp; Museum Facility</v>
      </c>
      <c r="AZ4" s="211" t="str">
        <f t="shared" ca="1" si="25"/>
        <v>Office</v>
      </c>
      <c r="BA4" s="211" t="str">
        <f t="shared" ca="1" si="25"/>
        <v>School</v>
      </c>
      <c r="BB4" s="211" t="str">
        <f t="shared" ca="1" si="25"/>
        <v>Structural Parking</v>
      </c>
      <c r="BC4" s="211" t="str">
        <f t="shared" ca="1" si="25"/>
        <v>Surface Parking</v>
      </c>
    </row>
    <row r="5" spans="1:55" s="41" customFormat="1" ht="15.5">
      <c r="L5" s="133" t="str">
        <f>+H4</f>
        <v>I</v>
      </c>
      <c r="M5" s="108">
        <f ca="1">+INDEX($H$11:$J$19,MATCH(M$4,$B$11:$B$19,0),MATCH($L5,$H$4:$J$4,0))/INDEX($H$10:$J$10,1,MATCH($L5,$H$4:$J$4,0))</f>
        <v>0.33029327748214243</v>
      </c>
      <c r="N5" s="108">
        <f t="shared" ref="N5:U7" ca="1" si="26">+INDEX($H$11:$J$19,MATCH(N$4,$B$11:$B$19,0),MATCH($L5,$H$4:$J$4,0))/INDEX($H$10:$J$10,1,MATCH($L5,$H$4:$J$4,0))</f>
        <v>0.15169162973471642</v>
      </c>
      <c r="O5" s="108">
        <f t="shared" ca="1" si="26"/>
        <v>0.24562595410790303</v>
      </c>
      <c r="P5" s="108">
        <f t="shared" ca="1" si="26"/>
        <v>2.7998865002724709E-9</v>
      </c>
      <c r="Q5" s="108">
        <f t="shared" ca="1" si="26"/>
        <v>6.2219700006054901E-12</v>
      </c>
      <c r="R5" s="108">
        <f t="shared" ca="1" si="26"/>
        <v>0.12041627420971829</v>
      </c>
      <c r="S5" s="108">
        <f t="shared" ca="1" si="26"/>
        <v>6.2219700006054897E-13</v>
      </c>
      <c r="T5" s="108">
        <f t="shared" ca="1" si="26"/>
        <v>0.1519728616587892</v>
      </c>
      <c r="U5" s="108">
        <f t="shared" ca="1" si="26"/>
        <v>0</v>
      </c>
      <c r="V5" s="152">
        <f ca="1">+SUM(M5:U5)</f>
        <v>1</v>
      </c>
      <c r="X5" s="133" t="s">
        <v>193</v>
      </c>
      <c r="Y5" s="108">
        <f ca="1">+$M5</f>
        <v>0.33029327748214243</v>
      </c>
      <c r="Z5" s="108">
        <f ca="1">+$N5</f>
        <v>0.15169162973471642</v>
      </c>
      <c r="AA5" s="108">
        <f ca="1">+$O5</f>
        <v>0.24562595410790303</v>
      </c>
      <c r="AB5" s="108">
        <f ca="1">+$P5</f>
        <v>2.7998865002724709E-9</v>
      </c>
      <c r="AC5" s="108">
        <f ca="1">+$Q5</f>
        <v>6.2219700006054901E-12</v>
      </c>
      <c r="AD5" s="108">
        <f ca="1">+$R5</f>
        <v>0.12041627420971829</v>
      </c>
      <c r="AE5" s="108">
        <f ca="1">+$S5</f>
        <v>6.2219700006054897E-13</v>
      </c>
      <c r="AF5" s="108">
        <f ca="1">+$T5</f>
        <v>0.1519728616587892</v>
      </c>
      <c r="AG5" s="108">
        <f ca="1">+$U5</f>
        <v>0</v>
      </c>
      <c r="AI5" s="133" t="s">
        <v>193</v>
      </c>
      <c r="AJ5" s="108">
        <v>0</v>
      </c>
      <c r="AK5" s="108">
        <v>0</v>
      </c>
      <c r="AL5" s="108">
        <v>0</v>
      </c>
      <c r="AM5" s="108">
        <v>0</v>
      </c>
      <c r="AN5" s="108">
        <v>0</v>
      </c>
      <c r="AO5" s="108">
        <v>0</v>
      </c>
      <c r="AP5" s="108">
        <v>0</v>
      </c>
      <c r="AQ5" s="108">
        <v>0</v>
      </c>
      <c r="AR5" s="108">
        <v>0</v>
      </c>
      <c r="AT5" s="133" t="s">
        <v>193</v>
      </c>
      <c r="AU5" s="108">
        <v>0</v>
      </c>
      <c r="AV5" s="108">
        <v>0</v>
      </c>
      <c r="AW5" s="108">
        <v>0</v>
      </c>
      <c r="AX5" s="108">
        <v>0</v>
      </c>
      <c r="AY5" s="108">
        <v>0</v>
      </c>
      <c r="AZ5" s="108">
        <v>0</v>
      </c>
      <c r="BA5" s="108">
        <v>0</v>
      </c>
      <c r="BB5" s="108">
        <v>0</v>
      </c>
      <c r="BC5" s="108">
        <v>0</v>
      </c>
    </row>
    <row r="6" spans="1:55" s="41" customFormat="1" ht="15.5">
      <c r="L6" s="133" t="str">
        <f>+I4</f>
        <v>II</v>
      </c>
      <c r="M6" s="108">
        <f t="shared" ref="M6:M7" ca="1" si="27">+INDEX($H$11:$J$19,MATCH(M$4,$B$11:$B$19,0),MATCH($L6,$H$4:$J$4,0))/INDEX($H$10:$J$10,1,MATCH($L6,$H$4:$J$4,0))</f>
        <v>1.2609270908987125E-8</v>
      </c>
      <c r="N6" s="108">
        <f t="shared" ca="1" si="26"/>
        <v>1.6196391081371395E-8</v>
      </c>
      <c r="O6" s="108">
        <f t="shared" ca="1" si="26"/>
        <v>2.1740122256874356E-12</v>
      </c>
      <c r="P6" s="108">
        <f t="shared" ca="1" si="26"/>
        <v>9.7830550155934601E-10</v>
      </c>
      <c r="Q6" s="108">
        <f t="shared" ca="1" si="26"/>
        <v>0.69449907555697976</v>
      </c>
      <c r="R6" s="108">
        <f t="shared" ca="1" si="26"/>
        <v>2.1740122256874356E-12</v>
      </c>
      <c r="S6" s="108">
        <f t="shared" ca="1" si="26"/>
        <v>0.30550089400250119</v>
      </c>
      <c r="T6" s="108">
        <f t="shared" ca="1" si="26"/>
        <v>6.5220366770623064E-10</v>
      </c>
      <c r="U6" s="108">
        <f t="shared" ca="1" si="26"/>
        <v>0</v>
      </c>
      <c r="V6" s="152">
        <f ca="1">+SUM(M6:U6)</f>
        <v>1.0000000000000002</v>
      </c>
      <c r="X6" s="133" t="s">
        <v>225</v>
      </c>
      <c r="Y6" s="108">
        <v>0</v>
      </c>
      <c r="Z6" s="108">
        <v>0</v>
      </c>
      <c r="AA6" s="108">
        <v>0</v>
      </c>
      <c r="AB6" s="108">
        <v>0</v>
      </c>
      <c r="AC6" s="108">
        <v>0</v>
      </c>
      <c r="AD6" s="108">
        <v>0</v>
      </c>
      <c r="AE6" s="108">
        <v>0</v>
      </c>
      <c r="AF6" s="108">
        <v>0</v>
      </c>
      <c r="AG6" s="108">
        <v>0</v>
      </c>
      <c r="AI6" s="133" t="s">
        <v>225</v>
      </c>
      <c r="AJ6" s="108">
        <f ca="1">+$M6</f>
        <v>1.2609270908987125E-8</v>
      </c>
      <c r="AK6" s="108">
        <f ca="1">+$N6</f>
        <v>1.6196391081371395E-8</v>
      </c>
      <c r="AL6" s="108">
        <f ca="1">+$O6</f>
        <v>2.1740122256874356E-12</v>
      </c>
      <c r="AM6" s="108">
        <f ca="1">+$P6</f>
        <v>9.7830550155934601E-10</v>
      </c>
      <c r="AN6" s="108">
        <f ca="1">+$Q6</f>
        <v>0.69449907555697976</v>
      </c>
      <c r="AO6" s="108">
        <f ca="1">+$R6</f>
        <v>2.1740122256874356E-12</v>
      </c>
      <c r="AP6" s="108">
        <f ca="1">+$S6</f>
        <v>0.30550089400250119</v>
      </c>
      <c r="AQ6" s="108">
        <f ca="1">+$T6</f>
        <v>6.5220366770623064E-10</v>
      </c>
      <c r="AR6" s="108">
        <f ca="1">+$U6</f>
        <v>0</v>
      </c>
      <c r="AT6" s="133" t="s">
        <v>225</v>
      </c>
      <c r="AU6" s="108">
        <v>0</v>
      </c>
      <c r="AV6" s="108">
        <v>0</v>
      </c>
      <c r="AW6" s="108">
        <v>0</v>
      </c>
      <c r="AX6" s="108">
        <v>0</v>
      </c>
      <c r="AY6" s="108">
        <v>0</v>
      </c>
      <c r="AZ6" s="108">
        <v>0</v>
      </c>
      <c r="BA6" s="108">
        <v>0</v>
      </c>
      <c r="BB6" s="108">
        <v>0</v>
      </c>
      <c r="BC6" s="108">
        <v>0</v>
      </c>
    </row>
    <row r="7" spans="1:55" s="41" customFormat="1" ht="15.5">
      <c r="L7" s="133" t="str">
        <f>+J4</f>
        <v>III</v>
      </c>
      <c r="M7" s="108">
        <f t="shared" ca="1" si="27"/>
        <v>3.7820002712208782E-9</v>
      </c>
      <c r="N7" s="108">
        <f t="shared" ca="1" si="26"/>
        <v>0.2596538806896817</v>
      </c>
      <c r="O7" s="108">
        <f t="shared" ca="1" si="26"/>
        <v>6.5206901227946176E-13</v>
      </c>
      <c r="P7" s="108">
        <f t="shared" ca="1" si="26"/>
        <v>2.9343105552575779E-10</v>
      </c>
      <c r="Q7" s="108">
        <f t="shared" ca="1" si="26"/>
        <v>6.5206901227946176E-12</v>
      </c>
      <c r="R7" s="108">
        <f t="shared" ca="1" si="26"/>
        <v>0.46430704433226738</v>
      </c>
      <c r="S7" s="108">
        <f t="shared" ca="1" si="26"/>
        <v>6.5206901227946176E-11</v>
      </c>
      <c r="T7" s="108">
        <f t="shared" ca="1" si="26"/>
        <v>0.27603907083023999</v>
      </c>
      <c r="U7" s="108">
        <f t="shared" ca="1" si="26"/>
        <v>0</v>
      </c>
      <c r="V7" s="152">
        <f ca="1">+SUM(M7:U7)</f>
        <v>1.0000000000000002</v>
      </c>
      <c r="X7" s="133" t="s">
        <v>226</v>
      </c>
      <c r="Y7" s="108">
        <v>0</v>
      </c>
      <c r="Z7" s="108">
        <v>0</v>
      </c>
      <c r="AA7" s="108">
        <v>0</v>
      </c>
      <c r="AB7" s="108">
        <v>0</v>
      </c>
      <c r="AC7" s="108">
        <v>0</v>
      </c>
      <c r="AD7" s="108">
        <v>0</v>
      </c>
      <c r="AE7" s="108">
        <v>0</v>
      </c>
      <c r="AF7" s="108">
        <v>0</v>
      </c>
      <c r="AG7" s="108">
        <v>0</v>
      </c>
      <c r="AI7" s="133" t="s">
        <v>226</v>
      </c>
      <c r="AJ7" s="108">
        <v>0</v>
      </c>
      <c r="AK7" s="108">
        <v>0</v>
      </c>
      <c r="AL7" s="108">
        <v>0</v>
      </c>
      <c r="AM7" s="108">
        <v>0</v>
      </c>
      <c r="AN7" s="108">
        <v>0</v>
      </c>
      <c r="AO7" s="108">
        <v>0</v>
      </c>
      <c r="AP7" s="108">
        <v>0</v>
      </c>
      <c r="AQ7" s="108">
        <v>0</v>
      </c>
      <c r="AR7" s="108">
        <v>0</v>
      </c>
      <c r="AT7" s="133" t="s">
        <v>226</v>
      </c>
      <c r="AU7" s="108">
        <f ca="1">+$M7</f>
        <v>3.7820002712208782E-9</v>
      </c>
      <c r="AV7" s="108">
        <f ca="1">+$N7</f>
        <v>0.2596538806896817</v>
      </c>
      <c r="AW7" s="108">
        <f ca="1">+$O7</f>
        <v>6.5206901227946176E-13</v>
      </c>
      <c r="AX7" s="108">
        <f ca="1">+$P7</f>
        <v>2.9343105552575779E-10</v>
      </c>
      <c r="AY7" s="108">
        <f ca="1">+$Q7</f>
        <v>6.5206901227946176E-12</v>
      </c>
      <c r="AZ7" s="108">
        <f ca="1">+$R7</f>
        <v>0.46430704433226738</v>
      </c>
      <c r="BA7" s="108">
        <f ca="1">+$S7</f>
        <v>6.5206901227946176E-11</v>
      </c>
      <c r="BB7" s="108">
        <f ca="1">+$T7</f>
        <v>0.27603907083023999</v>
      </c>
      <c r="BC7" s="108">
        <f ca="1">+$U7</f>
        <v>0</v>
      </c>
    </row>
    <row r="8" spans="1:55" s="41" customFormat="1"/>
    <row r="9" spans="1:55">
      <c r="B9" s="9" t="s">
        <v>559</v>
      </c>
      <c r="H9" s="209">
        <f>20000*2/4</f>
        <v>10000</v>
      </c>
      <c r="I9" s="209">
        <f>20000*1/4</f>
        <v>5000</v>
      </c>
      <c r="J9" s="209">
        <f>20000*1/4</f>
        <v>5000</v>
      </c>
      <c r="M9" s="151"/>
      <c r="N9" s="151"/>
      <c r="O9" s="151"/>
      <c r="P9" s="151"/>
      <c r="Q9" s="151"/>
      <c r="R9" s="151"/>
      <c r="S9" s="151"/>
      <c r="T9" s="151"/>
      <c r="U9" s="151"/>
      <c r="X9" s="41"/>
      <c r="Y9" s="151"/>
      <c r="Z9" s="151"/>
      <c r="AA9" s="151"/>
      <c r="AB9" s="151"/>
      <c r="AC9" s="151"/>
      <c r="AD9" s="151"/>
      <c r="AE9" s="151"/>
      <c r="AF9" s="151"/>
      <c r="AG9" s="151"/>
      <c r="AI9" s="41"/>
      <c r="AJ9" s="151"/>
      <c r="AK9" s="151"/>
      <c r="AL9" s="151"/>
      <c r="AM9" s="151"/>
      <c r="AN9" s="151"/>
      <c r="AO9" s="151"/>
      <c r="AP9" s="151"/>
      <c r="AQ9" s="151"/>
      <c r="AR9" s="151"/>
      <c r="AT9" s="41"/>
      <c r="AU9" s="151"/>
      <c r="AV9" s="151"/>
      <c r="AW9" s="151"/>
      <c r="AX9" s="151"/>
      <c r="AY9" s="151"/>
      <c r="AZ9" s="151"/>
      <c r="BA9" s="151"/>
      <c r="BB9" s="151"/>
      <c r="BC9" s="151"/>
    </row>
    <row r="10" spans="1:55" ht="15.5">
      <c r="B10" s="133" t="s">
        <v>89</v>
      </c>
      <c r="G10" s="24">
        <f t="shared" ref="G10:G20" si="28">+SUM(H10:J10)</f>
        <v>4320920.4320099996</v>
      </c>
      <c r="H10" s="19">
        <f>+SUM(H11:H19)</f>
        <v>1928649.6075731998</v>
      </c>
      <c r="I10" s="19">
        <f t="shared" ref="I10:J10" si="29">+SUM(I11:I19)</f>
        <v>551974.81680239993</v>
      </c>
      <c r="J10" s="19">
        <f t="shared" si="29"/>
        <v>1840296.0076343999</v>
      </c>
      <c r="M10" s="151"/>
      <c r="N10" s="151"/>
      <c r="O10" s="151"/>
      <c r="P10" s="151"/>
      <c r="Q10" s="151"/>
      <c r="R10" s="151"/>
      <c r="S10" s="151"/>
      <c r="T10" s="151"/>
      <c r="U10" s="151"/>
      <c r="X10" s="41"/>
      <c r="Y10" s="151"/>
      <c r="Z10" s="151"/>
      <c r="AA10" s="151"/>
      <c r="AB10" s="151"/>
      <c r="AC10" s="151"/>
      <c r="AD10" s="151"/>
      <c r="AE10" s="151"/>
      <c r="AF10" s="151"/>
      <c r="AG10" s="151"/>
      <c r="AI10" s="41"/>
      <c r="AJ10" s="151"/>
      <c r="AK10" s="151"/>
      <c r="AL10" s="151"/>
      <c r="AM10" s="151"/>
      <c r="AN10" s="151"/>
      <c r="AO10" s="151"/>
      <c r="AP10" s="151"/>
      <c r="AQ10" s="151"/>
      <c r="AR10" s="151"/>
      <c r="AT10" s="41"/>
      <c r="AU10" s="151"/>
      <c r="AV10" s="151"/>
      <c r="AW10" s="151"/>
      <c r="AX10" s="151"/>
      <c r="AY10" s="151"/>
      <c r="AZ10" s="151"/>
      <c r="BA10" s="151"/>
      <c r="BB10" s="151"/>
      <c r="BC10" s="151"/>
    </row>
    <row r="11" spans="1:55" ht="15.5">
      <c r="B11" s="64" t="s">
        <v>136</v>
      </c>
      <c r="G11" s="24">
        <f t="shared" si="28"/>
        <v>637020.01392000006</v>
      </c>
      <c r="H11" s="30">
        <f>+Assumptions!N34</f>
        <v>637020</v>
      </c>
      <c r="I11" s="30">
        <f>+Assumptions!O34</f>
        <v>6.9599999999999992E-3</v>
      </c>
      <c r="J11" s="30">
        <f>+Assumptions!P34</f>
        <v>6.9599999999999992E-3</v>
      </c>
      <c r="M11" s="151">
        <f>+$G$11</f>
        <v>637020.01392000006</v>
      </c>
      <c r="N11" s="151">
        <v>0</v>
      </c>
      <c r="O11" s="151">
        <v>0</v>
      </c>
      <c r="P11" s="151">
        <v>0</v>
      </c>
      <c r="Q11" s="151">
        <v>0</v>
      </c>
      <c r="R11" s="151">
        <v>0</v>
      </c>
      <c r="S11" s="151">
        <v>0</v>
      </c>
      <c r="T11" s="151">
        <v>0</v>
      </c>
      <c r="U11" s="151">
        <v>0</v>
      </c>
      <c r="X11" s="41"/>
      <c r="Y11" s="151">
        <f>+$H$11</f>
        <v>637020</v>
      </c>
      <c r="Z11" s="151">
        <v>0</v>
      </c>
      <c r="AA11" s="151">
        <v>0</v>
      </c>
      <c r="AB11" s="151">
        <v>0</v>
      </c>
      <c r="AC11" s="151">
        <v>0</v>
      </c>
      <c r="AD11" s="151">
        <v>0</v>
      </c>
      <c r="AE11" s="151">
        <v>0</v>
      </c>
      <c r="AF11" s="151">
        <v>0</v>
      </c>
      <c r="AG11" s="151">
        <v>0</v>
      </c>
      <c r="AI11" s="41"/>
      <c r="AJ11" s="151">
        <f>+$I$11</f>
        <v>6.9599999999999992E-3</v>
      </c>
      <c r="AK11" s="151">
        <v>0</v>
      </c>
      <c r="AL11" s="151">
        <v>0</v>
      </c>
      <c r="AM11" s="151">
        <v>0</v>
      </c>
      <c r="AN11" s="151">
        <v>0</v>
      </c>
      <c r="AO11" s="151">
        <v>0</v>
      </c>
      <c r="AP11" s="151">
        <v>0</v>
      </c>
      <c r="AQ11" s="151">
        <v>0</v>
      </c>
      <c r="AR11" s="151">
        <v>0</v>
      </c>
      <c r="AT11" s="41"/>
      <c r="AU11" s="151">
        <f>+$J$11</f>
        <v>6.9599999999999992E-3</v>
      </c>
      <c r="AV11" s="151">
        <v>0</v>
      </c>
      <c r="AW11" s="151">
        <v>0</v>
      </c>
      <c r="AX11" s="151">
        <v>0</v>
      </c>
      <c r="AY11" s="151">
        <v>0</v>
      </c>
      <c r="AZ11" s="151">
        <v>0</v>
      </c>
      <c r="BA11" s="151">
        <v>0</v>
      </c>
      <c r="BB11" s="151">
        <v>0</v>
      </c>
      <c r="BC11" s="151">
        <v>0</v>
      </c>
    </row>
    <row r="12" spans="1:55" ht="15.5">
      <c r="B12" s="64" t="s">
        <v>804</v>
      </c>
      <c r="G12" s="24">
        <f t="shared" si="28"/>
        <v>770400.0111</v>
      </c>
      <c r="H12" s="30">
        <f>+Assumptions!N35</f>
        <v>292560.00215999997</v>
      </c>
      <c r="I12" s="30">
        <f>+Assumptions!O35</f>
        <v>8.94E-3</v>
      </c>
      <c r="J12" s="30">
        <f>+Assumptions!P35</f>
        <v>477840</v>
      </c>
      <c r="M12" s="151">
        <v>0</v>
      </c>
      <c r="N12" s="151">
        <f>+$G$12</f>
        <v>770400.0111</v>
      </c>
      <c r="O12" s="151">
        <v>0</v>
      </c>
      <c r="P12" s="151">
        <v>0</v>
      </c>
      <c r="Q12" s="151">
        <v>0</v>
      </c>
      <c r="R12" s="151">
        <v>0</v>
      </c>
      <c r="S12" s="151">
        <v>0</v>
      </c>
      <c r="T12" s="151">
        <v>0</v>
      </c>
      <c r="U12" s="151">
        <v>0</v>
      </c>
      <c r="X12" s="41"/>
      <c r="Y12" s="151">
        <v>0</v>
      </c>
      <c r="Z12" s="151">
        <f>+$H$12</f>
        <v>292560.00215999997</v>
      </c>
      <c r="AA12" s="151">
        <v>0</v>
      </c>
      <c r="AB12" s="151">
        <v>0</v>
      </c>
      <c r="AC12" s="151">
        <v>0</v>
      </c>
      <c r="AD12" s="151">
        <v>0</v>
      </c>
      <c r="AE12" s="151">
        <v>0</v>
      </c>
      <c r="AF12" s="151">
        <v>0</v>
      </c>
      <c r="AG12" s="151">
        <v>0</v>
      </c>
      <c r="AI12" s="41"/>
      <c r="AJ12" s="151">
        <v>0</v>
      </c>
      <c r="AK12" s="151">
        <f>+$I$12</f>
        <v>8.94E-3</v>
      </c>
      <c r="AL12" s="151">
        <v>0</v>
      </c>
      <c r="AM12" s="151">
        <v>0</v>
      </c>
      <c r="AN12" s="151">
        <v>0</v>
      </c>
      <c r="AO12" s="151">
        <v>0</v>
      </c>
      <c r="AP12" s="151">
        <v>0</v>
      </c>
      <c r="AQ12" s="151">
        <v>0</v>
      </c>
      <c r="AR12" s="151">
        <v>0</v>
      </c>
      <c r="AT12" s="41"/>
      <c r="AU12" s="151">
        <v>0</v>
      </c>
      <c r="AV12" s="151">
        <f>+$J$12</f>
        <v>477840</v>
      </c>
      <c r="AW12" s="151">
        <v>0</v>
      </c>
      <c r="AX12" s="151">
        <v>0</v>
      </c>
      <c r="AY12" s="151">
        <v>0</v>
      </c>
      <c r="AZ12" s="151">
        <v>0</v>
      </c>
      <c r="BA12" s="151">
        <v>0</v>
      </c>
      <c r="BB12" s="151">
        <v>0</v>
      </c>
      <c r="BC12" s="151">
        <v>0</v>
      </c>
    </row>
    <row r="13" spans="1:55" ht="15.5">
      <c r="B13" s="64" t="s">
        <v>25</v>
      </c>
      <c r="G13" s="24">
        <f t="shared" si="28"/>
        <v>473726.40000239998</v>
      </c>
      <c r="H13" s="30">
        <f>+Assumptions!N36</f>
        <v>473726.39999999997</v>
      </c>
      <c r="I13" s="30">
        <f>+Assumptions!O36</f>
        <v>1.1999999999999999E-6</v>
      </c>
      <c r="J13" s="30">
        <f>+Assumptions!P36</f>
        <v>1.1999999999999999E-6</v>
      </c>
      <c r="M13" s="151">
        <v>0</v>
      </c>
      <c r="N13" s="151">
        <v>0</v>
      </c>
      <c r="O13" s="151">
        <f>+$G$13</f>
        <v>473726.40000239998</v>
      </c>
      <c r="P13" s="151">
        <v>0</v>
      </c>
      <c r="Q13" s="151">
        <v>0</v>
      </c>
      <c r="R13" s="151">
        <v>0</v>
      </c>
      <c r="S13" s="151">
        <v>0</v>
      </c>
      <c r="T13" s="151">
        <v>0</v>
      </c>
      <c r="U13" s="151">
        <v>0</v>
      </c>
      <c r="X13" s="41"/>
      <c r="Y13" s="151">
        <v>0</v>
      </c>
      <c r="Z13" s="151">
        <v>0</v>
      </c>
      <c r="AA13" s="151">
        <f>+$H$13</f>
        <v>473726.39999999997</v>
      </c>
      <c r="AB13" s="151">
        <v>0</v>
      </c>
      <c r="AC13" s="151">
        <v>0</v>
      </c>
      <c r="AD13" s="151">
        <v>0</v>
      </c>
      <c r="AE13" s="151">
        <v>0</v>
      </c>
      <c r="AF13" s="151">
        <v>0</v>
      </c>
      <c r="AG13" s="151">
        <v>0</v>
      </c>
      <c r="AI13" s="41"/>
      <c r="AJ13" s="151">
        <v>0</v>
      </c>
      <c r="AK13" s="151">
        <v>0</v>
      </c>
      <c r="AL13" s="151">
        <f>+$I$13</f>
        <v>1.1999999999999999E-6</v>
      </c>
      <c r="AM13" s="151">
        <v>0</v>
      </c>
      <c r="AN13" s="151">
        <v>0</v>
      </c>
      <c r="AO13" s="151">
        <v>0</v>
      </c>
      <c r="AP13" s="151">
        <v>0</v>
      </c>
      <c r="AQ13" s="151">
        <v>0</v>
      </c>
      <c r="AR13" s="151">
        <v>0</v>
      </c>
      <c r="AT13" s="41"/>
      <c r="AU13" s="151">
        <v>0</v>
      </c>
      <c r="AV13" s="151">
        <v>0</v>
      </c>
      <c r="AW13" s="151">
        <f>+$J$13</f>
        <v>1.1999999999999999E-6</v>
      </c>
      <c r="AX13" s="151">
        <v>0</v>
      </c>
      <c r="AY13" s="151">
        <v>0</v>
      </c>
      <c r="AZ13" s="151">
        <v>0</v>
      </c>
      <c r="BA13" s="151">
        <v>0</v>
      </c>
      <c r="BB13" s="151">
        <v>0</v>
      </c>
      <c r="BC13" s="151">
        <v>0</v>
      </c>
    </row>
    <row r="14" spans="1:55" ht="15.5">
      <c r="B14" s="64" t="s">
        <v>26</v>
      </c>
      <c r="G14" s="24">
        <f t="shared" si="28"/>
        <v>6.4799999999999996E-3</v>
      </c>
      <c r="H14" s="30">
        <f>+Assumptions!N37</f>
        <v>5.4000000000000003E-3</v>
      </c>
      <c r="I14" s="30">
        <f>+Assumptions!O37</f>
        <v>5.4000000000000001E-4</v>
      </c>
      <c r="J14" s="30">
        <f>+Assumptions!P37</f>
        <v>5.4000000000000001E-4</v>
      </c>
      <c r="M14" s="151">
        <v>0</v>
      </c>
      <c r="N14" s="151">
        <v>0</v>
      </c>
      <c r="O14" s="151">
        <v>0</v>
      </c>
      <c r="P14" s="151">
        <f>+$G$14</f>
        <v>6.4799999999999996E-3</v>
      </c>
      <c r="Q14" s="151">
        <v>0</v>
      </c>
      <c r="R14" s="151">
        <v>0</v>
      </c>
      <c r="S14" s="151">
        <v>0</v>
      </c>
      <c r="T14" s="151">
        <v>0</v>
      </c>
      <c r="U14" s="151">
        <v>0</v>
      </c>
      <c r="X14" s="41"/>
      <c r="Y14" s="151">
        <v>0</v>
      </c>
      <c r="Z14" s="151">
        <v>0</v>
      </c>
      <c r="AA14" s="151">
        <v>0</v>
      </c>
      <c r="AB14" s="151">
        <f>+$H$14</f>
        <v>5.4000000000000003E-3</v>
      </c>
      <c r="AC14" s="151">
        <v>0</v>
      </c>
      <c r="AD14" s="151">
        <v>0</v>
      </c>
      <c r="AE14" s="151">
        <v>0</v>
      </c>
      <c r="AF14" s="151">
        <v>0</v>
      </c>
      <c r="AG14" s="151">
        <v>0</v>
      </c>
      <c r="AI14" s="41"/>
      <c r="AJ14" s="151">
        <v>0</v>
      </c>
      <c r="AK14" s="151">
        <v>0</v>
      </c>
      <c r="AL14" s="151">
        <v>0</v>
      </c>
      <c r="AM14" s="151">
        <f>+$I$14</f>
        <v>5.4000000000000001E-4</v>
      </c>
      <c r="AN14" s="151">
        <v>0</v>
      </c>
      <c r="AO14" s="151">
        <v>0</v>
      </c>
      <c r="AP14" s="151">
        <v>0</v>
      </c>
      <c r="AQ14" s="151">
        <v>0</v>
      </c>
      <c r="AR14" s="151">
        <v>0</v>
      </c>
      <c r="AT14" s="41"/>
      <c r="AU14" s="151">
        <v>0</v>
      </c>
      <c r="AV14" s="151">
        <v>0</v>
      </c>
      <c r="AW14" s="151">
        <v>0</v>
      </c>
      <c r="AX14" s="151">
        <f>+$J$14</f>
        <v>5.4000000000000001E-4</v>
      </c>
      <c r="AY14" s="151">
        <v>0</v>
      </c>
      <c r="AZ14" s="151">
        <v>0</v>
      </c>
      <c r="BA14" s="151">
        <v>0</v>
      </c>
      <c r="BB14" s="151">
        <v>0</v>
      </c>
      <c r="BC14" s="151">
        <v>0</v>
      </c>
    </row>
    <row r="15" spans="1:55" ht="15.5">
      <c r="B15" s="64" t="s">
        <v>827</v>
      </c>
      <c r="G15" s="24">
        <f t="shared" si="28"/>
        <v>383346.00002399995</v>
      </c>
      <c r="H15" s="30">
        <f>+Assumptions!N38</f>
        <v>1.2E-5</v>
      </c>
      <c r="I15" s="30">
        <f>+Assumptions!O38</f>
        <v>383346</v>
      </c>
      <c r="J15" s="30">
        <f>+Assumptions!P38</f>
        <v>1.2E-5</v>
      </c>
      <c r="M15" s="151">
        <v>0</v>
      </c>
      <c r="N15" s="151">
        <v>0</v>
      </c>
      <c r="O15" s="151">
        <v>0</v>
      </c>
      <c r="P15" s="151">
        <v>0</v>
      </c>
      <c r="Q15" s="151">
        <f>+$G$15</f>
        <v>383346.00002399995</v>
      </c>
      <c r="R15" s="151">
        <v>0</v>
      </c>
      <c r="S15" s="151">
        <v>0</v>
      </c>
      <c r="T15" s="151">
        <v>0</v>
      </c>
      <c r="U15" s="151">
        <v>0</v>
      </c>
      <c r="X15" s="41"/>
      <c r="Y15" s="151">
        <v>0</v>
      </c>
      <c r="Z15" s="151">
        <v>0</v>
      </c>
      <c r="AA15" s="151">
        <v>0</v>
      </c>
      <c r="AB15" s="151">
        <v>0</v>
      </c>
      <c r="AC15" s="151">
        <f>+$H$15</f>
        <v>1.2E-5</v>
      </c>
      <c r="AD15" s="151">
        <v>0</v>
      </c>
      <c r="AE15" s="151">
        <v>0</v>
      </c>
      <c r="AF15" s="151">
        <v>0</v>
      </c>
      <c r="AG15" s="151">
        <v>0</v>
      </c>
      <c r="AI15" s="41"/>
      <c r="AJ15" s="151">
        <v>0</v>
      </c>
      <c r="AK15" s="151">
        <v>0</v>
      </c>
      <c r="AL15" s="151">
        <v>0</v>
      </c>
      <c r="AM15" s="151">
        <v>0</v>
      </c>
      <c r="AN15" s="151">
        <f>+$I$15</f>
        <v>383346</v>
      </c>
      <c r="AO15" s="151">
        <v>0</v>
      </c>
      <c r="AP15" s="151">
        <v>0</v>
      </c>
      <c r="AQ15" s="151">
        <v>0</v>
      </c>
      <c r="AR15" s="151">
        <v>0</v>
      </c>
      <c r="AT15" s="41"/>
      <c r="AU15" s="151">
        <v>0</v>
      </c>
      <c r="AV15" s="151">
        <v>0</v>
      </c>
      <c r="AW15" s="151">
        <v>0</v>
      </c>
      <c r="AX15" s="151">
        <v>0</v>
      </c>
      <c r="AY15" s="151">
        <f>+$J$15</f>
        <v>1.2E-5</v>
      </c>
      <c r="AZ15" s="151">
        <v>0</v>
      </c>
      <c r="BA15" s="151">
        <v>0</v>
      </c>
      <c r="BB15" s="151">
        <v>0</v>
      </c>
      <c r="BC15" s="151">
        <v>0</v>
      </c>
    </row>
    <row r="16" spans="1:55" ht="15.5">
      <c r="B16" s="64" t="s">
        <v>139</v>
      </c>
      <c r="G16" s="24">
        <f t="shared" si="28"/>
        <v>1086703.2000024</v>
      </c>
      <c r="H16" s="30">
        <f>+Assumptions!N39</f>
        <v>232240.8</v>
      </c>
      <c r="I16" s="30">
        <f>+Assumptions!O39</f>
        <v>1.1999999999999999E-6</v>
      </c>
      <c r="J16" s="30">
        <f>+Assumptions!P39</f>
        <v>854462.40000120003</v>
      </c>
      <c r="M16" s="151">
        <v>0</v>
      </c>
      <c r="N16" s="151">
        <v>0</v>
      </c>
      <c r="O16" s="151">
        <v>0</v>
      </c>
      <c r="P16" s="151">
        <v>0</v>
      </c>
      <c r="Q16" s="151">
        <v>0</v>
      </c>
      <c r="R16" s="151">
        <f>+$G$16</f>
        <v>1086703.2000024</v>
      </c>
      <c r="S16" s="151">
        <v>0</v>
      </c>
      <c r="T16" s="151">
        <v>0</v>
      </c>
      <c r="U16" s="151">
        <v>0</v>
      </c>
      <c r="X16" s="41"/>
      <c r="Y16" s="151">
        <v>0</v>
      </c>
      <c r="Z16" s="151">
        <v>0</v>
      </c>
      <c r="AA16" s="151">
        <v>0</v>
      </c>
      <c r="AB16" s="151">
        <v>0</v>
      </c>
      <c r="AC16" s="151">
        <v>0</v>
      </c>
      <c r="AD16" s="151">
        <f>+$H$16</f>
        <v>232240.8</v>
      </c>
      <c r="AE16" s="151">
        <v>0</v>
      </c>
      <c r="AF16" s="151">
        <v>0</v>
      </c>
      <c r="AG16" s="151">
        <v>0</v>
      </c>
      <c r="AI16" s="41"/>
      <c r="AJ16" s="151">
        <v>0</v>
      </c>
      <c r="AK16" s="151">
        <v>0</v>
      </c>
      <c r="AL16" s="151">
        <v>0</v>
      </c>
      <c r="AM16" s="151">
        <v>0</v>
      </c>
      <c r="AN16" s="151">
        <v>0</v>
      </c>
      <c r="AO16" s="151">
        <f>+$I$16</f>
        <v>1.1999999999999999E-6</v>
      </c>
      <c r="AP16" s="151">
        <v>0</v>
      </c>
      <c r="AQ16" s="151">
        <v>0</v>
      </c>
      <c r="AR16" s="151">
        <v>0</v>
      </c>
      <c r="AT16" s="41"/>
      <c r="AU16" s="151">
        <v>0</v>
      </c>
      <c r="AV16" s="151">
        <v>0</v>
      </c>
      <c r="AW16" s="151">
        <v>0</v>
      </c>
      <c r="AX16" s="151">
        <v>0</v>
      </c>
      <c r="AY16" s="151">
        <v>0</v>
      </c>
      <c r="AZ16" s="151">
        <f>+$J$16</f>
        <v>854462.40000120003</v>
      </c>
      <c r="BA16" s="151">
        <v>0</v>
      </c>
      <c r="BB16" s="151">
        <v>0</v>
      </c>
      <c r="BC16" s="151">
        <v>0</v>
      </c>
    </row>
    <row r="17" spans="2:55" s="41" customFormat="1" ht="15.5">
      <c r="B17" s="64" t="s">
        <v>710</v>
      </c>
      <c r="G17" s="24">
        <f t="shared" si="28"/>
        <v>168628.80012120001</v>
      </c>
      <c r="H17" s="30">
        <f>+Assumptions!N40</f>
        <v>1.1999999999999999E-6</v>
      </c>
      <c r="I17" s="30">
        <f>+Assumptions!O40</f>
        <v>168628.8</v>
      </c>
      <c r="J17" s="30">
        <f>+Assumptions!P40</f>
        <v>1.2E-4</v>
      </c>
      <c r="M17" s="151">
        <v>0</v>
      </c>
      <c r="N17" s="151">
        <v>0</v>
      </c>
      <c r="O17" s="151">
        <v>0</v>
      </c>
      <c r="P17" s="151">
        <v>0</v>
      </c>
      <c r="Q17" s="151">
        <v>0</v>
      </c>
      <c r="R17" s="151">
        <v>0</v>
      </c>
      <c r="S17" s="151">
        <f>+$G$17</f>
        <v>168628.80012120001</v>
      </c>
      <c r="T17" s="151">
        <v>0</v>
      </c>
      <c r="U17" s="151">
        <v>0</v>
      </c>
      <c r="Y17" s="151">
        <v>0</v>
      </c>
      <c r="Z17" s="151">
        <v>0</v>
      </c>
      <c r="AA17" s="151">
        <v>0</v>
      </c>
      <c r="AB17" s="151">
        <v>0</v>
      </c>
      <c r="AC17" s="151">
        <v>0</v>
      </c>
      <c r="AD17" s="151">
        <v>0</v>
      </c>
      <c r="AE17" s="151">
        <f>+$H$17</f>
        <v>1.1999999999999999E-6</v>
      </c>
      <c r="AF17" s="151">
        <v>0</v>
      </c>
      <c r="AG17" s="151">
        <v>0</v>
      </c>
      <c r="AJ17" s="151">
        <v>0</v>
      </c>
      <c r="AK17" s="151">
        <v>0</v>
      </c>
      <c r="AL17" s="151">
        <v>0</v>
      </c>
      <c r="AM17" s="151">
        <v>0</v>
      </c>
      <c r="AN17" s="151">
        <v>0</v>
      </c>
      <c r="AO17" s="151">
        <v>0</v>
      </c>
      <c r="AP17" s="151">
        <f>+$I$17</f>
        <v>168628.8</v>
      </c>
      <c r="AQ17" s="151">
        <v>0</v>
      </c>
      <c r="AR17" s="151">
        <v>0</v>
      </c>
      <c r="AU17" s="151">
        <v>0</v>
      </c>
      <c r="AV17" s="151">
        <v>0</v>
      </c>
      <c r="AW17" s="151">
        <v>0</v>
      </c>
      <c r="AX17" s="151">
        <v>0</v>
      </c>
      <c r="AY17" s="151">
        <v>0</v>
      </c>
      <c r="AZ17" s="151">
        <v>0</v>
      </c>
      <c r="BA17" s="151">
        <f>+$J$17</f>
        <v>1.2E-4</v>
      </c>
      <c r="BB17" s="151">
        <v>0</v>
      </c>
      <c r="BC17" s="151">
        <v>0</v>
      </c>
    </row>
    <row r="18" spans="2:55" ht="15.5">
      <c r="B18" s="64" t="s">
        <v>201</v>
      </c>
      <c r="G18" s="24">
        <f t="shared" si="28"/>
        <v>801096.00035999995</v>
      </c>
      <c r="H18" s="30">
        <f>+Assumptions!N41</f>
        <v>293102.39999999997</v>
      </c>
      <c r="I18" s="30">
        <f>+Assumptions!O41</f>
        <v>3.5999999999999997E-4</v>
      </c>
      <c r="J18" s="30">
        <f>+Assumptions!P41</f>
        <v>507993.59999999998</v>
      </c>
      <c r="M18" s="151">
        <v>0</v>
      </c>
      <c r="N18" s="151">
        <v>0</v>
      </c>
      <c r="O18" s="151">
        <v>0</v>
      </c>
      <c r="P18" s="151">
        <v>0</v>
      </c>
      <c r="Q18" s="151">
        <v>0</v>
      </c>
      <c r="R18" s="151">
        <v>0</v>
      </c>
      <c r="S18" s="151">
        <v>0</v>
      </c>
      <c r="T18" s="151">
        <f>+$G$18</f>
        <v>801096.00035999995</v>
      </c>
      <c r="U18" s="151">
        <v>0</v>
      </c>
      <c r="X18" s="41"/>
      <c r="Y18" s="151">
        <v>0</v>
      </c>
      <c r="Z18" s="151">
        <v>0</v>
      </c>
      <c r="AA18" s="151">
        <v>0</v>
      </c>
      <c r="AB18" s="151">
        <v>0</v>
      </c>
      <c r="AC18" s="151">
        <v>0</v>
      </c>
      <c r="AD18" s="151">
        <v>0</v>
      </c>
      <c r="AE18" s="151">
        <v>0</v>
      </c>
      <c r="AF18" s="151">
        <f>+$H$18</f>
        <v>293102.39999999997</v>
      </c>
      <c r="AG18" s="151">
        <v>0</v>
      </c>
      <c r="AI18" s="41"/>
      <c r="AJ18" s="151">
        <v>0</v>
      </c>
      <c r="AK18" s="151">
        <v>0</v>
      </c>
      <c r="AL18" s="151">
        <v>0</v>
      </c>
      <c r="AM18" s="151">
        <v>0</v>
      </c>
      <c r="AN18" s="151">
        <v>0</v>
      </c>
      <c r="AO18" s="151">
        <v>0</v>
      </c>
      <c r="AP18" s="151">
        <v>0</v>
      </c>
      <c r="AQ18" s="151">
        <f>+$I$18</f>
        <v>3.5999999999999997E-4</v>
      </c>
      <c r="AR18" s="151">
        <v>0</v>
      </c>
      <c r="AT18" s="41"/>
      <c r="AU18" s="151">
        <v>0</v>
      </c>
      <c r="AV18" s="151">
        <v>0</v>
      </c>
      <c r="AW18" s="151">
        <v>0</v>
      </c>
      <c r="AX18" s="151">
        <v>0</v>
      </c>
      <c r="AY18" s="151">
        <v>0</v>
      </c>
      <c r="AZ18" s="151">
        <v>0</v>
      </c>
      <c r="BA18" s="151">
        <v>0</v>
      </c>
      <c r="BB18" s="151">
        <f>+$J$18</f>
        <v>507993.59999999998</v>
      </c>
      <c r="BC18" s="151">
        <v>0</v>
      </c>
    </row>
    <row r="19" spans="2:55" ht="15.5">
      <c r="B19" s="64" t="s">
        <v>28</v>
      </c>
      <c r="G19" s="24">
        <f t="shared" si="28"/>
        <v>0</v>
      </c>
      <c r="H19" s="30">
        <f>+Assumptions!N42</f>
        <v>0</v>
      </c>
      <c r="I19" s="30">
        <f>+Assumptions!O42</f>
        <v>0</v>
      </c>
      <c r="J19" s="30">
        <f>+Assumptions!P42</f>
        <v>0</v>
      </c>
      <c r="M19" s="151">
        <v>0</v>
      </c>
      <c r="N19" s="151">
        <v>0</v>
      </c>
      <c r="O19" s="151">
        <v>0</v>
      </c>
      <c r="P19" s="151">
        <v>0</v>
      </c>
      <c r="Q19" s="151">
        <v>0</v>
      </c>
      <c r="R19" s="151">
        <v>0</v>
      </c>
      <c r="S19" s="151">
        <v>0</v>
      </c>
      <c r="T19" s="151">
        <v>0</v>
      </c>
      <c r="U19" s="151">
        <f>+$G$19</f>
        <v>0</v>
      </c>
      <c r="X19" s="41"/>
      <c r="Y19" s="151">
        <v>0</v>
      </c>
      <c r="Z19" s="151">
        <v>0</v>
      </c>
      <c r="AA19" s="151">
        <v>0</v>
      </c>
      <c r="AB19" s="151">
        <v>0</v>
      </c>
      <c r="AC19" s="151">
        <v>0</v>
      </c>
      <c r="AD19" s="151">
        <v>0</v>
      </c>
      <c r="AE19" s="151">
        <v>0</v>
      </c>
      <c r="AF19" s="151">
        <v>0</v>
      </c>
      <c r="AG19" s="151">
        <f>+$H$19</f>
        <v>0</v>
      </c>
      <c r="AI19" s="41"/>
      <c r="AJ19" s="151">
        <v>0</v>
      </c>
      <c r="AK19" s="151">
        <v>0</v>
      </c>
      <c r="AL19" s="151">
        <v>0</v>
      </c>
      <c r="AM19" s="151">
        <v>0</v>
      </c>
      <c r="AN19" s="151">
        <v>0</v>
      </c>
      <c r="AO19" s="151">
        <v>0</v>
      </c>
      <c r="AP19" s="151">
        <v>0</v>
      </c>
      <c r="AQ19" s="151">
        <v>0</v>
      </c>
      <c r="AR19" s="151">
        <f>+$I$19</f>
        <v>0</v>
      </c>
      <c r="AT19" s="41"/>
      <c r="AU19" s="151">
        <v>0</v>
      </c>
      <c r="AV19" s="151">
        <v>0</v>
      </c>
      <c r="AW19" s="151">
        <v>0</v>
      </c>
      <c r="AX19" s="151">
        <v>0</v>
      </c>
      <c r="AY19" s="151">
        <v>0</v>
      </c>
      <c r="AZ19" s="151">
        <v>0</v>
      </c>
      <c r="BA19" s="151">
        <v>0</v>
      </c>
      <c r="BB19" s="151">
        <v>0</v>
      </c>
      <c r="BC19" s="151">
        <f>+$J$19</f>
        <v>0</v>
      </c>
    </row>
    <row r="20" spans="2:55" ht="15.5">
      <c r="B20" s="14" t="s">
        <v>88</v>
      </c>
      <c r="G20" s="47">
        <f t="shared" si="28"/>
        <v>0.99999999999999989</v>
      </c>
      <c r="H20" s="25">
        <f>+H10/$G$10</f>
        <v>0.44635156743120891</v>
      </c>
      <c r="I20" s="25">
        <f t="shared" ref="I20:J20" si="30">+I10/$G$10</f>
        <v>0.12774473066277525</v>
      </c>
      <c r="J20" s="25">
        <f t="shared" si="30"/>
        <v>0.42590370190601579</v>
      </c>
      <c r="M20" s="47"/>
      <c r="N20" s="47"/>
      <c r="O20" s="47"/>
      <c r="P20" s="47"/>
      <c r="Q20" s="47"/>
      <c r="R20" s="47"/>
      <c r="S20" s="47"/>
      <c r="T20" s="47"/>
      <c r="U20" s="47"/>
      <c r="X20" s="41"/>
      <c r="Y20" s="47"/>
      <c r="Z20" s="47"/>
      <c r="AA20" s="47"/>
      <c r="AB20" s="47"/>
      <c r="AC20" s="47"/>
      <c r="AD20" s="47"/>
      <c r="AE20" s="47"/>
      <c r="AF20" s="47"/>
      <c r="AG20" s="47"/>
      <c r="AI20" s="41"/>
      <c r="AJ20" s="47"/>
      <c r="AK20" s="47"/>
      <c r="AL20" s="47"/>
      <c r="AM20" s="47"/>
      <c r="AN20" s="47"/>
      <c r="AO20" s="47"/>
      <c r="AP20" s="47"/>
      <c r="AQ20" s="47"/>
      <c r="AR20" s="47"/>
      <c r="AT20" s="41"/>
      <c r="AU20" s="47"/>
      <c r="AV20" s="47"/>
      <c r="AW20" s="47"/>
      <c r="AX20" s="47"/>
      <c r="AY20" s="47"/>
      <c r="AZ20" s="47"/>
      <c r="BA20" s="47"/>
      <c r="BB20" s="47"/>
      <c r="BC20" s="47"/>
    </row>
    <row r="21" spans="2:55" ht="15.5">
      <c r="B21" s="14"/>
      <c r="H21" s="403"/>
      <c r="I21" s="403"/>
      <c r="J21" s="403"/>
      <c r="M21" s="47"/>
      <c r="N21" s="47"/>
      <c r="O21" s="47"/>
      <c r="P21" s="47"/>
      <c r="Q21" s="47"/>
      <c r="R21" s="47"/>
      <c r="S21" s="47"/>
      <c r="T21" s="47"/>
      <c r="U21" s="47"/>
      <c r="X21" s="41"/>
      <c r="Y21" s="47"/>
      <c r="Z21" s="47"/>
      <c r="AA21" s="47"/>
      <c r="AB21" s="47"/>
      <c r="AC21" s="47"/>
      <c r="AD21" s="47"/>
      <c r="AE21" s="47"/>
      <c r="AF21" s="47"/>
      <c r="AG21" s="47"/>
      <c r="AI21" s="41"/>
      <c r="AJ21" s="47"/>
      <c r="AK21" s="47"/>
      <c r="AL21" s="47"/>
      <c r="AM21" s="47"/>
      <c r="AN21" s="47"/>
      <c r="AO21" s="47"/>
      <c r="AP21" s="47"/>
      <c r="AQ21" s="47"/>
      <c r="AR21" s="47"/>
      <c r="AT21" s="41"/>
      <c r="AU21" s="47"/>
      <c r="AV21" s="47"/>
      <c r="AW21" s="47"/>
      <c r="AX21" s="47"/>
      <c r="AY21" s="47"/>
      <c r="AZ21" s="47"/>
      <c r="BA21" s="47"/>
      <c r="BB21" s="47"/>
      <c r="BC21" s="47"/>
    </row>
    <row r="22" spans="2:55" ht="32.25" customHeight="1">
      <c r="B22" s="7" t="s">
        <v>63</v>
      </c>
      <c r="C22" s="8"/>
      <c r="D22" s="16"/>
      <c r="E22" s="16"/>
      <c r="F22" s="172" t="s">
        <v>55</v>
      </c>
      <c r="G22" s="7" t="s">
        <v>17</v>
      </c>
      <c r="H22" s="45" t="str">
        <f>+H4</f>
        <v>I</v>
      </c>
      <c r="I22" s="45" t="str">
        <f t="shared" ref="I22:J22" si="31">+I4</f>
        <v>II</v>
      </c>
      <c r="J22" s="45" t="str">
        <f t="shared" si="31"/>
        <v>III</v>
      </c>
      <c r="M22" s="212" t="str">
        <f t="shared" ref="M22:U22" ca="1" si="32">+M4</f>
        <v>Affordable Residential</v>
      </c>
      <c r="N22" s="212" t="str">
        <f t="shared" ca="1" si="32"/>
        <v>Multifamily</v>
      </c>
      <c r="O22" s="212" t="str">
        <f t="shared" ca="1" si="32"/>
        <v>Retail</v>
      </c>
      <c r="P22" s="212" t="str">
        <f t="shared" ca="1" si="32"/>
        <v>Hotel</v>
      </c>
      <c r="Q22" s="212" t="str">
        <f t="shared" ca="1" si="32"/>
        <v>Gallery &amp; Museum Facility</v>
      </c>
      <c r="R22" s="212" t="str">
        <f t="shared" ca="1" si="32"/>
        <v>Office</v>
      </c>
      <c r="S22" s="212" t="str">
        <f t="shared" ca="1" si="32"/>
        <v>School</v>
      </c>
      <c r="T22" s="212" t="str">
        <f t="shared" ca="1" si="32"/>
        <v>Structural Parking</v>
      </c>
      <c r="U22" s="212" t="str">
        <f t="shared" ca="1" si="32"/>
        <v>Surface Parking</v>
      </c>
      <c r="X22" s="41"/>
      <c r="Y22" s="691" t="str">
        <f t="shared" ref="Y22:AG22" ca="1" si="33">+Y4</f>
        <v>Affordable Residential</v>
      </c>
      <c r="Z22" s="691" t="str">
        <f t="shared" ca="1" si="33"/>
        <v>Multifamily</v>
      </c>
      <c r="AA22" s="691" t="str">
        <f t="shared" ca="1" si="33"/>
        <v>Retail</v>
      </c>
      <c r="AB22" s="691" t="str">
        <f t="shared" ca="1" si="33"/>
        <v>Hotel</v>
      </c>
      <c r="AC22" s="691" t="str">
        <f t="shared" ca="1" si="33"/>
        <v>Gallery &amp; Museum Facility</v>
      </c>
      <c r="AD22" s="691" t="str">
        <f t="shared" ca="1" si="33"/>
        <v>Office</v>
      </c>
      <c r="AE22" s="691" t="str">
        <f t="shared" ca="1" si="33"/>
        <v>School</v>
      </c>
      <c r="AF22" s="691" t="str">
        <f t="shared" ca="1" si="33"/>
        <v>Structural Parking</v>
      </c>
      <c r="AG22" s="691" t="str">
        <f t="shared" ca="1" si="33"/>
        <v>Surface Parking</v>
      </c>
      <c r="AI22" s="41"/>
      <c r="AJ22" s="691" t="str">
        <f t="shared" ref="AJ22:AR22" ca="1" si="34">+AJ4</f>
        <v>Affordable Residential</v>
      </c>
      <c r="AK22" s="691" t="str">
        <f t="shared" ca="1" si="34"/>
        <v>Multifamily</v>
      </c>
      <c r="AL22" s="691" t="str">
        <f t="shared" ca="1" si="34"/>
        <v>Retail</v>
      </c>
      <c r="AM22" s="691" t="str">
        <f t="shared" ca="1" si="34"/>
        <v>Hotel</v>
      </c>
      <c r="AN22" s="691" t="str">
        <f t="shared" ca="1" si="34"/>
        <v>Gallery &amp; Museum Facility</v>
      </c>
      <c r="AO22" s="691" t="str">
        <f t="shared" ca="1" si="34"/>
        <v>Office</v>
      </c>
      <c r="AP22" s="691" t="str">
        <f t="shared" ca="1" si="34"/>
        <v>School</v>
      </c>
      <c r="AQ22" s="691" t="str">
        <f t="shared" ca="1" si="34"/>
        <v>Structural Parking</v>
      </c>
      <c r="AR22" s="691" t="str">
        <f t="shared" ca="1" si="34"/>
        <v>Surface Parking</v>
      </c>
      <c r="AT22" s="41"/>
      <c r="AU22" s="691" t="str">
        <f t="shared" ref="AU22:BC22" ca="1" si="35">+AU4</f>
        <v>Affordable Residential</v>
      </c>
      <c r="AV22" s="691" t="str">
        <f t="shared" ca="1" si="35"/>
        <v>Multifamily</v>
      </c>
      <c r="AW22" s="691" t="str">
        <f t="shared" ca="1" si="35"/>
        <v>Retail</v>
      </c>
      <c r="AX22" s="691" t="str">
        <f t="shared" ca="1" si="35"/>
        <v>Hotel</v>
      </c>
      <c r="AY22" s="691" t="str">
        <f t="shared" ca="1" si="35"/>
        <v>Gallery &amp; Museum Facility</v>
      </c>
      <c r="AZ22" s="691" t="str">
        <f t="shared" ca="1" si="35"/>
        <v>Office</v>
      </c>
      <c r="BA22" s="691" t="str">
        <f t="shared" ca="1" si="35"/>
        <v>School</v>
      </c>
      <c r="BB22" s="691" t="str">
        <f t="shared" ca="1" si="35"/>
        <v>Structural Parking</v>
      </c>
      <c r="BC22" s="691" t="str">
        <f t="shared" ca="1" si="35"/>
        <v>Surface Parking</v>
      </c>
    </row>
    <row r="23" spans="2:55" ht="15.5">
      <c r="B23" s="9" t="s">
        <v>64</v>
      </c>
      <c r="C23" s="9"/>
      <c r="D23" s="17"/>
      <c r="E23" s="9"/>
      <c r="F23" s="105">
        <f>+G23/$G$10</f>
        <v>37.730054004658236</v>
      </c>
      <c r="G23" s="43">
        <f>+SUM(H23:J23)</f>
        <v>163028561.24956849</v>
      </c>
      <c r="H23" s="34">
        <f>'Acquisition &amp; Sales'!E4+'Acquisition &amp; Sales'!E5+'Acquisition &amp; Sales'!E8</f>
        <v>23250525.361561798</v>
      </c>
      <c r="I23" s="34">
        <f>'Acquisition &amp; Sales'!E6</f>
        <v>81611947</v>
      </c>
      <c r="J23" s="34">
        <f>'Acquisition &amp; Sales'!E7</f>
        <v>58166088.88800668</v>
      </c>
      <c r="M23" s="39">
        <f ca="1">+$H23*M$5+$I23*M$6+$J23*M$7</f>
        <v>7679493.4739032341</v>
      </c>
      <c r="N23" s="39">
        <f t="shared" ref="N23:U23" ca="1" si="36">+$H23*N$5+$I23*N$6+$J23*N$7</f>
        <v>18629962.110414583</v>
      </c>
      <c r="O23" s="39">
        <f t="shared" ca="1" si="36"/>
        <v>5710932.4756589672</v>
      </c>
      <c r="P23" s="39">
        <f t="shared" ca="1" si="36"/>
        <v>0.1620079856853622</v>
      </c>
      <c r="Q23" s="39">
        <f t="shared" ca="1" si="36"/>
        <v>56679421.746429175</v>
      </c>
      <c r="R23" s="39">
        <f t="shared" ca="1" si="36"/>
        <v>29806666.449593585</v>
      </c>
      <c r="S23" s="39">
        <f t="shared" ca="1" si="36"/>
        <v>24932522.77359204</v>
      </c>
      <c r="T23" s="39">
        <f t="shared" ca="1" si="36"/>
        <v>19589562.057968922</v>
      </c>
      <c r="U23" s="39">
        <f t="shared" ca="1" si="36"/>
        <v>0</v>
      </c>
      <c r="X23" s="41"/>
      <c r="Y23" s="39">
        <f ca="1">+$H23*Y$5+$I23*Y$6+$J23*Y$7</f>
        <v>7679492.2248519212</v>
      </c>
      <c r="Z23" s="39">
        <f t="shared" ref="Z23:AG23" ca="1" si="37">+$H23*Z$5+$I23*Z$6+$J23*Z$7</f>
        <v>3526910.0842836658</v>
      </c>
      <c r="AA23" s="39">
        <f t="shared" ca="1" si="37"/>
        <v>5710932.4754436137</v>
      </c>
      <c r="AB23" s="39">
        <f t="shared" ca="1" si="37"/>
        <v>6.5098832084079586E-2</v>
      </c>
      <c r="AC23" s="39">
        <f t="shared" ca="1" si="37"/>
        <v>1.4466407129795462E-4</v>
      </c>
      <c r="AD23" s="39">
        <f t="shared" ca="1" si="37"/>
        <v>2799741.637457835</v>
      </c>
      <c r="AE23" s="39">
        <f t="shared" ca="1" si="37"/>
        <v>1.4466407129795461E-5</v>
      </c>
      <c r="AF23" s="39">
        <f t="shared" ca="1" si="37"/>
        <v>3533448.8742668009</v>
      </c>
      <c r="AG23" s="39">
        <f t="shared" ca="1" si="37"/>
        <v>0</v>
      </c>
      <c r="AI23" s="41"/>
      <c r="AJ23" s="39">
        <f ca="1">+$H23*AJ$5+$I23*AJ$6+$J23*AJ$7</f>
        <v>1.0290671491328991</v>
      </c>
      <c r="AK23" s="39">
        <f t="shared" ref="AK23:AR23" ca="1" si="38">+$H23*AK$5+$I23*AK$6+$J23*AK$7</f>
        <v>1.321819010524155</v>
      </c>
      <c r="AL23" s="39">
        <f t="shared" ca="1" si="38"/>
        <v>1.7742537054015503E-4</v>
      </c>
      <c r="AM23" s="39">
        <f t="shared" ca="1" si="38"/>
        <v>7.9841416743069757E-2</v>
      </c>
      <c r="AN23" s="39">
        <f t="shared" ca="1" si="38"/>
        <v>56679421.745905228</v>
      </c>
      <c r="AO23" s="39">
        <f t="shared" ca="1" si="38"/>
        <v>1.7742537054015503E-4</v>
      </c>
      <c r="AP23" s="39">
        <f t="shared" ca="1" si="38"/>
        <v>24932522.769784745</v>
      </c>
      <c r="AQ23" s="39">
        <f t="shared" ca="1" si="38"/>
        <v>5.3227611162046509E-2</v>
      </c>
      <c r="AR23" s="39">
        <f t="shared" ca="1" si="38"/>
        <v>0</v>
      </c>
      <c r="AT23" s="41"/>
      <c r="AU23" s="39">
        <f ca="1">+$H23*AU$5+$I23*AU$6+$J23*AU$7</f>
        <v>0.21998416395029896</v>
      </c>
      <c r="AV23" s="39">
        <f t="shared" ref="AV23:BC23" ca="1" si="39">+$H23*AV$5+$I23*AV$6+$J23*AV$7</f>
        <v>15103050.704311907</v>
      </c>
      <c r="AW23" s="39">
        <f t="shared" ca="1" si="39"/>
        <v>3.7928304129361892E-5</v>
      </c>
      <c r="AX23" s="39">
        <f t="shared" ca="1" si="39"/>
        <v>1.7067736858212851E-2</v>
      </c>
      <c r="AY23" s="39">
        <f t="shared" ca="1" si="39"/>
        <v>3.7928304129361892E-4</v>
      </c>
      <c r="AZ23" s="39">
        <f t="shared" ca="1" si="39"/>
        <v>27006924.811958324</v>
      </c>
      <c r="BA23" s="39">
        <f t="shared" ca="1" si="39"/>
        <v>3.7928304129361892E-3</v>
      </c>
      <c r="BB23" s="39">
        <f t="shared" ca="1" si="39"/>
        <v>16056113.130474512</v>
      </c>
      <c r="BC23" s="39">
        <f t="shared" ca="1" si="39"/>
        <v>0</v>
      </c>
    </row>
    <row r="24" spans="2:55" ht="15.5">
      <c r="B24" s="12" t="s">
        <v>65</v>
      </c>
      <c r="C24" s="12"/>
      <c r="D24" s="12"/>
      <c r="E24" s="12"/>
      <c r="F24" s="106">
        <f t="shared" ref="F24" si="40">+G24/$G$10</f>
        <v>37.730054004658236</v>
      </c>
      <c r="G24" s="13">
        <f>+SUM(G23:G23)</f>
        <v>163028561.24956849</v>
      </c>
      <c r="H24" s="129">
        <f>+SUM(H23:H23)</f>
        <v>23250525.361561798</v>
      </c>
      <c r="I24" s="129">
        <f>+SUM(I23:I23)</f>
        <v>81611947</v>
      </c>
      <c r="J24" s="129">
        <f>+SUM(J23:J23)</f>
        <v>58166088.88800668</v>
      </c>
      <c r="M24" s="129">
        <f t="shared" ref="M24:U24" ca="1" si="41">+SUM(M23:M23)</f>
        <v>7679493.4739032341</v>
      </c>
      <c r="N24" s="129">
        <f t="shared" ca="1" si="41"/>
        <v>18629962.110414583</v>
      </c>
      <c r="O24" s="129">
        <f t="shared" ca="1" si="41"/>
        <v>5710932.4756589672</v>
      </c>
      <c r="P24" s="129">
        <f t="shared" ca="1" si="41"/>
        <v>0.1620079856853622</v>
      </c>
      <c r="Q24" s="129">
        <f t="shared" ca="1" si="41"/>
        <v>56679421.746429175</v>
      </c>
      <c r="R24" s="129">
        <f t="shared" ca="1" si="41"/>
        <v>29806666.449593585</v>
      </c>
      <c r="S24" s="129">
        <f t="shared" ca="1" si="41"/>
        <v>24932522.77359204</v>
      </c>
      <c r="T24" s="129">
        <f t="shared" ca="1" si="41"/>
        <v>19589562.057968922</v>
      </c>
      <c r="U24" s="129">
        <f t="shared" ca="1" si="41"/>
        <v>0</v>
      </c>
      <c r="X24" s="41"/>
      <c r="Y24" s="129">
        <f t="shared" ref="Y24:AG24" ca="1" si="42">+SUM(Y23:Y23)</f>
        <v>7679492.2248519212</v>
      </c>
      <c r="Z24" s="129">
        <f t="shared" ca="1" si="42"/>
        <v>3526910.0842836658</v>
      </c>
      <c r="AA24" s="129">
        <f t="shared" ca="1" si="42"/>
        <v>5710932.4754436137</v>
      </c>
      <c r="AB24" s="129">
        <f t="shared" ca="1" si="42"/>
        <v>6.5098832084079586E-2</v>
      </c>
      <c r="AC24" s="129">
        <f t="shared" ca="1" si="42"/>
        <v>1.4466407129795462E-4</v>
      </c>
      <c r="AD24" s="129">
        <f t="shared" ca="1" si="42"/>
        <v>2799741.637457835</v>
      </c>
      <c r="AE24" s="129">
        <f t="shared" ca="1" si="42"/>
        <v>1.4466407129795461E-5</v>
      </c>
      <c r="AF24" s="129">
        <f t="shared" ca="1" si="42"/>
        <v>3533448.8742668009</v>
      </c>
      <c r="AG24" s="129">
        <f t="shared" ca="1" si="42"/>
        <v>0</v>
      </c>
      <c r="AI24" s="41"/>
      <c r="AJ24" s="129">
        <f t="shared" ref="AJ24:AR24" ca="1" si="43">+SUM(AJ23:AJ23)</f>
        <v>1.0290671491328991</v>
      </c>
      <c r="AK24" s="129">
        <f t="shared" ca="1" si="43"/>
        <v>1.321819010524155</v>
      </c>
      <c r="AL24" s="129">
        <f t="shared" ca="1" si="43"/>
        <v>1.7742537054015503E-4</v>
      </c>
      <c r="AM24" s="129">
        <f t="shared" ca="1" si="43"/>
        <v>7.9841416743069757E-2</v>
      </c>
      <c r="AN24" s="129">
        <f t="shared" ca="1" si="43"/>
        <v>56679421.745905228</v>
      </c>
      <c r="AO24" s="129">
        <f t="shared" ca="1" si="43"/>
        <v>1.7742537054015503E-4</v>
      </c>
      <c r="AP24" s="129">
        <f t="shared" ca="1" si="43"/>
        <v>24932522.769784745</v>
      </c>
      <c r="AQ24" s="129">
        <f t="shared" ca="1" si="43"/>
        <v>5.3227611162046509E-2</v>
      </c>
      <c r="AR24" s="129">
        <f t="shared" ca="1" si="43"/>
        <v>0</v>
      </c>
      <c r="AT24" s="41"/>
      <c r="AU24" s="129">
        <f t="shared" ref="AU24:BC24" ca="1" si="44">+SUM(AU23:AU23)</f>
        <v>0.21998416395029896</v>
      </c>
      <c r="AV24" s="129">
        <f t="shared" ca="1" si="44"/>
        <v>15103050.704311907</v>
      </c>
      <c r="AW24" s="129">
        <f t="shared" ca="1" si="44"/>
        <v>3.7928304129361892E-5</v>
      </c>
      <c r="AX24" s="129">
        <f t="shared" ca="1" si="44"/>
        <v>1.7067736858212851E-2</v>
      </c>
      <c r="AY24" s="129">
        <f t="shared" ca="1" si="44"/>
        <v>3.7928304129361892E-4</v>
      </c>
      <c r="AZ24" s="129">
        <f t="shared" ca="1" si="44"/>
        <v>27006924.811958324</v>
      </c>
      <c r="BA24" s="129">
        <f t="shared" ca="1" si="44"/>
        <v>3.7928304129361892E-3</v>
      </c>
      <c r="BB24" s="129">
        <f t="shared" ca="1" si="44"/>
        <v>16056113.130474512</v>
      </c>
      <c r="BC24" s="129">
        <f t="shared" ca="1" si="44"/>
        <v>0</v>
      </c>
    </row>
    <row r="25" spans="2:55">
      <c r="B25" s="9"/>
      <c r="C25" s="9"/>
      <c r="D25" s="9"/>
      <c r="E25" s="9"/>
      <c r="F25" s="9"/>
      <c r="G25" s="9"/>
      <c r="H25" s="9"/>
      <c r="I25" s="9"/>
      <c r="J25" s="9"/>
      <c r="M25" s="213"/>
      <c r="N25" s="213"/>
      <c r="O25" s="213"/>
      <c r="P25" s="213"/>
      <c r="Q25" s="213"/>
      <c r="R25" s="213"/>
      <c r="S25" s="213"/>
      <c r="T25" s="213"/>
      <c r="U25" s="213"/>
      <c r="X25" s="41"/>
      <c r="Y25" s="213"/>
      <c r="Z25" s="213"/>
      <c r="AA25" s="213"/>
      <c r="AB25" s="213"/>
      <c r="AC25" s="213"/>
      <c r="AD25" s="213"/>
      <c r="AE25" s="213"/>
      <c r="AF25" s="213"/>
      <c r="AG25" s="213"/>
      <c r="AI25" s="41"/>
      <c r="AJ25" s="213"/>
      <c r="AK25" s="213"/>
      <c r="AL25" s="213"/>
      <c r="AM25" s="213"/>
      <c r="AN25" s="213"/>
      <c r="AO25" s="213"/>
      <c r="AP25" s="213"/>
      <c r="AQ25" s="213"/>
      <c r="AR25" s="213"/>
      <c r="AT25" s="41"/>
      <c r="AU25" s="213"/>
      <c r="AV25" s="213"/>
      <c r="AW25" s="213"/>
      <c r="AX25" s="213"/>
      <c r="AY25" s="213"/>
      <c r="AZ25" s="213"/>
      <c r="BA25" s="213"/>
      <c r="BB25" s="213"/>
      <c r="BC25" s="213"/>
    </row>
    <row r="26" spans="2:55" ht="32.25" customHeight="1">
      <c r="B26" s="15" t="s">
        <v>8</v>
      </c>
      <c r="C26" s="16"/>
      <c r="D26" s="16"/>
      <c r="E26" s="16"/>
      <c r="F26" s="16"/>
      <c r="G26" s="15" t="s">
        <v>17</v>
      </c>
      <c r="H26" s="23" t="str">
        <f>+H$22</f>
        <v>I</v>
      </c>
      <c r="I26" s="23" t="str">
        <f t="shared" ref="I26:J26" si="45">+I$22</f>
        <v>II</v>
      </c>
      <c r="J26" s="46" t="str">
        <f t="shared" si="45"/>
        <v>III</v>
      </c>
      <c r="M26" s="214" t="str">
        <f t="shared" ref="M26:U26" ca="1" si="46">+M$22</f>
        <v>Affordable Residential</v>
      </c>
      <c r="N26" s="214" t="str">
        <f t="shared" ca="1" si="46"/>
        <v>Multifamily</v>
      </c>
      <c r="O26" s="214" t="str">
        <f t="shared" ca="1" si="46"/>
        <v>Retail</v>
      </c>
      <c r="P26" s="214" t="str">
        <f t="shared" ca="1" si="46"/>
        <v>Hotel</v>
      </c>
      <c r="Q26" s="214" t="str">
        <f t="shared" ca="1" si="46"/>
        <v>Gallery &amp; Museum Facility</v>
      </c>
      <c r="R26" s="214" t="str">
        <f t="shared" ca="1" si="46"/>
        <v>Office</v>
      </c>
      <c r="S26" s="214" t="str">
        <f t="shared" ca="1" si="46"/>
        <v>School</v>
      </c>
      <c r="T26" s="214" t="str">
        <f t="shared" ca="1" si="46"/>
        <v>Structural Parking</v>
      </c>
      <c r="U26" s="214" t="str">
        <f t="shared" ca="1" si="46"/>
        <v>Surface Parking</v>
      </c>
      <c r="X26" s="41"/>
      <c r="Y26" s="214" t="str">
        <f t="shared" ref="Y26:AG26" ca="1" si="47">+Y$22</f>
        <v>Affordable Residential</v>
      </c>
      <c r="Z26" s="214" t="str">
        <f t="shared" ca="1" si="47"/>
        <v>Multifamily</v>
      </c>
      <c r="AA26" s="214" t="str">
        <f t="shared" ca="1" si="47"/>
        <v>Retail</v>
      </c>
      <c r="AB26" s="214" t="str">
        <f t="shared" ca="1" si="47"/>
        <v>Hotel</v>
      </c>
      <c r="AC26" s="214" t="str">
        <f t="shared" ca="1" si="47"/>
        <v>Gallery &amp; Museum Facility</v>
      </c>
      <c r="AD26" s="214" t="str">
        <f t="shared" ca="1" si="47"/>
        <v>Office</v>
      </c>
      <c r="AE26" s="214" t="str">
        <f t="shared" ca="1" si="47"/>
        <v>School</v>
      </c>
      <c r="AF26" s="214" t="str">
        <f t="shared" ca="1" si="47"/>
        <v>Structural Parking</v>
      </c>
      <c r="AG26" s="214" t="str">
        <f t="shared" ca="1" si="47"/>
        <v>Surface Parking</v>
      </c>
      <c r="AI26" s="41"/>
      <c r="AJ26" s="214" t="str">
        <f t="shared" ref="AJ26:AR26" ca="1" si="48">+AJ$22</f>
        <v>Affordable Residential</v>
      </c>
      <c r="AK26" s="214" t="str">
        <f t="shared" ca="1" si="48"/>
        <v>Multifamily</v>
      </c>
      <c r="AL26" s="214" t="str">
        <f t="shared" ca="1" si="48"/>
        <v>Retail</v>
      </c>
      <c r="AM26" s="214" t="str">
        <f t="shared" ca="1" si="48"/>
        <v>Hotel</v>
      </c>
      <c r="AN26" s="214" t="str">
        <f t="shared" ca="1" si="48"/>
        <v>Gallery &amp; Museum Facility</v>
      </c>
      <c r="AO26" s="214" t="str">
        <f t="shared" ca="1" si="48"/>
        <v>Office</v>
      </c>
      <c r="AP26" s="214" t="str">
        <f t="shared" ca="1" si="48"/>
        <v>School</v>
      </c>
      <c r="AQ26" s="214" t="str">
        <f t="shared" ca="1" si="48"/>
        <v>Structural Parking</v>
      </c>
      <c r="AR26" s="214" t="str">
        <f t="shared" ca="1" si="48"/>
        <v>Surface Parking</v>
      </c>
      <c r="AT26" s="41"/>
      <c r="AU26" s="214" t="str">
        <f t="shared" ref="AU26:BC26" ca="1" si="49">+AU$22</f>
        <v>Affordable Residential</v>
      </c>
      <c r="AV26" s="214" t="str">
        <f t="shared" ca="1" si="49"/>
        <v>Multifamily</v>
      </c>
      <c r="AW26" s="214" t="str">
        <f t="shared" ca="1" si="49"/>
        <v>Retail</v>
      </c>
      <c r="AX26" s="214" t="str">
        <f t="shared" ca="1" si="49"/>
        <v>Hotel</v>
      </c>
      <c r="AY26" s="214" t="str">
        <f t="shared" ca="1" si="49"/>
        <v>Gallery &amp; Museum Facility</v>
      </c>
      <c r="AZ26" s="214" t="str">
        <f t="shared" ca="1" si="49"/>
        <v>Office</v>
      </c>
      <c r="BA26" s="214" t="str">
        <f t="shared" ca="1" si="49"/>
        <v>School</v>
      </c>
      <c r="BB26" s="214" t="str">
        <f t="shared" ca="1" si="49"/>
        <v>Structural Parking</v>
      </c>
      <c r="BC26" s="214" t="str">
        <f t="shared" ca="1" si="49"/>
        <v>Surface Parking</v>
      </c>
    </row>
    <row r="27" spans="2:55" ht="15.5">
      <c r="B27" s="9" t="s">
        <v>525</v>
      </c>
      <c r="C27" s="9"/>
      <c r="D27" s="40"/>
      <c r="E27" s="20"/>
      <c r="F27" s="105">
        <f t="shared" ref="F27:F31" si="50">+G27/$G$10</f>
        <v>2.9689796889021518</v>
      </c>
      <c r="G27" s="43">
        <f>+SUM(H27:J27)</f>
        <v>12828725</v>
      </c>
      <c r="H27" s="34">
        <f>Infra!G10+Infra!G15</f>
        <v>10891205</v>
      </c>
      <c r="I27" s="34">
        <f>Infra!H10+Infra!H15</f>
        <v>968759.99999999988</v>
      </c>
      <c r="J27" s="34">
        <f>Infra!I10+Infra!I15</f>
        <v>968759.99999999988</v>
      </c>
      <c r="M27" s="39">
        <f t="shared" ref="M27:U30" ca="1" si="51">+$H27*M$5+$I27*M$6+$J27*M$7</f>
        <v>3597291.8110591047</v>
      </c>
      <c r="N27" s="39">
        <f t="shared" ca="1" si="51"/>
        <v>1903646.9453722441</v>
      </c>
      <c r="O27" s="39">
        <f t="shared" ca="1" si="51"/>
        <v>2675162.6195125021</v>
      </c>
      <c r="P27" s="39">
        <f t="shared" ca="1" si="51"/>
        <v>3.1726145358241795E-2</v>
      </c>
      <c r="Q27" s="39">
        <f t="shared" ca="1" si="51"/>
        <v>672802.92451066128</v>
      </c>
      <c r="R27" s="39">
        <f t="shared" ca="1" si="51"/>
        <v>1761280.4200236883</v>
      </c>
      <c r="S27" s="39">
        <f t="shared" ca="1" si="51"/>
        <v>295957.04614380933</v>
      </c>
      <c r="T27" s="39">
        <f t="shared" ca="1" si="51"/>
        <v>1922583.2016518451</v>
      </c>
      <c r="U27" s="39">
        <f t="shared" ca="1" si="51"/>
        <v>0</v>
      </c>
      <c r="X27" s="41"/>
      <c r="Y27" s="39">
        <f t="shared" ref="Y27:AG30" ca="1" si="52">+$H27*Y$5+$I27*Y$6+$J27*Y$7</f>
        <v>3597291.795179897</v>
      </c>
      <c r="Z27" s="39">
        <f t="shared" ca="1" si="52"/>
        <v>1652104.6362248922</v>
      </c>
      <c r="AA27" s="39">
        <f t="shared" ca="1" si="52"/>
        <v>2675162.619509764</v>
      </c>
      <c r="AB27" s="39">
        <f t="shared" ca="1" si="52"/>
        <v>3.0494137851200035E-2</v>
      </c>
      <c r="AC27" s="39">
        <f t="shared" ca="1" si="52"/>
        <v>6.7764750780444511E-5</v>
      </c>
      <c r="AD27" s="39">
        <f t="shared" ca="1" si="52"/>
        <v>1311478.3277542549</v>
      </c>
      <c r="AE27" s="39">
        <f t="shared" ca="1" si="52"/>
        <v>6.7764750780444513E-6</v>
      </c>
      <c r="AF27" s="39">
        <f t="shared" ca="1" si="52"/>
        <v>1655167.5907625132</v>
      </c>
      <c r="AG27" s="39">
        <f t="shared" ca="1" si="52"/>
        <v>0</v>
      </c>
      <c r="AI27" s="41"/>
      <c r="AJ27" s="39">
        <f t="shared" ref="AJ27:AR30" ca="1" si="53">+$H27*AJ$5+$I27*AJ$6+$J27*AJ$7</f>
        <v>1.2215357285790365E-2</v>
      </c>
      <c r="AK27" s="39">
        <f t="shared" ca="1" si="53"/>
        <v>1.5690415823989352E-2</v>
      </c>
      <c r="AL27" s="39">
        <f t="shared" ca="1" si="53"/>
        <v>2.1060960837569598E-6</v>
      </c>
      <c r="AM27" s="39">
        <f t="shared" ca="1" si="53"/>
        <v>9.4774323769063196E-4</v>
      </c>
      <c r="AN27" s="39">
        <f t="shared" ca="1" si="53"/>
        <v>672802.92443657957</v>
      </c>
      <c r="AO27" s="39">
        <f t="shared" ca="1" si="53"/>
        <v>2.1060960837569598E-6</v>
      </c>
      <c r="AP27" s="39">
        <f t="shared" ca="1" si="53"/>
        <v>295957.04607386299</v>
      </c>
      <c r="AQ27" s="39">
        <f t="shared" ca="1" si="53"/>
        <v>6.3182882512708793E-4</v>
      </c>
      <c r="AR27" s="39">
        <f t="shared" ca="1" si="53"/>
        <v>0</v>
      </c>
      <c r="AT27" s="41"/>
      <c r="AU27" s="39">
        <f t="shared" ref="AU27:BC30" ca="1" si="54">+$H27*AU$5+$I27*AU$6+$J27*AU$7</f>
        <v>3.6638505827479373E-3</v>
      </c>
      <c r="AV27" s="39">
        <f t="shared" ca="1" si="54"/>
        <v>251542.29345693602</v>
      </c>
      <c r="AW27" s="39">
        <f t="shared" ca="1" si="54"/>
        <v>6.3169837633585127E-7</v>
      </c>
      <c r="AX27" s="39">
        <f t="shared" ca="1" si="54"/>
        <v>2.8426426935113309E-4</v>
      </c>
      <c r="AY27" s="39">
        <f t="shared" ca="1" si="54"/>
        <v>6.316983763358513E-6</v>
      </c>
      <c r="AZ27" s="39">
        <f t="shared" ca="1" si="54"/>
        <v>449802.0922673273</v>
      </c>
      <c r="BA27" s="39">
        <f t="shared" ca="1" si="54"/>
        <v>6.3169837633585124E-5</v>
      </c>
      <c r="BB27" s="39">
        <f t="shared" ca="1" si="54"/>
        <v>267415.61025750323</v>
      </c>
      <c r="BC27" s="39">
        <f t="shared" ca="1" si="54"/>
        <v>0</v>
      </c>
    </row>
    <row r="28" spans="2:55" ht="15.5">
      <c r="B28" s="9" t="s">
        <v>38</v>
      </c>
      <c r="C28" s="9"/>
      <c r="D28" s="17"/>
      <c r="F28" s="105">
        <f t="shared" si="50"/>
        <v>1.4254867908166438</v>
      </c>
      <c r="G28" s="29">
        <f>+SUM(H28:J28)</f>
        <v>6159415</v>
      </c>
      <c r="H28" s="39">
        <f>SUM(Infra!G16,Infra!G18:G21)</f>
        <v>2634335</v>
      </c>
      <c r="I28" s="39">
        <f>SUM(Infra!H16,Infra!H18:H21)</f>
        <v>1798480</v>
      </c>
      <c r="J28" s="39">
        <f>SUM(Infra!I16,Infra!I18:I21)</f>
        <v>1726600</v>
      </c>
      <c r="M28" s="39">
        <f t="shared" ca="1" si="51"/>
        <v>870103.17034344294</v>
      </c>
      <c r="N28" s="39">
        <f t="shared" ca="1" si="51"/>
        <v>847924.98894489405</v>
      </c>
      <c r="O28" s="39">
        <f t="shared" ca="1" si="51"/>
        <v>647061.04781987856</v>
      </c>
      <c r="P28" s="39">
        <f t="shared" ca="1" si="51"/>
        <v>9.6419399426105057E-3</v>
      </c>
      <c r="Q28" s="39">
        <f t="shared" ca="1" si="51"/>
        <v>1249042.6974353662</v>
      </c>
      <c r="R28" s="39">
        <f t="shared" ca="1" si="51"/>
        <v>1118889.3484682611</v>
      </c>
      <c r="S28" s="39">
        <f t="shared" ca="1" si="51"/>
        <v>549437.2479598436</v>
      </c>
      <c r="T28" s="39">
        <f t="shared" ca="1" si="51"/>
        <v>876956.48938637413</v>
      </c>
      <c r="U28" s="39">
        <f t="shared" ca="1" si="51"/>
        <v>0</v>
      </c>
      <c r="V28" s="116"/>
      <c r="W28" s="116"/>
      <c r="X28" s="41"/>
      <c r="Y28" s="39">
        <f t="shared" ca="1" si="52"/>
        <v>870103.14113591972</v>
      </c>
      <c r="Z28" s="39">
        <f t="shared" ca="1" si="52"/>
        <v>399606.56941720418</v>
      </c>
      <c r="AA28" s="39">
        <f t="shared" ca="1" si="52"/>
        <v>647061.04781484278</v>
      </c>
      <c r="AB28" s="39">
        <f t="shared" ca="1" si="52"/>
        <v>7.3758390036952797E-3</v>
      </c>
      <c r="AC28" s="39">
        <f t="shared" ca="1" si="52"/>
        <v>1.6390753341545064E-5</v>
      </c>
      <c r="AD28" s="39">
        <f t="shared" ca="1" si="52"/>
        <v>317216.80572025821</v>
      </c>
      <c r="AE28" s="39">
        <f t="shared" ca="1" si="52"/>
        <v>1.6390753341545062E-6</v>
      </c>
      <c r="AF28" s="39">
        <f t="shared" ca="1" si="52"/>
        <v>400347.42851790646</v>
      </c>
      <c r="AG28" s="39">
        <f t="shared" ca="1" si="52"/>
        <v>0</v>
      </c>
      <c r="AI28" s="41"/>
      <c r="AJ28" s="39">
        <f t="shared" ca="1" si="53"/>
        <v>2.2677521544395163E-2</v>
      </c>
      <c r="AK28" s="39">
        <f t="shared" ca="1" si="53"/>
        <v>2.9128885432024826E-2</v>
      </c>
      <c r="AL28" s="39">
        <f t="shared" ca="1" si="53"/>
        <v>3.9099175076543394E-6</v>
      </c>
      <c r="AM28" s="39">
        <f t="shared" ca="1" si="53"/>
        <v>1.7594628784444526E-3</v>
      </c>
      <c r="AN28" s="39">
        <f t="shared" ca="1" si="53"/>
        <v>1249042.6974077169</v>
      </c>
      <c r="AO28" s="39">
        <f t="shared" ca="1" si="53"/>
        <v>3.9099175076543394E-6</v>
      </c>
      <c r="AP28" s="39">
        <f t="shared" ca="1" si="53"/>
        <v>549437.24784561829</v>
      </c>
      <c r="AQ28" s="39">
        <f t="shared" ca="1" si="53"/>
        <v>1.1729752522963016E-3</v>
      </c>
      <c r="AR28" s="39">
        <f t="shared" ca="1" si="53"/>
        <v>0</v>
      </c>
      <c r="AT28" s="41"/>
      <c r="AU28" s="39">
        <f t="shared" ca="1" si="54"/>
        <v>6.5300016682899682E-3</v>
      </c>
      <c r="AV28" s="39">
        <f t="shared" ca="1" si="54"/>
        <v>448318.39039880445</v>
      </c>
      <c r="AW28" s="39">
        <f t="shared" ca="1" si="54"/>
        <v>1.1258623566017186E-6</v>
      </c>
      <c r="AX28" s="39">
        <f t="shared" ca="1" si="54"/>
        <v>5.0663806047077336E-4</v>
      </c>
      <c r="AY28" s="39">
        <f t="shared" ca="1" si="54"/>
        <v>1.1258623566017187E-5</v>
      </c>
      <c r="AZ28" s="39">
        <f t="shared" ca="1" si="54"/>
        <v>801672.54274409288</v>
      </c>
      <c r="BA28" s="39">
        <f t="shared" ca="1" si="54"/>
        <v>1.1258623566017186E-4</v>
      </c>
      <c r="BB28" s="39">
        <f t="shared" ca="1" si="54"/>
        <v>476609.05969549238</v>
      </c>
      <c r="BC28" s="39">
        <f t="shared" ca="1" si="54"/>
        <v>0</v>
      </c>
    </row>
    <row r="29" spans="2:55" ht="15.5">
      <c r="B29" s="9" t="s">
        <v>61</v>
      </c>
      <c r="C29" s="9"/>
      <c r="D29" s="17"/>
      <c r="E29" s="9"/>
      <c r="F29" s="105">
        <f t="shared" si="50"/>
        <v>1.5726371268669765</v>
      </c>
      <c r="G29" s="29">
        <f>+SUM(H29:J29)</f>
        <v>6795239.8936170209</v>
      </c>
      <c r="H29" s="39">
        <f>Infra!G22</f>
        <v>2825109.0425531915</v>
      </c>
      <c r="I29" s="39">
        <f>Infra!H22</f>
        <v>2810065.4255319149</v>
      </c>
      <c r="J29" s="39">
        <f>Infra!I22</f>
        <v>1160065.4255319149</v>
      </c>
      <c r="M29" s="39">
        <f t="shared" ca="1" si="51"/>
        <v>933114.56472957495</v>
      </c>
      <c r="N29" s="39">
        <f t="shared" ca="1" si="51"/>
        <v>729760.92994938523</v>
      </c>
      <c r="O29" s="39">
        <f t="shared" ca="1" si="51"/>
        <v>693920.10404285765</v>
      </c>
      <c r="P29" s="39">
        <f t="shared" ca="1" si="51"/>
        <v>1.0999486357874712E-2</v>
      </c>
      <c r="Q29" s="39">
        <f t="shared" ca="1" si="51"/>
        <v>1951587.8403116881</v>
      </c>
      <c r="R29" s="39">
        <f t="shared" ca="1" si="51"/>
        <v>878815.65410732641</v>
      </c>
      <c r="S29" s="39">
        <f t="shared" ca="1" si="51"/>
        <v>858477.49978292093</v>
      </c>
      <c r="T29" s="39">
        <f t="shared" ca="1" si="51"/>
        <v>749563.28969378234</v>
      </c>
      <c r="U29" s="39">
        <f t="shared" ca="1" si="51"/>
        <v>0</v>
      </c>
      <c r="X29" s="41"/>
      <c r="Y29" s="39">
        <f t="shared" ca="1" si="52"/>
        <v>933114.524909331</v>
      </c>
      <c r="Z29" s="39">
        <f t="shared" ca="1" si="52"/>
        <v>428545.39484317793</v>
      </c>
      <c r="AA29" s="39">
        <f t="shared" ca="1" si="52"/>
        <v>693920.10403599206</v>
      </c>
      <c r="AB29" s="39">
        <f t="shared" ca="1" si="52"/>
        <v>7.9099846700423672E-3</v>
      </c>
      <c r="AC29" s="39">
        <f t="shared" ca="1" si="52"/>
        <v>1.7577743711205258E-5</v>
      </c>
      <c r="AD29" s="39">
        <f t="shared" ca="1" si="52"/>
        <v>340189.10514043982</v>
      </c>
      <c r="AE29" s="39">
        <f t="shared" ca="1" si="52"/>
        <v>1.7577743711205256E-6</v>
      </c>
      <c r="AF29" s="39">
        <f t="shared" ca="1" si="52"/>
        <v>429339.90569493058</v>
      </c>
      <c r="AG29" s="39">
        <f t="shared" ca="1" si="52"/>
        <v>0</v>
      </c>
      <c r="AI29" s="41"/>
      <c r="AJ29" s="39">
        <f t="shared" ca="1" si="53"/>
        <v>3.5432876222510103E-2</v>
      </c>
      <c r="AK29" s="39">
        <f t="shared" ca="1" si="53"/>
        <v>4.5512918596155222E-2</v>
      </c>
      <c r="AL29" s="39">
        <f t="shared" ca="1" si="53"/>
        <v>6.109116590087949E-6</v>
      </c>
      <c r="AM29" s="39">
        <f t="shared" ca="1" si="53"/>
        <v>2.7491024655395772E-3</v>
      </c>
      <c r="AN29" s="39">
        <f t="shared" ca="1" si="53"/>
        <v>1951587.8402865459</v>
      </c>
      <c r="AO29" s="39">
        <f t="shared" ca="1" si="53"/>
        <v>6.109116590087949E-6</v>
      </c>
      <c r="AP29" s="39">
        <f t="shared" ca="1" si="53"/>
        <v>858477.49970551895</v>
      </c>
      <c r="AQ29" s="39">
        <f t="shared" ca="1" si="53"/>
        <v>1.8327349770263846E-3</v>
      </c>
      <c r="AR29" s="39">
        <f t="shared" ca="1" si="53"/>
        <v>0</v>
      </c>
      <c r="AT29" s="41"/>
      <c r="AU29" s="39">
        <f t="shared" ca="1" si="54"/>
        <v>4.3873677539956659E-3</v>
      </c>
      <c r="AV29" s="39">
        <f t="shared" ca="1" si="54"/>
        <v>301215.48959328869</v>
      </c>
      <c r="AW29" s="39">
        <f t="shared" ca="1" si="54"/>
        <v>7.5644271620614931E-7</v>
      </c>
      <c r="AX29" s="39">
        <f t="shared" ca="1" si="54"/>
        <v>3.4039922229276717E-4</v>
      </c>
      <c r="AY29" s="39">
        <f t="shared" ca="1" si="54"/>
        <v>7.5644271620614929E-6</v>
      </c>
      <c r="AZ29" s="39">
        <f t="shared" ca="1" si="54"/>
        <v>538626.54896077747</v>
      </c>
      <c r="BA29" s="39">
        <f t="shared" ca="1" si="54"/>
        <v>7.5644271620614926E-5</v>
      </c>
      <c r="BB29" s="39">
        <f t="shared" ca="1" si="54"/>
        <v>320223.38216611673</v>
      </c>
      <c r="BC29" s="39">
        <f t="shared" ca="1" si="54"/>
        <v>0</v>
      </c>
    </row>
    <row r="30" spans="2:55" ht="15.5">
      <c r="B30" s="9" t="s">
        <v>358</v>
      </c>
      <c r="C30" s="9"/>
      <c r="D30" s="40"/>
      <c r="E30" s="20"/>
      <c r="F30" s="105">
        <f t="shared" si="50"/>
        <v>4.9156193302359901</v>
      </c>
      <c r="G30" s="531">
        <f>+SUM(H30:J30)</f>
        <v>21240000</v>
      </c>
      <c r="H30" s="39">
        <f>SUM(Infra!G6:G7)</f>
        <v>8992500</v>
      </c>
      <c r="I30" s="39">
        <f>SUM(Infra!H6:H7)</f>
        <v>8347500</v>
      </c>
      <c r="J30" s="39">
        <f>SUM(Infra!I6:I7)</f>
        <v>3900000</v>
      </c>
      <c r="M30" s="39">
        <f t="shared" ca="1" si="51"/>
        <v>2970162.4177638558</v>
      </c>
      <c r="N30" s="39">
        <f t="shared" ca="1" si="51"/>
        <v>2376737.2502785707</v>
      </c>
      <c r="O30" s="39">
        <f t="shared" ca="1" si="51"/>
        <v>2208791.3923360086</v>
      </c>
      <c r="P30" s="39">
        <f t="shared" ca="1" si="51"/>
        <v>3.4488765644517291E-2</v>
      </c>
      <c r="Q30" s="39">
        <f t="shared" ca="1" si="51"/>
        <v>5797331.0332932705</v>
      </c>
      <c r="R30" s="39">
        <f t="shared" ca="1" si="51"/>
        <v>2893640.818744882</v>
      </c>
      <c r="S30" s="39">
        <f t="shared" ca="1" si="51"/>
        <v>2550168.7129457807</v>
      </c>
      <c r="T30" s="39">
        <f t="shared" ca="1" si="51"/>
        <v>2443168.340148868</v>
      </c>
      <c r="U30" s="39">
        <f t="shared" ca="1" si="51"/>
        <v>0</v>
      </c>
      <c r="X30" s="41"/>
      <c r="Y30" s="39">
        <f t="shared" ca="1" si="52"/>
        <v>2970162.2977581657</v>
      </c>
      <c r="Z30" s="39">
        <f t="shared" ca="1" si="52"/>
        <v>1364086.9803894374</v>
      </c>
      <c r="AA30" s="39">
        <f t="shared" ca="1" si="52"/>
        <v>2208791.3923153179</v>
      </c>
      <c r="AB30" s="39">
        <f t="shared" ca="1" si="52"/>
        <v>2.5177979353700194E-2</v>
      </c>
      <c r="AC30" s="39">
        <f t="shared" ca="1" si="52"/>
        <v>5.5951065230444873E-5</v>
      </c>
      <c r="AD30" s="39">
        <f t="shared" ca="1" si="52"/>
        <v>1082843.3458308917</v>
      </c>
      <c r="AE30" s="39">
        <f t="shared" ca="1" si="52"/>
        <v>5.5951065230444862E-6</v>
      </c>
      <c r="AF30" s="39">
        <f t="shared" ca="1" si="52"/>
        <v>1366615.9584666619</v>
      </c>
      <c r="AG30" s="39">
        <f t="shared" ca="1" si="52"/>
        <v>0</v>
      </c>
      <c r="AI30" s="41"/>
      <c r="AJ30" s="39">
        <f t="shared" ca="1" si="53"/>
        <v>0.10525588891277002</v>
      </c>
      <c r="AK30" s="39">
        <f t="shared" ca="1" si="53"/>
        <v>0.13519937455174771</v>
      </c>
      <c r="AL30" s="39">
        <f t="shared" ca="1" si="53"/>
        <v>1.814756705392587E-5</v>
      </c>
      <c r="AM30" s="39">
        <f t="shared" ca="1" si="53"/>
        <v>8.1664051742666409E-3</v>
      </c>
      <c r="AN30" s="39">
        <f t="shared" ca="1" si="53"/>
        <v>5797331.0332118887</v>
      </c>
      <c r="AO30" s="39">
        <f t="shared" ca="1" si="53"/>
        <v>1.814756705392587E-5</v>
      </c>
      <c r="AP30" s="39">
        <f t="shared" ca="1" si="53"/>
        <v>2550168.7126858789</v>
      </c>
      <c r="AQ30" s="39">
        <f t="shared" ca="1" si="53"/>
        <v>5.4442701161777603E-3</v>
      </c>
      <c r="AR30" s="39">
        <f t="shared" ca="1" si="53"/>
        <v>0</v>
      </c>
      <c r="AT30" s="41"/>
      <c r="AU30" s="39">
        <f t="shared" ca="1" si="54"/>
        <v>1.4749801057761426E-2</v>
      </c>
      <c r="AV30" s="39">
        <f t="shared" ca="1" si="54"/>
        <v>1012650.1346897586</v>
      </c>
      <c r="AW30" s="39">
        <f t="shared" ca="1" si="54"/>
        <v>2.5430691478899007E-6</v>
      </c>
      <c r="AX30" s="39">
        <f t="shared" ca="1" si="54"/>
        <v>1.1443811165504554E-3</v>
      </c>
      <c r="AY30" s="39">
        <f t="shared" ca="1" si="54"/>
        <v>2.5430691478899007E-5</v>
      </c>
      <c r="AZ30" s="39">
        <f t="shared" ca="1" si="54"/>
        <v>1810797.4728958427</v>
      </c>
      <c r="BA30" s="39">
        <f t="shared" ca="1" si="54"/>
        <v>2.543069147889901E-4</v>
      </c>
      <c r="BB30" s="39">
        <f t="shared" ca="1" si="54"/>
        <v>1076552.3762379359</v>
      </c>
      <c r="BC30" s="39">
        <f t="shared" ca="1" si="54"/>
        <v>0</v>
      </c>
    </row>
    <row r="31" spans="2:55" ht="15.5">
      <c r="B31" s="12" t="s">
        <v>66</v>
      </c>
      <c r="C31" s="12"/>
      <c r="D31" s="12"/>
      <c r="E31" s="12"/>
      <c r="F31" s="106">
        <f t="shared" si="50"/>
        <v>10.882722936821764</v>
      </c>
      <c r="G31" s="13">
        <f>SUM(H31:J31)</f>
        <v>47023379.893617027</v>
      </c>
      <c r="H31" s="129">
        <f>+SUM(H27:H30)</f>
        <v>25343149.042553194</v>
      </c>
      <c r="I31" s="129">
        <f>+SUM(I27:I30)</f>
        <v>13924805.425531914</v>
      </c>
      <c r="J31" s="129">
        <f>+SUM(J27:J30)</f>
        <v>7755425.4255319145</v>
      </c>
      <c r="M31" s="129">
        <f t="shared" ref="M31:U31" ca="1" si="55">+SUM(M27:M30)</f>
        <v>8370671.9638959784</v>
      </c>
      <c r="N31" s="129">
        <f t="shared" ca="1" si="55"/>
        <v>5858070.1145450938</v>
      </c>
      <c r="O31" s="129">
        <f t="shared" ca="1" si="55"/>
        <v>6224935.1637112461</v>
      </c>
      <c r="P31" s="129">
        <f t="shared" ca="1" si="55"/>
        <v>8.6856337303244296E-2</v>
      </c>
      <c r="Q31" s="129">
        <f t="shared" ca="1" si="55"/>
        <v>9670764.4955509864</v>
      </c>
      <c r="R31" s="129">
        <f t="shared" ca="1" si="55"/>
        <v>6652626.2413441576</v>
      </c>
      <c r="S31" s="129">
        <f t="shared" ca="1" si="55"/>
        <v>4254040.5068323547</v>
      </c>
      <c r="T31" s="129">
        <f t="shared" ca="1" si="55"/>
        <v>5992271.3208808694</v>
      </c>
      <c r="U31" s="129">
        <f t="shared" ca="1" si="55"/>
        <v>0</v>
      </c>
      <c r="X31" s="34">
        <f ca="1">+SUM(Y31:AG31)</f>
        <v>25343149.042553194</v>
      </c>
      <c r="Y31" s="129">
        <f t="shared" ref="Y31:AG31" ca="1" si="56">+SUM(Y27:Y30)</f>
        <v>8370671.758983314</v>
      </c>
      <c r="Z31" s="129">
        <f t="shared" ca="1" si="56"/>
        <v>3844343.5808747122</v>
      </c>
      <c r="AA31" s="129">
        <f t="shared" ca="1" si="56"/>
        <v>6224935.1636759173</v>
      </c>
      <c r="AB31" s="129">
        <f t="shared" ca="1" si="56"/>
        <v>7.0957940878637882E-2</v>
      </c>
      <c r="AC31" s="129">
        <f t="shared" ca="1" si="56"/>
        <v>1.5768431306363971E-4</v>
      </c>
      <c r="AD31" s="129">
        <f t="shared" ca="1" si="56"/>
        <v>3051727.5844458449</v>
      </c>
      <c r="AE31" s="129">
        <f t="shared" ca="1" si="56"/>
        <v>1.5768431306363971E-5</v>
      </c>
      <c r="AF31" s="129">
        <f t="shared" ca="1" si="56"/>
        <v>3851470.8834420126</v>
      </c>
      <c r="AG31" s="129">
        <f t="shared" ca="1" si="56"/>
        <v>0</v>
      </c>
      <c r="AH31" s="34"/>
      <c r="AI31" s="34">
        <f ca="1">+SUM(AJ31:AR31)</f>
        <v>13924805.425531918</v>
      </c>
      <c r="AJ31" s="129">
        <f t="shared" ref="AJ31:AR31" ca="1" si="57">+SUM(AJ27:AJ30)</f>
        <v>0.17558164396546566</v>
      </c>
      <c r="AK31" s="129">
        <f t="shared" ca="1" si="57"/>
        <v>0.22553159440391712</v>
      </c>
      <c r="AL31" s="129">
        <f t="shared" ca="1" si="57"/>
        <v>3.0272697235425117E-5</v>
      </c>
      <c r="AM31" s="129">
        <f t="shared" ca="1" si="57"/>
        <v>1.3622713755941302E-2</v>
      </c>
      <c r="AN31" s="129">
        <f t="shared" ca="1" si="57"/>
        <v>9670764.4953427315</v>
      </c>
      <c r="AO31" s="129">
        <f t="shared" ca="1" si="57"/>
        <v>3.0272697235425117E-5</v>
      </c>
      <c r="AP31" s="129">
        <f t="shared" ca="1" si="57"/>
        <v>4254040.5063108793</v>
      </c>
      <c r="AQ31" s="129">
        <f t="shared" ca="1" si="57"/>
        <v>9.0818091706275344E-3</v>
      </c>
      <c r="AR31" s="129">
        <f t="shared" ca="1" si="57"/>
        <v>0</v>
      </c>
      <c r="AT31" s="34">
        <f ca="1">+SUM(AU31:BC31)</f>
        <v>7755425.4255319154</v>
      </c>
      <c r="AU31" s="129">
        <f t="shared" ref="AU31:BC31" ca="1" si="58">+SUM(AU27:AU30)</f>
        <v>2.9331021062794997E-2</v>
      </c>
      <c r="AV31" s="129">
        <f t="shared" ca="1" si="58"/>
        <v>2013726.3081387877</v>
      </c>
      <c r="AW31" s="129">
        <f t="shared" ca="1" si="58"/>
        <v>5.0570725970336203E-6</v>
      </c>
      <c r="AX31" s="129">
        <f t="shared" ca="1" si="58"/>
        <v>2.2756826686651287E-3</v>
      </c>
      <c r="AY31" s="129">
        <f t="shared" ca="1" si="58"/>
        <v>5.0570725970336199E-5</v>
      </c>
      <c r="AZ31" s="129">
        <f t="shared" ca="1" si="58"/>
        <v>3600898.6568680406</v>
      </c>
      <c r="BA31" s="129">
        <f t="shared" ca="1" si="58"/>
        <v>5.0570725970336199E-4</v>
      </c>
      <c r="BB31" s="129">
        <f t="shared" ca="1" si="58"/>
        <v>2140800.428357048</v>
      </c>
      <c r="BC31" s="129">
        <f t="shared" ca="1" si="58"/>
        <v>0</v>
      </c>
    </row>
    <row r="32" spans="2:55">
      <c r="B32" s="9"/>
      <c r="C32" s="9"/>
      <c r="D32" s="9"/>
      <c r="E32" s="9"/>
      <c r="F32" s="9"/>
      <c r="G32" s="9"/>
      <c r="H32" s="39"/>
      <c r="I32" s="9"/>
      <c r="J32" s="39"/>
      <c r="M32" s="33"/>
      <c r="N32" s="33"/>
      <c r="O32" s="33"/>
      <c r="P32" s="33"/>
      <c r="Q32" s="33"/>
      <c r="R32" s="33"/>
      <c r="S32" s="33"/>
      <c r="T32" s="33"/>
      <c r="U32" s="33"/>
      <c r="X32" s="41"/>
      <c r="Y32" s="33"/>
      <c r="Z32" s="33"/>
      <c r="AA32" s="33"/>
      <c r="AB32" s="33"/>
      <c r="AC32" s="33"/>
      <c r="AD32" s="33"/>
      <c r="AE32" s="33"/>
      <c r="AF32" s="33"/>
      <c r="AG32" s="33"/>
      <c r="AI32" s="41"/>
      <c r="AJ32" s="33"/>
      <c r="AK32" s="33"/>
      <c r="AL32" s="33"/>
      <c r="AM32" s="33"/>
      <c r="AN32" s="33"/>
      <c r="AO32" s="33"/>
      <c r="AP32" s="33"/>
      <c r="AQ32" s="33"/>
      <c r="AR32" s="33"/>
      <c r="AT32" s="41"/>
      <c r="AU32" s="33"/>
      <c r="AV32" s="33"/>
      <c r="AW32" s="33"/>
      <c r="AX32" s="33"/>
      <c r="AY32" s="33"/>
      <c r="AZ32" s="33"/>
      <c r="BA32" s="33"/>
      <c r="BB32" s="33"/>
      <c r="BC32" s="33"/>
    </row>
    <row r="33" spans="2:55" ht="32.25" customHeight="1">
      <c r="B33" s="15" t="s">
        <v>56</v>
      </c>
      <c r="C33" s="16"/>
      <c r="D33" s="16" t="s">
        <v>37</v>
      </c>
      <c r="E33" s="16"/>
      <c r="F33" s="16"/>
      <c r="G33" s="15" t="s">
        <v>17</v>
      </c>
      <c r="H33" s="23" t="str">
        <f>+H$22</f>
        <v>I</v>
      </c>
      <c r="I33" s="23" t="str">
        <f t="shared" ref="I33:J33" si="59">+I$22</f>
        <v>II</v>
      </c>
      <c r="J33" s="46" t="str">
        <f t="shared" si="59"/>
        <v>III</v>
      </c>
      <c r="M33" s="214" t="str">
        <f t="shared" ref="M33:U33" ca="1" si="60">+M$22</f>
        <v>Affordable Residential</v>
      </c>
      <c r="N33" s="214" t="str">
        <f t="shared" ca="1" si="60"/>
        <v>Multifamily</v>
      </c>
      <c r="O33" s="214" t="str">
        <f t="shared" ca="1" si="60"/>
        <v>Retail</v>
      </c>
      <c r="P33" s="214" t="str">
        <f t="shared" ca="1" si="60"/>
        <v>Hotel</v>
      </c>
      <c r="Q33" s="214" t="str">
        <f t="shared" ca="1" si="60"/>
        <v>Gallery &amp; Museum Facility</v>
      </c>
      <c r="R33" s="214" t="str">
        <f t="shared" ca="1" si="60"/>
        <v>Office</v>
      </c>
      <c r="S33" s="214" t="str">
        <f t="shared" ca="1" si="60"/>
        <v>School</v>
      </c>
      <c r="T33" s="214" t="str">
        <f t="shared" ca="1" si="60"/>
        <v>Structural Parking</v>
      </c>
      <c r="U33" s="214" t="str">
        <f t="shared" ca="1" si="60"/>
        <v>Surface Parking</v>
      </c>
      <c r="X33" s="41"/>
      <c r="Y33" s="214" t="str">
        <f t="shared" ref="Y33:AG33" ca="1" si="61">+Y$22</f>
        <v>Affordable Residential</v>
      </c>
      <c r="Z33" s="214" t="str">
        <f t="shared" ca="1" si="61"/>
        <v>Multifamily</v>
      </c>
      <c r="AA33" s="214" t="str">
        <f t="shared" ca="1" si="61"/>
        <v>Retail</v>
      </c>
      <c r="AB33" s="214" t="str">
        <f t="shared" ca="1" si="61"/>
        <v>Hotel</v>
      </c>
      <c r="AC33" s="214" t="str">
        <f t="shared" ca="1" si="61"/>
        <v>Gallery &amp; Museum Facility</v>
      </c>
      <c r="AD33" s="214" t="str">
        <f t="shared" ca="1" si="61"/>
        <v>Office</v>
      </c>
      <c r="AE33" s="214" t="str">
        <f t="shared" ca="1" si="61"/>
        <v>School</v>
      </c>
      <c r="AF33" s="214" t="str">
        <f t="shared" ca="1" si="61"/>
        <v>Structural Parking</v>
      </c>
      <c r="AG33" s="214" t="str">
        <f t="shared" ca="1" si="61"/>
        <v>Surface Parking</v>
      </c>
      <c r="AI33" s="41"/>
      <c r="AJ33" s="214" t="str">
        <f t="shared" ref="AJ33:AR33" ca="1" si="62">+AJ$22</f>
        <v>Affordable Residential</v>
      </c>
      <c r="AK33" s="214" t="str">
        <f t="shared" ca="1" si="62"/>
        <v>Multifamily</v>
      </c>
      <c r="AL33" s="214" t="str">
        <f t="shared" ca="1" si="62"/>
        <v>Retail</v>
      </c>
      <c r="AM33" s="214" t="str">
        <f t="shared" ca="1" si="62"/>
        <v>Hotel</v>
      </c>
      <c r="AN33" s="214" t="str">
        <f t="shared" ca="1" si="62"/>
        <v>Gallery &amp; Museum Facility</v>
      </c>
      <c r="AO33" s="214" t="str">
        <f t="shared" ca="1" si="62"/>
        <v>Office</v>
      </c>
      <c r="AP33" s="214" t="str">
        <f t="shared" ca="1" si="62"/>
        <v>School</v>
      </c>
      <c r="AQ33" s="214" t="str">
        <f t="shared" ca="1" si="62"/>
        <v>Structural Parking</v>
      </c>
      <c r="AR33" s="214" t="str">
        <f t="shared" ca="1" si="62"/>
        <v>Surface Parking</v>
      </c>
      <c r="AT33" s="41"/>
      <c r="AU33" s="214" t="str">
        <f t="shared" ref="AU33:BC33" ca="1" si="63">+AU$22</f>
        <v>Affordable Residential</v>
      </c>
      <c r="AV33" s="214" t="str">
        <f t="shared" ca="1" si="63"/>
        <v>Multifamily</v>
      </c>
      <c r="AW33" s="214" t="str">
        <f t="shared" ca="1" si="63"/>
        <v>Retail</v>
      </c>
      <c r="AX33" s="214" t="str">
        <f t="shared" ca="1" si="63"/>
        <v>Hotel</v>
      </c>
      <c r="AY33" s="214" t="str">
        <f t="shared" ca="1" si="63"/>
        <v>Gallery &amp; Museum Facility</v>
      </c>
      <c r="AZ33" s="214" t="str">
        <f t="shared" ca="1" si="63"/>
        <v>Office</v>
      </c>
      <c r="BA33" s="214" t="str">
        <f t="shared" ca="1" si="63"/>
        <v>School</v>
      </c>
      <c r="BB33" s="214" t="str">
        <f t="shared" ca="1" si="63"/>
        <v>Structural Parking</v>
      </c>
      <c r="BC33" s="214" t="str">
        <f t="shared" ca="1" si="63"/>
        <v>Surface Parking</v>
      </c>
    </row>
    <row r="34" spans="2:55" ht="15.5">
      <c r="B34" s="9" t="s">
        <v>50</v>
      </c>
      <c r="C34" s="9"/>
      <c r="D34" s="17">
        <v>8</v>
      </c>
      <c r="E34" s="9"/>
      <c r="F34" s="105">
        <f t="shared" ref="F34:F45" si="64">+G34/$G$10</f>
        <v>3.7029147497069606E-2</v>
      </c>
      <c r="G34" s="21">
        <f t="shared" ref="G34:G44" si="65">+SUM(H34:J34)</f>
        <v>160000</v>
      </c>
      <c r="H34" s="11">
        <f>+$D34*H$9</f>
        <v>80000</v>
      </c>
      <c r="I34" s="34">
        <f t="shared" ref="I34:J34" si="66">+$D34*I$9</f>
        <v>40000</v>
      </c>
      <c r="J34" s="34">
        <f t="shared" si="66"/>
        <v>40000</v>
      </c>
      <c r="M34" s="39">
        <f t="shared" ref="M34:U34" ca="1" si="67">+$H34*M$5+$I34*M$6+$J34*M$7</f>
        <v>26423.462854222242</v>
      </c>
      <c r="N34" s="39">
        <f t="shared" ca="1" si="67"/>
        <v>22521.486254220225</v>
      </c>
      <c r="O34" s="39">
        <f t="shared" ca="1" si="67"/>
        <v>19650.07632874529</v>
      </c>
      <c r="P34" s="39">
        <f t="shared" ca="1" si="67"/>
        <v>2.748603823052018E-4</v>
      </c>
      <c r="Q34" s="39">
        <f t="shared" ca="1" si="67"/>
        <v>27779.963023037777</v>
      </c>
      <c r="R34" s="39">
        <f t="shared" ca="1" si="67"/>
        <v>28205.583710155119</v>
      </c>
      <c r="S34" s="39">
        <f t="shared" ca="1" si="67"/>
        <v>12220.0357627581</v>
      </c>
      <c r="T34" s="39">
        <f t="shared" ca="1" si="67"/>
        <v>23199.391792000883</v>
      </c>
      <c r="U34" s="39">
        <f t="shared" ca="1" si="67"/>
        <v>0</v>
      </c>
      <c r="X34" s="41"/>
      <c r="Y34" s="39">
        <f t="shared" ref="Y34:AG34" ca="1" si="68">+$H34*Y$5+$I34*Y$6+$J34*Y$7</f>
        <v>26423.462198571393</v>
      </c>
      <c r="Z34" s="39">
        <f t="shared" ca="1" si="68"/>
        <v>12135.330378777313</v>
      </c>
      <c r="AA34" s="39">
        <f t="shared" ca="1" si="68"/>
        <v>19650.076328632244</v>
      </c>
      <c r="AB34" s="39">
        <f t="shared" ca="1" si="68"/>
        <v>2.2399092002179768E-4</v>
      </c>
      <c r="AC34" s="39">
        <f t="shared" ca="1" si="68"/>
        <v>4.9775760004843923E-7</v>
      </c>
      <c r="AD34" s="39">
        <f t="shared" ca="1" si="68"/>
        <v>9633.3019367774632</v>
      </c>
      <c r="AE34" s="39">
        <f t="shared" ca="1" si="68"/>
        <v>4.9775760004843915E-8</v>
      </c>
      <c r="AF34" s="39">
        <f t="shared" ca="1" si="68"/>
        <v>12157.828932703136</v>
      </c>
      <c r="AG34" s="39">
        <f t="shared" ca="1" si="68"/>
        <v>0</v>
      </c>
      <c r="AI34" s="41"/>
      <c r="AJ34" s="39">
        <f t="shared" ref="AJ34:AR34" ca="1" si="69">+$H34*AJ$5+$I34*AJ$6+$J34*AJ$7</f>
        <v>5.04370836359485E-4</v>
      </c>
      <c r="AK34" s="39">
        <f t="shared" ca="1" si="69"/>
        <v>6.4785564325485576E-4</v>
      </c>
      <c r="AL34" s="39">
        <f t="shared" ca="1" si="69"/>
        <v>8.6960489027497422E-8</v>
      </c>
      <c r="AM34" s="39">
        <f t="shared" ca="1" si="69"/>
        <v>3.9132220062373838E-5</v>
      </c>
      <c r="AN34" s="39">
        <f t="shared" ca="1" si="69"/>
        <v>27779.963022279189</v>
      </c>
      <c r="AO34" s="39">
        <f t="shared" ca="1" si="69"/>
        <v>8.6960489027497422E-8</v>
      </c>
      <c r="AP34" s="39">
        <f t="shared" ca="1" si="69"/>
        <v>12220.035760100047</v>
      </c>
      <c r="AQ34" s="39">
        <f t="shared" ca="1" si="69"/>
        <v>2.6088146708249226E-5</v>
      </c>
      <c r="AR34" s="39">
        <f t="shared" ca="1" si="69"/>
        <v>0</v>
      </c>
      <c r="AT34" s="41"/>
      <c r="AU34" s="39">
        <f t="shared" ref="AU34:BC34" ca="1" si="70">+$H34*AU$5+$I34*AU$6+$J34*AU$7</f>
        <v>1.5128001084883512E-4</v>
      </c>
      <c r="AV34" s="39">
        <f t="shared" ca="1" si="70"/>
        <v>10386.155227587267</v>
      </c>
      <c r="AW34" s="39">
        <f t="shared" ca="1" si="70"/>
        <v>2.608276049117847E-8</v>
      </c>
      <c r="AX34" s="39">
        <f t="shared" ca="1" si="70"/>
        <v>1.1737242221030312E-5</v>
      </c>
      <c r="AY34" s="39">
        <f t="shared" ca="1" si="70"/>
        <v>2.6082760491178468E-7</v>
      </c>
      <c r="AZ34" s="39">
        <f t="shared" ca="1" si="70"/>
        <v>18572.281773290695</v>
      </c>
      <c r="BA34" s="39">
        <f t="shared" ca="1" si="70"/>
        <v>2.6082760491178472E-6</v>
      </c>
      <c r="BB34" s="39">
        <f t="shared" ca="1" si="70"/>
        <v>11041.5628332096</v>
      </c>
      <c r="BC34" s="39">
        <f t="shared" ca="1" si="70"/>
        <v>0</v>
      </c>
    </row>
    <row r="35" spans="2:55" ht="15.5">
      <c r="B35" s="55" t="s">
        <v>136</v>
      </c>
      <c r="C35" s="9"/>
      <c r="D35" s="17">
        <v>170</v>
      </c>
      <c r="E35" s="9"/>
      <c r="F35" s="105">
        <f t="shared" si="64"/>
        <v>25.062577341041024</v>
      </c>
      <c r="G35" s="21">
        <f t="shared" si="65"/>
        <v>108293402.51173501</v>
      </c>
      <c r="H35" s="11">
        <f t="shared" ref="H35" si="71">+$D35*H11</f>
        <v>108293400</v>
      </c>
      <c r="I35" s="34">
        <f>+$D35*I11*(1+Assumptions!O$85)^Assumptions!O$86</f>
        <v>1.2310012799999999</v>
      </c>
      <c r="J35" s="34">
        <f>+$D35*J11*(1+Assumptions!P$85)^Assumptions!P$86</f>
        <v>1.2807337317119998</v>
      </c>
      <c r="K35" s="34"/>
      <c r="L35" s="34"/>
      <c r="M35" s="34">
        <f>+$G$35</f>
        <v>108293402.51173501</v>
      </c>
      <c r="N35" s="34">
        <v>0</v>
      </c>
      <c r="O35" s="34">
        <v>0</v>
      </c>
      <c r="P35" s="34">
        <v>0</v>
      </c>
      <c r="Q35" s="34">
        <v>0</v>
      </c>
      <c r="R35" s="34">
        <v>0</v>
      </c>
      <c r="S35" s="34">
        <v>0</v>
      </c>
      <c r="T35" s="34">
        <v>0</v>
      </c>
      <c r="U35" s="34">
        <v>0</v>
      </c>
      <c r="X35" s="34"/>
      <c r="Y35" s="34">
        <f>+$H$35</f>
        <v>108293400</v>
      </c>
      <c r="Z35" s="34">
        <v>0</v>
      </c>
      <c r="AA35" s="34">
        <v>0</v>
      </c>
      <c r="AB35" s="34">
        <v>0</v>
      </c>
      <c r="AC35" s="34">
        <v>0</v>
      </c>
      <c r="AD35" s="34">
        <v>0</v>
      </c>
      <c r="AE35" s="34">
        <v>0</v>
      </c>
      <c r="AF35" s="34">
        <v>0</v>
      </c>
      <c r="AG35" s="34">
        <v>0</v>
      </c>
      <c r="AI35" s="34"/>
      <c r="AJ35" s="34">
        <f>+$I$35</f>
        <v>1.2310012799999999</v>
      </c>
      <c r="AK35" s="34">
        <v>0</v>
      </c>
      <c r="AL35" s="34">
        <v>0</v>
      </c>
      <c r="AM35" s="34">
        <v>0</v>
      </c>
      <c r="AN35" s="34">
        <v>0</v>
      </c>
      <c r="AO35" s="34">
        <v>0</v>
      </c>
      <c r="AP35" s="34">
        <v>0</v>
      </c>
      <c r="AQ35" s="34">
        <v>0</v>
      </c>
      <c r="AR35" s="34">
        <v>0</v>
      </c>
      <c r="AT35" s="34"/>
      <c r="AU35" s="34">
        <f>+$J$35</f>
        <v>1.2807337317119998</v>
      </c>
      <c r="AV35" s="34">
        <v>0</v>
      </c>
      <c r="AW35" s="34">
        <v>0</v>
      </c>
      <c r="AX35" s="34">
        <v>0</v>
      </c>
      <c r="AY35" s="34">
        <v>0</v>
      </c>
      <c r="AZ35" s="34">
        <v>0</v>
      </c>
      <c r="BA35" s="34">
        <v>0</v>
      </c>
      <c r="BB35" s="34">
        <v>0</v>
      </c>
      <c r="BC35" s="34">
        <v>0</v>
      </c>
    </row>
    <row r="36" spans="2:55" ht="15.5">
      <c r="B36" s="55" t="s">
        <v>804</v>
      </c>
      <c r="C36" s="9"/>
      <c r="D36" s="17">
        <v>180</v>
      </c>
      <c r="E36" s="9"/>
      <c r="F36" s="105">
        <f t="shared" si="64"/>
        <v>33.734037309129128</v>
      </c>
      <c r="G36" s="21">
        <f t="shared" si="65"/>
        <v>145762091.06320369</v>
      </c>
      <c r="H36" s="34">
        <f t="shared" ref="H36" si="72">+$D36*H12</f>
        <v>52660800.388799995</v>
      </c>
      <c r="I36" s="34">
        <f>+$D36*I12*(1+Assumptions!O$85)^Assumptions!O$86</f>
        <v>1.67421168</v>
      </c>
      <c r="J36" s="34">
        <f>+$D36*J12*(1+Assumptions!P$85)^Assumptions!P$86</f>
        <v>93101289.000192001</v>
      </c>
      <c r="K36" s="34"/>
      <c r="L36" s="34"/>
      <c r="M36" s="34">
        <v>0</v>
      </c>
      <c r="N36" s="34">
        <f>+$G$36</f>
        <v>145762091.06320369</v>
      </c>
      <c r="O36" s="34">
        <v>0</v>
      </c>
      <c r="P36" s="34">
        <v>0</v>
      </c>
      <c r="Q36" s="34">
        <v>0</v>
      </c>
      <c r="R36" s="34">
        <v>0</v>
      </c>
      <c r="S36" s="34">
        <v>0</v>
      </c>
      <c r="T36" s="34">
        <v>0</v>
      </c>
      <c r="U36" s="34">
        <v>0</v>
      </c>
      <c r="X36" s="34"/>
      <c r="Y36" s="34">
        <v>0</v>
      </c>
      <c r="Z36" s="34">
        <f>+$H$36</f>
        <v>52660800.388799995</v>
      </c>
      <c r="AA36" s="34">
        <v>0</v>
      </c>
      <c r="AB36" s="34">
        <v>0</v>
      </c>
      <c r="AC36" s="34">
        <v>0</v>
      </c>
      <c r="AD36" s="34">
        <v>0</v>
      </c>
      <c r="AE36" s="34">
        <v>0</v>
      </c>
      <c r="AF36" s="34">
        <v>0</v>
      </c>
      <c r="AG36" s="34">
        <v>0</v>
      </c>
      <c r="AI36" s="34"/>
      <c r="AJ36" s="34">
        <v>0</v>
      </c>
      <c r="AK36" s="34">
        <f>+$I$36</f>
        <v>1.67421168</v>
      </c>
      <c r="AL36" s="34">
        <v>0</v>
      </c>
      <c r="AM36" s="34">
        <v>0</v>
      </c>
      <c r="AN36" s="34">
        <v>0</v>
      </c>
      <c r="AO36" s="34">
        <v>0</v>
      </c>
      <c r="AP36" s="34">
        <v>0</v>
      </c>
      <c r="AQ36" s="34">
        <v>0</v>
      </c>
      <c r="AR36" s="34">
        <v>0</v>
      </c>
      <c r="AT36" s="34"/>
      <c r="AU36" s="34">
        <v>0</v>
      </c>
      <c r="AV36" s="34">
        <f>+$J$36</f>
        <v>93101289.000192001</v>
      </c>
      <c r="AW36" s="34">
        <v>0</v>
      </c>
      <c r="AX36" s="34">
        <v>0</v>
      </c>
      <c r="AY36" s="34">
        <v>0</v>
      </c>
      <c r="AZ36" s="34">
        <v>0</v>
      </c>
      <c r="BA36" s="34">
        <v>0</v>
      </c>
      <c r="BB36" s="34">
        <v>0</v>
      </c>
      <c r="BC36" s="34">
        <v>0</v>
      </c>
    </row>
    <row r="37" spans="2:55" ht="15.5">
      <c r="B37" s="55" t="s">
        <v>25</v>
      </c>
      <c r="C37" s="9"/>
      <c r="D37" s="17">
        <v>165</v>
      </c>
      <c r="E37" s="9"/>
      <c r="F37" s="105">
        <f t="shared" si="64"/>
        <v>18.089862387042313</v>
      </c>
      <c r="G37" s="21">
        <f t="shared" si="65"/>
        <v>78164856.000420317</v>
      </c>
      <c r="H37" s="34">
        <f t="shared" ref="H37" si="73">+$D37*H13</f>
        <v>78164856</v>
      </c>
      <c r="I37" s="34">
        <f>+$D37*I13*(1+Assumptions!O$85)^Assumptions!O$86</f>
        <v>2.0599919999999999E-4</v>
      </c>
      <c r="J37" s="34">
        <f>+$D37*J13*(1+Assumptions!P$85)^Assumptions!P$86</f>
        <v>2.1432156768E-4</v>
      </c>
      <c r="K37" s="34"/>
      <c r="L37" s="34"/>
      <c r="M37" s="34">
        <v>0</v>
      </c>
      <c r="N37" s="34">
        <v>0</v>
      </c>
      <c r="O37" s="34">
        <f>+$G$37</f>
        <v>78164856.000420317</v>
      </c>
      <c r="P37" s="34">
        <v>0</v>
      </c>
      <c r="Q37" s="34">
        <v>0</v>
      </c>
      <c r="R37" s="34">
        <v>0</v>
      </c>
      <c r="S37" s="34">
        <v>0</v>
      </c>
      <c r="T37" s="34">
        <v>0</v>
      </c>
      <c r="U37" s="34">
        <v>0</v>
      </c>
      <c r="X37" s="34"/>
      <c r="Y37" s="34">
        <v>0</v>
      </c>
      <c r="Z37" s="34">
        <v>0</v>
      </c>
      <c r="AA37" s="34">
        <f>+$H$37</f>
        <v>78164856</v>
      </c>
      <c r="AB37" s="34">
        <v>0</v>
      </c>
      <c r="AC37" s="34">
        <v>0</v>
      </c>
      <c r="AD37" s="34">
        <v>0</v>
      </c>
      <c r="AE37" s="34">
        <v>0</v>
      </c>
      <c r="AF37" s="34">
        <v>0</v>
      </c>
      <c r="AG37" s="34">
        <v>0</v>
      </c>
      <c r="AI37" s="34"/>
      <c r="AJ37" s="34">
        <v>0</v>
      </c>
      <c r="AK37" s="34">
        <v>0</v>
      </c>
      <c r="AL37" s="34">
        <f>+$I$37</f>
        <v>2.0599919999999999E-4</v>
      </c>
      <c r="AM37" s="34">
        <v>0</v>
      </c>
      <c r="AN37" s="34">
        <v>0</v>
      </c>
      <c r="AO37" s="34">
        <v>0</v>
      </c>
      <c r="AP37" s="34">
        <v>0</v>
      </c>
      <c r="AQ37" s="34">
        <v>0</v>
      </c>
      <c r="AR37" s="34">
        <v>0</v>
      </c>
      <c r="AT37" s="34"/>
      <c r="AU37" s="34">
        <v>0</v>
      </c>
      <c r="AV37" s="34">
        <v>0</v>
      </c>
      <c r="AW37" s="34">
        <f>+$J$37</f>
        <v>2.1432156768E-4</v>
      </c>
      <c r="AX37" s="34">
        <v>0</v>
      </c>
      <c r="AY37" s="34">
        <v>0</v>
      </c>
      <c r="AZ37" s="34">
        <v>0</v>
      </c>
      <c r="BA37" s="34">
        <v>0</v>
      </c>
      <c r="BB37" s="34">
        <v>0</v>
      </c>
      <c r="BC37" s="34">
        <v>0</v>
      </c>
    </row>
    <row r="38" spans="2:55" ht="15.5">
      <c r="B38" s="55" t="s">
        <v>26</v>
      </c>
      <c r="C38" s="9"/>
      <c r="D38" s="17">
        <v>185</v>
      </c>
      <c r="E38" s="9"/>
      <c r="F38" s="105">
        <f t="shared" si="64"/>
        <v>2.802807762467025E-7</v>
      </c>
      <c r="G38" s="21">
        <f t="shared" si="65"/>
        <v>1.2110709327839999</v>
      </c>
      <c r="H38" s="34">
        <f t="shared" ref="H38" si="74">+$D38*H14</f>
        <v>0.999</v>
      </c>
      <c r="I38" s="34">
        <f>+$D38*I14*(1+Assumptions!O$85)^Assumptions!O$86</f>
        <v>0.10393596000000001</v>
      </c>
      <c r="J38" s="34">
        <f>+$D38*J14*(1+Assumptions!P$85)^Assumptions!P$86</f>
        <v>0.108134972784</v>
      </c>
      <c r="K38" s="902">
        <f>65/(108+65)</f>
        <v>0.37572254335260113</v>
      </c>
      <c r="L38" s="34"/>
      <c r="M38" s="34">
        <v>0</v>
      </c>
      <c r="N38" s="34">
        <v>0</v>
      </c>
      <c r="O38" s="34">
        <v>0</v>
      </c>
      <c r="P38" s="34">
        <f>+$G$38</f>
        <v>1.2110709327839999</v>
      </c>
      <c r="Q38" s="34">
        <v>0</v>
      </c>
      <c r="R38" s="34">
        <v>0</v>
      </c>
      <c r="S38" s="34">
        <v>0</v>
      </c>
      <c r="T38" s="34">
        <v>0</v>
      </c>
      <c r="U38" s="34">
        <v>0</v>
      </c>
      <c r="X38" s="34"/>
      <c r="Y38" s="34">
        <v>0</v>
      </c>
      <c r="Z38" s="34">
        <v>0</v>
      </c>
      <c r="AA38" s="34">
        <v>0</v>
      </c>
      <c r="AB38" s="34">
        <f>+$H$38</f>
        <v>0.999</v>
      </c>
      <c r="AC38" s="34">
        <v>0</v>
      </c>
      <c r="AD38" s="34">
        <v>0</v>
      </c>
      <c r="AE38" s="34">
        <v>0</v>
      </c>
      <c r="AF38" s="34">
        <v>0</v>
      </c>
      <c r="AG38" s="34">
        <v>0</v>
      </c>
      <c r="AI38" s="34"/>
      <c r="AJ38" s="34">
        <v>0</v>
      </c>
      <c r="AK38" s="34">
        <v>0</v>
      </c>
      <c r="AL38" s="34">
        <v>0</v>
      </c>
      <c r="AM38" s="34">
        <f>+$I$38</f>
        <v>0.10393596000000001</v>
      </c>
      <c r="AN38" s="34">
        <v>0</v>
      </c>
      <c r="AO38" s="34">
        <v>0</v>
      </c>
      <c r="AP38" s="34">
        <v>0</v>
      </c>
      <c r="AQ38" s="34">
        <v>0</v>
      </c>
      <c r="AR38" s="34">
        <v>0</v>
      </c>
      <c r="AT38" s="34"/>
      <c r="AU38" s="34">
        <v>0</v>
      </c>
      <c r="AV38" s="34">
        <v>0</v>
      </c>
      <c r="AW38" s="34">
        <v>0</v>
      </c>
      <c r="AX38" s="34">
        <f>+$J$38</f>
        <v>0.108134972784</v>
      </c>
      <c r="AY38" s="34">
        <v>0</v>
      </c>
      <c r="AZ38" s="34">
        <v>0</v>
      </c>
      <c r="BA38" s="34">
        <v>0</v>
      </c>
      <c r="BB38" s="34">
        <v>0</v>
      </c>
      <c r="BC38" s="34">
        <v>0</v>
      </c>
    </row>
    <row r="39" spans="2:55" ht="15.5">
      <c r="B39" s="55" t="s">
        <v>827</v>
      </c>
      <c r="C39" s="9"/>
      <c r="D39" s="17">
        <v>165</v>
      </c>
      <c r="E39" s="9"/>
      <c r="F39" s="105">
        <f t="shared" si="64"/>
        <v>15.229966734081003</v>
      </c>
      <c r="G39" s="21">
        <f t="shared" si="65"/>
        <v>65807474.440123215</v>
      </c>
      <c r="H39" s="34">
        <f t="shared" ref="H39" si="75">+$D39*H15</f>
        <v>1.98E-3</v>
      </c>
      <c r="I39" s="34">
        <f>+$D39*I15*(1+Assumptions!O$85)^Assumptions!O$86</f>
        <v>65807474.435999997</v>
      </c>
      <c r="J39" s="34">
        <f>+$D39*J15*(1+Assumptions!P$85)^Assumptions!P$86</f>
        <v>2.1432156768000001E-3</v>
      </c>
      <c r="K39" s="34"/>
      <c r="L39" s="34"/>
      <c r="M39" s="34">
        <v>0</v>
      </c>
      <c r="N39" s="34">
        <v>0</v>
      </c>
      <c r="O39" s="34">
        <v>0</v>
      </c>
      <c r="P39" s="34">
        <v>0</v>
      </c>
      <c r="Q39" s="34">
        <f>+$G$39</f>
        <v>65807474.440123215</v>
      </c>
      <c r="R39" s="34">
        <v>0</v>
      </c>
      <c r="S39" s="34">
        <v>0</v>
      </c>
      <c r="T39" s="34">
        <v>0</v>
      </c>
      <c r="U39" s="34">
        <v>0</v>
      </c>
      <c r="X39" s="34"/>
      <c r="Y39" s="34">
        <v>0</v>
      </c>
      <c r="Z39" s="34">
        <v>0</v>
      </c>
      <c r="AA39" s="34">
        <v>0</v>
      </c>
      <c r="AB39" s="34">
        <v>0</v>
      </c>
      <c r="AC39" s="34">
        <f>+$H$39</f>
        <v>1.98E-3</v>
      </c>
      <c r="AD39" s="34">
        <v>0</v>
      </c>
      <c r="AE39" s="34">
        <v>0</v>
      </c>
      <c r="AF39" s="34">
        <v>0</v>
      </c>
      <c r="AG39" s="34">
        <v>0</v>
      </c>
      <c r="AI39" s="34"/>
      <c r="AJ39" s="34">
        <v>0</v>
      </c>
      <c r="AK39" s="34">
        <v>0</v>
      </c>
      <c r="AL39" s="34">
        <v>0</v>
      </c>
      <c r="AM39" s="34">
        <v>0</v>
      </c>
      <c r="AN39" s="34">
        <f>+$I$39</f>
        <v>65807474.435999997</v>
      </c>
      <c r="AO39" s="34">
        <v>0</v>
      </c>
      <c r="AP39" s="34">
        <v>0</v>
      </c>
      <c r="AQ39" s="34">
        <v>0</v>
      </c>
      <c r="AR39" s="34">
        <v>0</v>
      </c>
      <c r="AT39" s="34"/>
      <c r="AU39" s="34">
        <v>0</v>
      </c>
      <c r="AV39" s="34">
        <v>0</v>
      </c>
      <c r="AW39" s="34">
        <v>0</v>
      </c>
      <c r="AX39" s="34">
        <v>0</v>
      </c>
      <c r="AY39" s="34">
        <f>+$J$39</f>
        <v>2.1432156768000001E-3</v>
      </c>
      <c r="AZ39" s="34">
        <v>0</v>
      </c>
      <c r="BA39" s="34">
        <v>0</v>
      </c>
      <c r="BB39" s="34">
        <v>0</v>
      </c>
      <c r="BC39" s="34">
        <v>0</v>
      </c>
    </row>
    <row r="40" spans="2:55" ht="15.5">
      <c r="B40" s="55" t="s">
        <v>139</v>
      </c>
      <c r="C40" s="9"/>
      <c r="D40" s="17">
        <v>165</v>
      </c>
      <c r="E40" s="9"/>
      <c r="F40" s="105">
        <f t="shared" si="64"/>
        <v>44.186843038274638</v>
      </c>
      <c r="G40" s="21">
        <f t="shared" si="65"/>
        <v>190927832.91009969</v>
      </c>
      <c r="H40" s="34">
        <f t="shared" ref="H40" si="76">+$D40*H16</f>
        <v>38319732</v>
      </c>
      <c r="I40" s="34">
        <f>+$D40*I16*(1+Assumptions!O$85)^Assumptions!O$86</f>
        <v>2.0599919999999999E-4</v>
      </c>
      <c r="J40" s="34">
        <f>+$D40*J16*(1+Assumptions!P$85)^Assumptions!P$86</f>
        <v>152608100.90989369</v>
      </c>
      <c r="K40" s="34"/>
      <c r="L40" s="34"/>
      <c r="M40" s="34">
        <v>0</v>
      </c>
      <c r="N40" s="34">
        <v>0</v>
      </c>
      <c r="O40" s="34">
        <v>0</v>
      </c>
      <c r="P40" s="34">
        <v>0</v>
      </c>
      <c r="Q40" s="34">
        <v>0</v>
      </c>
      <c r="R40" s="34">
        <f>+$G$40</f>
        <v>190927832.91009969</v>
      </c>
      <c r="S40" s="34">
        <v>0</v>
      </c>
      <c r="T40" s="34">
        <v>0</v>
      </c>
      <c r="U40" s="34">
        <v>0</v>
      </c>
      <c r="X40" s="34"/>
      <c r="Y40" s="34">
        <v>0</v>
      </c>
      <c r="Z40" s="34">
        <v>0</v>
      </c>
      <c r="AA40" s="34">
        <v>0</v>
      </c>
      <c r="AB40" s="34">
        <v>0</v>
      </c>
      <c r="AC40" s="34">
        <v>0</v>
      </c>
      <c r="AD40" s="34">
        <f>+$H$40</f>
        <v>38319732</v>
      </c>
      <c r="AE40" s="34">
        <v>0</v>
      </c>
      <c r="AF40" s="34">
        <v>0</v>
      </c>
      <c r="AG40" s="34">
        <v>0</v>
      </c>
      <c r="AI40" s="34"/>
      <c r="AJ40" s="34">
        <v>0</v>
      </c>
      <c r="AK40" s="34">
        <v>0</v>
      </c>
      <c r="AL40" s="34">
        <v>0</v>
      </c>
      <c r="AM40" s="34">
        <v>0</v>
      </c>
      <c r="AN40" s="34">
        <v>0</v>
      </c>
      <c r="AO40" s="34">
        <f>+$I$40</f>
        <v>2.0599919999999999E-4</v>
      </c>
      <c r="AP40" s="34">
        <v>0</v>
      </c>
      <c r="AQ40" s="34">
        <v>0</v>
      </c>
      <c r="AR40" s="34">
        <v>0</v>
      </c>
      <c r="AT40" s="34"/>
      <c r="AU40" s="34">
        <v>0</v>
      </c>
      <c r="AV40" s="34">
        <v>0</v>
      </c>
      <c r="AW40" s="34">
        <v>0</v>
      </c>
      <c r="AX40" s="34">
        <v>0</v>
      </c>
      <c r="AY40" s="34">
        <v>0</v>
      </c>
      <c r="AZ40" s="34">
        <f>+$J$40</f>
        <v>152608100.90989369</v>
      </c>
      <c r="BA40" s="34">
        <v>0</v>
      </c>
      <c r="BB40" s="34">
        <v>0</v>
      </c>
      <c r="BC40" s="34">
        <v>0</v>
      </c>
    </row>
    <row r="41" spans="2:55" s="41" customFormat="1" ht="15.5">
      <c r="B41" s="55" t="s">
        <v>1245</v>
      </c>
      <c r="C41" s="33"/>
      <c r="D41" s="171">
        <v>95</v>
      </c>
      <c r="E41" s="33"/>
      <c r="F41" s="105">
        <f t="shared" ref="F41" si="77">+G41/$G$10</f>
        <v>3.8572645826529657</v>
      </c>
      <c r="G41" s="43">
        <f t="shared" si="65"/>
        <v>16666933.346853724</v>
      </c>
      <c r="H41" s="34">
        <f t="shared" ref="H41" si="78">+$D41*H17</f>
        <v>1.1399999999999999E-4</v>
      </c>
      <c r="I41" s="34">
        <f>+$D41*I17*(1+Assumptions!O$85)^Assumptions!O$86</f>
        <v>16666933.334399998</v>
      </c>
      <c r="J41" s="34">
        <f>+$D41*J17*(1+Assumptions!P$85)^Assumptions!P$86</f>
        <v>1.2339726624E-2</v>
      </c>
      <c r="K41" s="34"/>
      <c r="L41" s="34"/>
      <c r="M41" s="34">
        <v>0</v>
      </c>
      <c r="N41" s="34">
        <v>0</v>
      </c>
      <c r="O41" s="34">
        <v>0</v>
      </c>
      <c r="P41" s="34">
        <v>0</v>
      </c>
      <c r="Q41" s="34">
        <v>0</v>
      </c>
      <c r="R41" s="34">
        <v>0</v>
      </c>
      <c r="S41" s="34">
        <f>+$G$41</f>
        <v>16666933.346853724</v>
      </c>
      <c r="T41" s="34">
        <v>0</v>
      </c>
      <c r="U41" s="34">
        <v>0</v>
      </c>
      <c r="X41" s="34"/>
      <c r="Y41" s="34">
        <v>0</v>
      </c>
      <c r="Z41" s="34">
        <v>0</v>
      </c>
      <c r="AA41" s="34">
        <v>0</v>
      </c>
      <c r="AB41" s="34">
        <v>0</v>
      </c>
      <c r="AC41" s="34">
        <v>0</v>
      </c>
      <c r="AD41" s="34">
        <v>0</v>
      </c>
      <c r="AE41" s="34">
        <f>+$H$41</f>
        <v>1.1399999999999999E-4</v>
      </c>
      <c r="AF41" s="34">
        <v>0</v>
      </c>
      <c r="AG41" s="34">
        <v>0</v>
      </c>
      <c r="AI41" s="34"/>
      <c r="AJ41" s="34">
        <v>0</v>
      </c>
      <c r="AK41" s="34">
        <v>0</v>
      </c>
      <c r="AL41" s="34">
        <v>0</v>
      </c>
      <c r="AM41" s="34">
        <v>0</v>
      </c>
      <c r="AN41" s="34">
        <v>0</v>
      </c>
      <c r="AO41" s="34">
        <v>0</v>
      </c>
      <c r="AP41" s="34">
        <f>+$I$41</f>
        <v>16666933.334399998</v>
      </c>
      <c r="AQ41" s="34">
        <v>0</v>
      </c>
      <c r="AR41" s="34">
        <v>0</v>
      </c>
      <c r="AT41" s="34"/>
      <c r="AU41" s="34">
        <v>0</v>
      </c>
      <c r="AV41" s="34">
        <v>0</v>
      </c>
      <c r="AW41" s="34">
        <v>0</v>
      </c>
      <c r="AX41" s="34">
        <v>0</v>
      </c>
      <c r="AY41" s="34">
        <v>0</v>
      </c>
      <c r="AZ41" s="34">
        <v>0</v>
      </c>
      <c r="BA41" s="34">
        <f>+$J$41</f>
        <v>1.2339726624E-2</v>
      </c>
      <c r="BB41" s="34">
        <v>0</v>
      </c>
      <c r="BC41" s="34">
        <v>0</v>
      </c>
    </row>
    <row r="42" spans="2:55" ht="15.5">
      <c r="B42" s="55" t="s">
        <v>201</v>
      </c>
      <c r="C42" s="9"/>
      <c r="D42" s="171">
        <v>50</v>
      </c>
      <c r="E42" s="9"/>
      <c r="F42" s="105">
        <f t="shared" si="64"/>
        <v>9.7545305838528016</v>
      </c>
      <c r="G42" s="21">
        <f t="shared" si="65"/>
        <v>42148550.504436001</v>
      </c>
      <c r="H42" s="34">
        <f t="shared" ref="H42" si="79">+$D42*H18</f>
        <v>14655119.999999998</v>
      </c>
      <c r="I42" s="34">
        <f>+$D42*I18*(1+Assumptions!O$85)^Assumptions!O$86</f>
        <v>1.8727199999999999E-2</v>
      </c>
      <c r="J42" s="34">
        <f>+$D42*J18*(1+Assumptions!P$85)^Assumptions!P$86</f>
        <v>27493430.485708799</v>
      </c>
      <c r="K42" s="34"/>
      <c r="L42" s="34"/>
      <c r="M42" s="34">
        <v>0</v>
      </c>
      <c r="N42" s="34">
        <v>0</v>
      </c>
      <c r="O42" s="34">
        <v>0</v>
      </c>
      <c r="P42" s="34">
        <v>0</v>
      </c>
      <c r="Q42" s="34">
        <v>0</v>
      </c>
      <c r="R42" s="34">
        <v>0</v>
      </c>
      <c r="S42" s="34">
        <v>0</v>
      </c>
      <c r="T42" s="34">
        <f>+$G$42</f>
        <v>42148550.504436001</v>
      </c>
      <c r="U42" s="34">
        <v>0</v>
      </c>
      <c r="X42" s="34"/>
      <c r="Y42" s="34">
        <v>0</v>
      </c>
      <c r="Z42" s="34">
        <v>0</v>
      </c>
      <c r="AA42" s="34">
        <v>0</v>
      </c>
      <c r="AB42" s="34">
        <v>0</v>
      </c>
      <c r="AC42" s="34">
        <v>0</v>
      </c>
      <c r="AD42" s="34">
        <v>0</v>
      </c>
      <c r="AE42" s="34">
        <v>0</v>
      </c>
      <c r="AF42" s="34">
        <f>+$H$42</f>
        <v>14655119.999999998</v>
      </c>
      <c r="AG42" s="34">
        <v>0</v>
      </c>
      <c r="AI42" s="34"/>
      <c r="AJ42" s="34">
        <v>0</v>
      </c>
      <c r="AK42" s="34">
        <v>0</v>
      </c>
      <c r="AL42" s="34">
        <v>0</v>
      </c>
      <c r="AM42" s="34">
        <v>0</v>
      </c>
      <c r="AN42" s="34">
        <v>0</v>
      </c>
      <c r="AO42" s="34">
        <v>0</v>
      </c>
      <c r="AP42" s="34">
        <v>0</v>
      </c>
      <c r="AQ42" s="34">
        <f>+$I$42</f>
        <v>1.8727199999999999E-2</v>
      </c>
      <c r="AR42" s="34">
        <v>0</v>
      </c>
      <c r="AT42" s="34"/>
      <c r="AU42" s="34">
        <v>0</v>
      </c>
      <c r="AV42" s="34">
        <v>0</v>
      </c>
      <c r="AW42" s="34">
        <v>0</v>
      </c>
      <c r="AX42" s="34">
        <v>0</v>
      </c>
      <c r="AY42" s="34">
        <v>0</v>
      </c>
      <c r="AZ42" s="34">
        <v>0</v>
      </c>
      <c r="BA42" s="34">
        <v>0</v>
      </c>
      <c r="BB42" s="34">
        <f>+$J$42</f>
        <v>27493430.485708799</v>
      </c>
      <c r="BC42" s="34">
        <v>0</v>
      </c>
    </row>
    <row r="43" spans="2:55" ht="15.5">
      <c r="B43" s="55" t="s">
        <v>28</v>
      </c>
      <c r="C43" s="9"/>
      <c r="D43" s="17">
        <v>10</v>
      </c>
      <c r="E43" s="9"/>
      <c r="F43" s="105">
        <f t="shared" si="64"/>
        <v>0</v>
      </c>
      <c r="G43" s="21">
        <f t="shared" si="65"/>
        <v>0</v>
      </c>
      <c r="H43" s="34">
        <f t="shared" ref="H43" si="80">+$D43*H19</f>
        <v>0</v>
      </c>
      <c r="I43" s="34">
        <f>+$D43*I19*(1+Assumptions!O$85)^Assumptions!O$86</f>
        <v>0</v>
      </c>
      <c r="J43" s="34">
        <f>+$D43*J19*(1+Assumptions!P$85)^Assumptions!P$86</f>
        <v>0</v>
      </c>
      <c r="M43" s="34">
        <v>0</v>
      </c>
      <c r="N43" s="34">
        <v>0</v>
      </c>
      <c r="O43" s="34">
        <v>0</v>
      </c>
      <c r="P43" s="34">
        <v>0</v>
      </c>
      <c r="Q43" s="34">
        <v>0</v>
      </c>
      <c r="R43" s="34">
        <v>0</v>
      </c>
      <c r="S43" s="34">
        <v>0</v>
      </c>
      <c r="T43" s="34">
        <v>0</v>
      </c>
      <c r="U43" s="34">
        <f>+$G$43</f>
        <v>0</v>
      </c>
      <c r="X43" s="41"/>
      <c r="Y43" s="34">
        <v>0</v>
      </c>
      <c r="Z43" s="34">
        <v>0</v>
      </c>
      <c r="AA43" s="34">
        <v>0</v>
      </c>
      <c r="AB43" s="34">
        <v>0</v>
      </c>
      <c r="AC43" s="34">
        <v>0</v>
      </c>
      <c r="AD43" s="34">
        <v>0</v>
      </c>
      <c r="AE43" s="34">
        <v>0</v>
      </c>
      <c r="AF43" s="34">
        <v>0</v>
      </c>
      <c r="AG43" s="34">
        <f>+$H$43</f>
        <v>0</v>
      </c>
      <c r="AI43" s="41"/>
      <c r="AJ43" s="34">
        <v>0</v>
      </c>
      <c r="AK43" s="34">
        <v>0</v>
      </c>
      <c r="AL43" s="34">
        <v>0</v>
      </c>
      <c r="AM43" s="34">
        <v>0</v>
      </c>
      <c r="AN43" s="34">
        <v>0</v>
      </c>
      <c r="AO43" s="34">
        <v>0</v>
      </c>
      <c r="AP43" s="34">
        <v>0</v>
      </c>
      <c r="AQ43" s="34">
        <v>0</v>
      </c>
      <c r="AR43" s="34">
        <f>+$I$43</f>
        <v>0</v>
      </c>
      <c r="AT43" s="41"/>
      <c r="AU43" s="34">
        <v>0</v>
      </c>
      <c r="AV43" s="34">
        <v>0</v>
      </c>
      <c r="AW43" s="34">
        <v>0</v>
      </c>
      <c r="AX43" s="34">
        <v>0</v>
      </c>
      <c r="AY43" s="34">
        <v>0</v>
      </c>
      <c r="AZ43" s="34">
        <v>0</v>
      </c>
      <c r="BA43" s="34">
        <v>0</v>
      </c>
      <c r="BB43" s="34">
        <v>0</v>
      </c>
      <c r="BC43" s="34">
        <f>+$J$43</f>
        <v>0</v>
      </c>
    </row>
    <row r="44" spans="2:55" ht="17.5">
      <c r="B44" s="9" t="s">
        <v>339</v>
      </c>
      <c r="C44" s="9"/>
      <c r="D44" s="22">
        <v>0.05</v>
      </c>
      <c r="E44" s="9"/>
      <c r="F44" s="105">
        <f t="shared" si="64"/>
        <v>7.4957541128177345</v>
      </c>
      <c r="G44" s="21">
        <f t="shared" si="65"/>
        <v>32388557.099397138</v>
      </c>
      <c r="H44" s="11">
        <f t="shared" ref="H44:J44" si="81">+SUM(H35:H43)*$D$44</f>
        <v>14604695.469494704</v>
      </c>
      <c r="I44" s="34">
        <f t="shared" si="81"/>
        <v>4123720.5399344061</v>
      </c>
      <c r="J44" s="34">
        <f t="shared" si="81"/>
        <v>13660141.089968024</v>
      </c>
      <c r="M44" s="34">
        <f t="shared" ref="M44:N44" si="82">+SUM(M35:M43)*$D$44</f>
        <v>5414670.1255867509</v>
      </c>
      <c r="N44" s="34">
        <f t="shared" si="82"/>
        <v>7288104.553160185</v>
      </c>
      <c r="O44" s="34">
        <f t="shared" ref="O44:U44" si="83">+SUM(O35:O43)*$D$44</f>
        <v>3908242.800021016</v>
      </c>
      <c r="P44" s="34">
        <f t="shared" si="83"/>
        <v>6.0553546639199998E-2</v>
      </c>
      <c r="Q44" s="34">
        <f t="shared" si="83"/>
        <v>3290373.7220061608</v>
      </c>
      <c r="R44" s="34">
        <f t="shared" si="83"/>
        <v>9546391.645504985</v>
      </c>
      <c r="S44" s="34">
        <f t="shared" si="83"/>
        <v>833346.66734268621</v>
      </c>
      <c r="T44" s="34">
        <f t="shared" si="83"/>
        <v>2107427.5252218</v>
      </c>
      <c r="U44" s="34">
        <f t="shared" si="83"/>
        <v>0</v>
      </c>
      <c r="X44" s="41"/>
      <c r="Y44" s="34">
        <f t="shared" ref="Y44:Z44" si="84">+SUM(Y35:Y43)*$D$44</f>
        <v>5414670</v>
      </c>
      <c r="Z44" s="34">
        <f t="shared" si="84"/>
        <v>2633040.0194399999</v>
      </c>
      <c r="AA44" s="34">
        <f t="shared" ref="AA44:AG44" si="85">+SUM(AA35:AA43)*$D$44</f>
        <v>3908242.8000000003</v>
      </c>
      <c r="AB44" s="34">
        <f t="shared" si="85"/>
        <v>4.9950000000000001E-2</v>
      </c>
      <c r="AC44" s="34">
        <f t="shared" si="85"/>
        <v>9.9000000000000008E-5</v>
      </c>
      <c r="AD44" s="34">
        <f t="shared" si="85"/>
        <v>1915986.6</v>
      </c>
      <c r="AE44" s="34">
        <f t="shared" si="85"/>
        <v>5.6999999999999996E-6</v>
      </c>
      <c r="AF44" s="34">
        <f t="shared" si="85"/>
        <v>732756</v>
      </c>
      <c r="AG44" s="34">
        <f t="shared" si="85"/>
        <v>0</v>
      </c>
      <c r="AI44" s="41"/>
      <c r="AJ44" s="34">
        <f t="shared" ref="AJ44:AK44" si="86">+SUM(AJ35:AJ43)*$D$44</f>
        <v>6.1550063999999995E-2</v>
      </c>
      <c r="AK44" s="34">
        <f t="shared" si="86"/>
        <v>8.3710584000000005E-2</v>
      </c>
      <c r="AL44" s="34">
        <f t="shared" ref="AL44:AR44" si="87">+SUM(AL35:AL43)*$D$44</f>
        <v>1.029996E-5</v>
      </c>
      <c r="AM44" s="34">
        <f t="shared" si="87"/>
        <v>5.1967980000000007E-3</v>
      </c>
      <c r="AN44" s="34">
        <f t="shared" si="87"/>
        <v>3290373.7217999999</v>
      </c>
      <c r="AO44" s="34">
        <f t="shared" si="87"/>
        <v>1.029996E-5</v>
      </c>
      <c r="AP44" s="34">
        <f t="shared" si="87"/>
        <v>833346.66671999998</v>
      </c>
      <c r="AQ44" s="34">
        <f t="shared" si="87"/>
        <v>9.3636000000000001E-4</v>
      </c>
      <c r="AR44" s="34">
        <f t="shared" si="87"/>
        <v>0</v>
      </c>
      <c r="AT44" s="41"/>
      <c r="AU44" s="34">
        <f t="shared" ref="AU44:AV44" si="88">+SUM(AU35:AU43)*$D$44</f>
        <v>6.4036686585599994E-2</v>
      </c>
      <c r="AV44" s="34">
        <f t="shared" si="88"/>
        <v>4655064.4500096003</v>
      </c>
      <c r="AW44" s="34">
        <f t="shared" ref="AW44:BC44" si="89">+SUM(AW35:AW43)*$D$44</f>
        <v>1.0716078384E-5</v>
      </c>
      <c r="AX44" s="34">
        <f t="shared" si="89"/>
        <v>5.4067486392000005E-3</v>
      </c>
      <c r="AY44" s="34">
        <f t="shared" si="89"/>
        <v>1.0716078384000001E-4</v>
      </c>
      <c r="AZ44" s="34">
        <f t="shared" si="89"/>
        <v>7630405.0454946849</v>
      </c>
      <c r="BA44" s="34">
        <f t="shared" si="89"/>
        <v>6.1698633120000007E-4</v>
      </c>
      <c r="BB44" s="34">
        <f t="shared" si="89"/>
        <v>1374671.5242854401</v>
      </c>
      <c r="BC44" s="34">
        <f t="shared" si="89"/>
        <v>0</v>
      </c>
    </row>
    <row r="45" spans="2:55" ht="15.5">
      <c r="B45" s="12" t="s">
        <v>66</v>
      </c>
      <c r="C45" s="12"/>
      <c r="D45" s="12"/>
      <c r="E45" s="12"/>
      <c r="F45" s="106">
        <f t="shared" si="64"/>
        <v>157.44786551666948</v>
      </c>
      <c r="G45" s="13">
        <f t="shared" ref="G45:J45" si="90">+SUM(G34:G44)</f>
        <v>680319699.08733988</v>
      </c>
      <c r="H45" s="129">
        <f t="shared" si="90"/>
        <v>306778604.85938877</v>
      </c>
      <c r="I45" s="129">
        <f t="shared" si="90"/>
        <v>86638131.338622525</v>
      </c>
      <c r="J45" s="129">
        <f t="shared" si="90"/>
        <v>286902962.88932848</v>
      </c>
      <c r="M45" s="129">
        <f t="shared" ref="M45:N45" ca="1" si="91">+SUM(M34:M44)</f>
        <v>113734496.10017598</v>
      </c>
      <c r="N45" s="129">
        <f t="shared" ca="1" si="91"/>
        <v>153072717.1026181</v>
      </c>
      <c r="O45" s="129">
        <f t="shared" ref="O45:U45" ca="1" si="92">+SUM(O34:O44)</f>
        <v>82092748.876770079</v>
      </c>
      <c r="P45" s="129">
        <f t="shared" ca="1" si="92"/>
        <v>1.2718993398055052</v>
      </c>
      <c r="Q45" s="129">
        <f t="shared" ca="1" si="92"/>
        <v>69125628.125152409</v>
      </c>
      <c r="R45" s="129">
        <f t="shared" ca="1" si="92"/>
        <v>200502430.13931483</v>
      </c>
      <c r="S45" s="129">
        <f t="shared" ca="1" si="92"/>
        <v>17512500.049959168</v>
      </c>
      <c r="T45" s="129">
        <f t="shared" ca="1" si="92"/>
        <v>44279177.421449803</v>
      </c>
      <c r="U45" s="129">
        <f t="shared" ca="1" si="92"/>
        <v>0</v>
      </c>
      <c r="X45" s="34">
        <f ca="1">+SUM(Y45:AG45)</f>
        <v>306778604.85938871</v>
      </c>
      <c r="Y45" s="129">
        <f t="shared" ref="Y45:AG45" ca="1" si="93">+SUM(Y34:Y44)</f>
        <v>113734493.46219857</v>
      </c>
      <c r="Z45" s="129">
        <f t="shared" ca="1" si="93"/>
        <v>55305975.738618776</v>
      </c>
      <c r="AA45" s="129">
        <f t="shared" ca="1" si="93"/>
        <v>82092748.876328632</v>
      </c>
      <c r="AB45" s="129">
        <f t="shared" ca="1" si="93"/>
        <v>1.0491739909200217</v>
      </c>
      <c r="AC45" s="129">
        <f t="shared" ca="1" si="93"/>
        <v>2.0794977576000487E-3</v>
      </c>
      <c r="AD45" s="129">
        <f t="shared" ca="1" si="93"/>
        <v>40245351.901936777</v>
      </c>
      <c r="AE45" s="129">
        <f t="shared" ca="1" si="93"/>
        <v>1.1974977576000484E-4</v>
      </c>
      <c r="AF45" s="129">
        <f t="shared" ca="1" si="93"/>
        <v>15400033.828932701</v>
      </c>
      <c r="AG45" s="129">
        <f t="shared" ca="1" si="93"/>
        <v>0</v>
      </c>
      <c r="AH45" s="34"/>
      <c r="AI45" s="34">
        <f ca="1">+SUM(AJ45:AR45)</f>
        <v>86638131.33862251</v>
      </c>
      <c r="AJ45" s="129">
        <f t="shared" ref="AJ45:AR45" ca="1" si="94">+SUM(AJ34:AJ44)</f>
        <v>1.2930557148363593</v>
      </c>
      <c r="AK45" s="129">
        <f t="shared" ca="1" si="94"/>
        <v>1.7585701196432548</v>
      </c>
      <c r="AL45" s="129">
        <f t="shared" ca="1" si="94"/>
        <v>2.163861204890275E-4</v>
      </c>
      <c r="AM45" s="129">
        <f t="shared" ca="1" si="94"/>
        <v>0.10917189022006238</v>
      </c>
      <c r="AN45" s="129">
        <f t="shared" ca="1" si="94"/>
        <v>69125628.120822281</v>
      </c>
      <c r="AO45" s="129">
        <f t="shared" ca="1" si="94"/>
        <v>2.163861204890275E-4</v>
      </c>
      <c r="AP45" s="129">
        <f t="shared" ca="1" si="94"/>
        <v>17512500.036880098</v>
      </c>
      <c r="AQ45" s="129">
        <f t="shared" ca="1" si="94"/>
        <v>1.968964814670825E-2</v>
      </c>
      <c r="AR45" s="129">
        <f t="shared" ca="1" si="94"/>
        <v>0</v>
      </c>
      <c r="AT45" s="34">
        <f ca="1">+SUM(AU45:BC45)</f>
        <v>286902962.88932848</v>
      </c>
      <c r="AU45" s="129">
        <f t="shared" ref="AU45:BC45" ca="1" si="95">+SUM(AU34:AU44)</f>
        <v>1.3449216983084484</v>
      </c>
      <c r="AV45" s="129">
        <f t="shared" ca="1" si="95"/>
        <v>97766739.605429187</v>
      </c>
      <c r="AW45" s="129">
        <f t="shared" ca="1" si="95"/>
        <v>2.2506372882449117E-4</v>
      </c>
      <c r="AX45" s="129">
        <f t="shared" ca="1" si="95"/>
        <v>0.11355345866542103</v>
      </c>
      <c r="AY45" s="129">
        <f t="shared" ca="1" si="95"/>
        <v>2.2506372882449121E-3</v>
      </c>
      <c r="AZ45" s="129">
        <f t="shared" ca="1" si="95"/>
        <v>160257078.23716167</v>
      </c>
      <c r="BA45" s="129">
        <f t="shared" ca="1" si="95"/>
        <v>1.2959321231249116E-2</v>
      </c>
      <c r="BB45" s="129">
        <f t="shared" ca="1" si="95"/>
        <v>28879143.572827447</v>
      </c>
      <c r="BC45" s="129">
        <f t="shared" ca="1" si="95"/>
        <v>0</v>
      </c>
    </row>
    <row r="46" spans="2:55">
      <c r="B46" s="210" t="s">
        <v>340</v>
      </c>
      <c r="C46" s="210"/>
      <c r="D46" s="210"/>
      <c r="E46" s="210"/>
      <c r="F46" s="210"/>
      <c r="G46" s="210"/>
      <c r="H46" s="210"/>
      <c r="I46" s="210"/>
      <c r="J46" s="210"/>
      <c r="M46" s="210"/>
      <c r="N46" s="210"/>
      <c r="O46" s="210"/>
      <c r="P46" s="210"/>
      <c r="Q46" s="210"/>
      <c r="R46" s="210"/>
      <c r="S46" s="210"/>
      <c r="T46" s="210"/>
      <c r="U46" s="210"/>
      <c r="X46" s="41"/>
      <c r="Y46" s="210"/>
      <c r="Z46" s="210"/>
      <c r="AA46" s="210"/>
      <c r="AB46" s="210"/>
      <c r="AC46" s="210"/>
      <c r="AD46" s="210"/>
      <c r="AE46" s="210"/>
      <c r="AF46" s="210"/>
      <c r="AG46" s="210"/>
      <c r="AI46" s="41"/>
      <c r="AJ46" s="210"/>
      <c r="AK46" s="210"/>
      <c r="AL46" s="210"/>
      <c r="AM46" s="210"/>
      <c r="AN46" s="210"/>
      <c r="AO46" s="210"/>
      <c r="AP46" s="210"/>
      <c r="AQ46" s="210"/>
      <c r="AR46" s="210"/>
      <c r="AT46" s="41"/>
      <c r="AU46" s="210"/>
      <c r="AV46" s="210"/>
      <c r="AW46" s="210"/>
      <c r="AX46" s="210"/>
      <c r="AY46" s="210"/>
      <c r="AZ46" s="210"/>
      <c r="BA46" s="210"/>
      <c r="BB46" s="210"/>
      <c r="BC46" s="210"/>
    </row>
    <row r="47" spans="2:55" s="41" customFormat="1">
      <c r="B47" s="33"/>
      <c r="C47" s="33"/>
      <c r="D47" s="33"/>
      <c r="E47" s="33"/>
      <c r="F47" s="33"/>
      <c r="G47" s="33"/>
      <c r="H47" s="33"/>
      <c r="I47" s="33"/>
      <c r="J47" s="33"/>
      <c r="M47" s="33"/>
      <c r="N47" s="33"/>
      <c r="O47" s="33"/>
      <c r="P47" s="33"/>
      <c r="Q47" s="33"/>
      <c r="R47" s="33"/>
      <c r="S47" s="33"/>
      <c r="T47" s="33"/>
      <c r="U47" s="33"/>
      <c r="Y47" s="33"/>
      <c r="Z47" s="33"/>
      <c r="AA47" s="33"/>
      <c r="AB47" s="33"/>
      <c r="AC47" s="33"/>
      <c r="AD47" s="33"/>
      <c r="AE47" s="33"/>
      <c r="AF47" s="33"/>
      <c r="AG47" s="33"/>
      <c r="AJ47" s="33"/>
      <c r="AK47" s="33"/>
      <c r="AL47" s="33"/>
      <c r="AM47" s="33"/>
      <c r="AN47" s="33"/>
      <c r="AO47" s="33"/>
      <c r="AP47" s="33"/>
      <c r="AQ47" s="33"/>
      <c r="AR47" s="33"/>
      <c r="AU47" s="33"/>
      <c r="AV47" s="33"/>
      <c r="AW47" s="33"/>
      <c r="AX47" s="33"/>
      <c r="AY47" s="33"/>
      <c r="AZ47" s="33"/>
      <c r="BA47" s="33"/>
      <c r="BB47" s="33"/>
      <c r="BC47" s="33"/>
    </row>
    <row r="48" spans="2:55" ht="32.25" customHeight="1">
      <c r="B48" s="15" t="s">
        <v>57</v>
      </c>
      <c r="C48" s="16"/>
      <c r="D48" s="16"/>
      <c r="E48" s="199" t="s">
        <v>341</v>
      </c>
      <c r="F48" s="16"/>
      <c r="G48" s="15" t="s">
        <v>17</v>
      </c>
      <c r="H48" s="23" t="str">
        <f>+H$22</f>
        <v>I</v>
      </c>
      <c r="I48" s="23" t="str">
        <f t="shared" ref="I48:J48" si="96">+I$22</f>
        <v>II</v>
      </c>
      <c r="J48" s="46" t="str">
        <f t="shared" si="96"/>
        <v>III</v>
      </c>
      <c r="M48" s="214" t="str">
        <f t="shared" ref="M48:U48" ca="1" si="97">+M$22</f>
        <v>Affordable Residential</v>
      </c>
      <c r="N48" s="214" t="str">
        <f t="shared" ca="1" si="97"/>
        <v>Multifamily</v>
      </c>
      <c r="O48" s="214" t="str">
        <f t="shared" ca="1" si="97"/>
        <v>Retail</v>
      </c>
      <c r="P48" s="214" t="str">
        <f t="shared" ca="1" si="97"/>
        <v>Hotel</v>
      </c>
      <c r="Q48" s="214" t="str">
        <f t="shared" ca="1" si="97"/>
        <v>Gallery &amp; Museum Facility</v>
      </c>
      <c r="R48" s="214" t="str">
        <f t="shared" ca="1" si="97"/>
        <v>Office</v>
      </c>
      <c r="S48" s="214" t="str">
        <f t="shared" ca="1" si="97"/>
        <v>School</v>
      </c>
      <c r="T48" s="214" t="str">
        <f t="shared" ca="1" si="97"/>
        <v>Structural Parking</v>
      </c>
      <c r="U48" s="214" t="str">
        <f t="shared" ca="1" si="97"/>
        <v>Surface Parking</v>
      </c>
      <c r="X48" s="41"/>
      <c r="Y48" s="214" t="str">
        <f t="shared" ref="Y48:AG48" ca="1" si="98">+Y$22</f>
        <v>Affordable Residential</v>
      </c>
      <c r="Z48" s="214" t="str">
        <f t="shared" ca="1" si="98"/>
        <v>Multifamily</v>
      </c>
      <c r="AA48" s="214" t="str">
        <f t="shared" ca="1" si="98"/>
        <v>Retail</v>
      </c>
      <c r="AB48" s="214" t="str">
        <f t="shared" ca="1" si="98"/>
        <v>Hotel</v>
      </c>
      <c r="AC48" s="214" t="str">
        <f t="shared" ca="1" si="98"/>
        <v>Gallery &amp; Museum Facility</v>
      </c>
      <c r="AD48" s="214" t="str">
        <f t="shared" ca="1" si="98"/>
        <v>Office</v>
      </c>
      <c r="AE48" s="214" t="str">
        <f t="shared" ca="1" si="98"/>
        <v>School</v>
      </c>
      <c r="AF48" s="214" t="str">
        <f t="shared" ca="1" si="98"/>
        <v>Structural Parking</v>
      </c>
      <c r="AG48" s="214" t="str">
        <f t="shared" ca="1" si="98"/>
        <v>Surface Parking</v>
      </c>
      <c r="AI48" s="41"/>
      <c r="AJ48" s="214" t="str">
        <f t="shared" ref="AJ48:AR48" ca="1" si="99">+AJ$22</f>
        <v>Affordable Residential</v>
      </c>
      <c r="AK48" s="214" t="str">
        <f t="shared" ca="1" si="99"/>
        <v>Multifamily</v>
      </c>
      <c r="AL48" s="214" t="str">
        <f t="shared" ca="1" si="99"/>
        <v>Retail</v>
      </c>
      <c r="AM48" s="214" t="str">
        <f t="shared" ca="1" si="99"/>
        <v>Hotel</v>
      </c>
      <c r="AN48" s="214" t="str">
        <f t="shared" ca="1" si="99"/>
        <v>Gallery &amp; Museum Facility</v>
      </c>
      <c r="AO48" s="214" t="str">
        <f t="shared" ca="1" si="99"/>
        <v>Office</v>
      </c>
      <c r="AP48" s="214" t="str">
        <f t="shared" ca="1" si="99"/>
        <v>School</v>
      </c>
      <c r="AQ48" s="214" t="str">
        <f t="shared" ca="1" si="99"/>
        <v>Structural Parking</v>
      </c>
      <c r="AR48" s="214" t="str">
        <f t="shared" ca="1" si="99"/>
        <v>Surface Parking</v>
      </c>
      <c r="AT48" s="41"/>
      <c r="AU48" s="214" t="str">
        <f t="shared" ref="AU48:BC48" ca="1" si="100">+AU$22</f>
        <v>Affordable Residential</v>
      </c>
      <c r="AV48" s="214" t="str">
        <f t="shared" ca="1" si="100"/>
        <v>Multifamily</v>
      </c>
      <c r="AW48" s="214" t="str">
        <f t="shared" ca="1" si="100"/>
        <v>Retail</v>
      </c>
      <c r="AX48" s="214" t="str">
        <f t="shared" ca="1" si="100"/>
        <v>Hotel</v>
      </c>
      <c r="AY48" s="214" t="str">
        <f t="shared" ca="1" si="100"/>
        <v>Gallery &amp; Museum Facility</v>
      </c>
      <c r="AZ48" s="214" t="str">
        <f t="shared" ca="1" si="100"/>
        <v>Office</v>
      </c>
      <c r="BA48" s="214" t="str">
        <f t="shared" ca="1" si="100"/>
        <v>School</v>
      </c>
      <c r="BB48" s="214" t="str">
        <f t="shared" ca="1" si="100"/>
        <v>Structural Parking</v>
      </c>
      <c r="BC48" s="214" t="str">
        <f t="shared" ca="1" si="100"/>
        <v>Surface Parking</v>
      </c>
    </row>
    <row r="49" spans="1:55" ht="15.5">
      <c r="A49" s="116"/>
      <c r="B49" s="9" t="s">
        <v>67</v>
      </c>
      <c r="C49" s="9"/>
      <c r="D49" s="107">
        <v>0.05</v>
      </c>
      <c r="E49" s="22">
        <v>0.7</v>
      </c>
      <c r="F49" s="105">
        <f t="shared" ref="F49:F64" si="101">+G49/$G$10</f>
        <v>7.4957541128177345</v>
      </c>
      <c r="G49" s="43">
        <f>+D49*SUM(G35:G43)</f>
        <v>32388557.099397138</v>
      </c>
      <c r="H49" s="11">
        <f t="shared" ref="H49:J54" si="102">+$G49*H$20</f>
        <v>14456683.228151122</v>
      </c>
      <c r="I49" s="11">
        <f t="shared" si="102"/>
        <v>4137467.5032184045</v>
      </c>
      <c r="J49" s="11">
        <f t="shared" si="102"/>
        <v>13794406.368027611</v>
      </c>
      <c r="M49" s="39">
        <f t="shared" ref="M49:U63" ca="1" si="103">+$H49*M$5+$I49*M$6+$J49*M$7</f>
        <v>4774945.3892880511</v>
      </c>
      <c r="N49" s="39">
        <f t="shared" ca="1" si="103"/>
        <v>5774729.0517176539</v>
      </c>
      <c r="O49" s="39">
        <f t="shared" ca="1" si="103"/>
        <v>3550936.6111683282</v>
      </c>
      <c r="P49" s="39">
        <f t="shared" ca="1" si="103"/>
        <v>4.8572486651058927E-2</v>
      </c>
      <c r="Q49" s="39">
        <f t="shared" ca="1" si="103"/>
        <v>2873467.356312125</v>
      </c>
      <c r="R49" s="39">
        <f t="shared" ca="1" si="103"/>
        <v>8145659.9808301833</v>
      </c>
      <c r="S49" s="39">
        <f t="shared" ca="1" si="103"/>
        <v>1264000.0220480044</v>
      </c>
      <c r="T49" s="39">
        <f t="shared" ca="1" si="103"/>
        <v>6004818.6394603066</v>
      </c>
      <c r="U49" s="39">
        <f t="shared" ca="1" si="103"/>
        <v>0</v>
      </c>
      <c r="X49" s="41"/>
      <c r="Y49" s="39">
        <f t="shared" ref="Y49:AG63" ca="1" si="104">+$H49*Y$5+$I49*Y$6+$J49*Y$7</f>
        <v>4774945.2849471532</v>
      </c>
      <c r="Z49" s="39">
        <f t="shared" ca="1" si="104"/>
        <v>2192957.8394367849</v>
      </c>
      <c r="AA49" s="39">
        <f t="shared" ca="1" si="104"/>
        <v>3550936.6111503388</v>
      </c>
      <c r="AB49" s="39">
        <f t="shared" ca="1" si="104"/>
        <v>4.0477072209215773E-2</v>
      </c>
      <c r="AC49" s="39">
        <f t="shared" ca="1" si="104"/>
        <v>8.9949049353812814E-5</v>
      </c>
      <c r="AD49" s="39">
        <f t="shared" ca="1" si="104"/>
        <v>1740819.9317640809</v>
      </c>
      <c r="AE49" s="39">
        <f t="shared" ca="1" si="104"/>
        <v>8.9949049353812807E-6</v>
      </c>
      <c r="AF49" s="39">
        <f t="shared" ca="1" si="104"/>
        <v>2197023.5202767486</v>
      </c>
      <c r="AG49" s="39">
        <f t="shared" ca="1" si="104"/>
        <v>0</v>
      </c>
      <c r="AI49" s="41"/>
      <c r="AJ49" s="39">
        <f t="shared" ref="AJ49:AR63" ca="1" si="105">+$H49*AJ$5+$I49*AJ$6+$J49*AJ$7</f>
        <v>5.2170448625211419E-2</v>
      </c>
      <c r="AK49" s="39">
        <f t="shared" ca="1" si="105"/>
        <v>6.7012041768590547E-2</v>
      </c>
      <c r="AL49" s="39">
        <f t="shared" ca="1" si="105"/>
        <v>8.9949049353812807E-6</v>
      </c>
      <c r="AM49" s="39">
        <f t="shared" ca="1" si="105"/>
        <v>4.0477072209215764E-3</v>
      </c>
      <c r="AN49" s="39">
        <f t="shared" ca="1" si="105"/>
        <v>2873467.356132227</v>
      </c>
      <c r="AO49" s="39">
        <f t="shared" ca="1" si="105"/>
        <v>8.9949049353812807E-6</v>
      </c>
      <c r="AP49" s="39">
        <f t="shared" ca="1" si="105"/>
        <v>1264000.0211395191</v>
      </c>
      <c r="AQ49" s="39">
        <f t="shared" ca="1" si="105"/>
        <v>2.6984714806143838E-3</v>
      </c>
      <c r="AR49" s="39">
        <f t="shared" ca="1" si="105"/>
        <v>0</v>
      </c>
      <c r="AT49" s="41"/>
      <c r="AU49" s="39">
        <f t="shared" ref="AU49:BC63" ca="1" si="106">+$H49*AU$5+$I49*AU$6+$J49*AU$7</f>
        <v>5.2170448625211432E-2</v>
      </c>
      <c r="AV49" s="39">
        <f t="shared" ca="1" si="106"/>
        <v>3581771.1452688267</v>
      </c>
      <c r="AW49" s="39">
        <f t="shared" ca="1" si="106"/>
        <v>8.9949049353812807E-6</v>
      </c>
      <c r="AX49" s="39">
        <f t="shared" ca="1" si="106"/>
        <v>4.0477072209215764E-3</v>
      </c>
      <c r="AY49" s="39">
        <f t="shared" ca="1" si="106"/>
        <v>8.9949049353812814E-5</v>
      </c>
      <c r="AZ49" s="39">
        <f t="shared" ca="1" si="106"/>
        <v>6404840.0490571074</v>
      </c>
      <c r="BA49" s="39">
        <f t="shared" ca="1" si="106"/>
        <v>8.9949049353812819E-4</v>
      </c>
      <c r="BB49" s="39">
        <f t="shared" ca="1" si="106"/>
        <v>3807795.1164850872</v>
      </c>
      <c r="BC49" s="39">
        <f t="shared" ca="1" si="106"/>
        <v>0</v>
      </c>
    </row>
    <row r="50" spans="1:55" ht="15.5">
      <c r="A50" s="116"/>
      <c r="B50" s="9" t="s">
        <v>68</v>
      </c>
      <c r="C50" s="9"/>
      <c r="D50" s="9"/>
      <c r="E50" s="22">
        <v>0.75</v>
      </c>
      <c r="F50" s="105">
        <f t="shared" si="101"/>
        <v>1.3786275194340933</v>
      </c>
      <c r="G50" s="27">
        <f>8.19*(G45+G31)/1000</f>
        <v>5956939.8168540364</v>
      </c>
      <c r="H50" s="11">
        <f t="shared" si="102"/>
        <v>2658889.4243461778</v>
      </c>
      <c r="I50" s="11">
        <f t="shared" si="102"/>
        <v>760967.67247838061</v>
      </c>
      <c r="J50" s="11">
        <f t="shared" si="102"/>
        <v>2537082.720029478</v>
      </c>
      <c r="M50" s="39">
        <f t="shared" ca="1" si="103"/>
        <v>878213.32162040123</v>
      </c>
      <c r="N50" s="39">
        <f t="shared" ca="1" si="103"/>
        <v>1062094.6562747909</v>
      </c>
      <c r="O50" s="39">
        <f t="shared" ca="1" si="103"/>
        <v>653092.25172575179</v>
      </c>
      <c r="P50" s="39">
        <f t="shared" ca="1" si="103"/>
        <v>8.9335063259329255E-3</v>
      </c>
      <c r="Q50" s="39">
        <f t="shared" ca="1" si="103"/>
        <v>528491.34509806894</v>
      </c>
      <c r="R50" s="39">
        <f t="shared" ca="1" si="103"/>
        <v>1498158.9369804002</v>
      </c>
      <c r="S50" s="39">
        <f t="shared" ca="1" si="103"/>
        <v>232476.30441623746</v>
      </c>
      <c r="T50" s="39">
        <f t="shared" ca="1" si="103"/>
        <v>1104412.9918048803</v>
      </c>
      <c r="U50" s="39">
        <f t="shared" ca="1" si="103"/>
        <v>0</v>
      </c>
      <c r="X50" s="41"/>
      <c r="Y50" s="39">
        <f t="shared" ca="1" si="104"/>
        <v>878213.30242990609</v>
      </c>
      <c r="Z50" s="39">
        <f t="shared" ca="1" si="104"/>
        <v>403331.27006347373</v>
      </c>
      <c r="AA50" s="39">
        <f t="shared" ca="1" si="104"/>
        <v>653092.25172244303</v>
      </c>
      <c r="AB50" s="39">
        <f t="shared" ca="1" si="104"/>
        <v>7.4445886049441046E-3</v>
      </c>
      <c r="AC50" s="39">
        <f t="shared" ca="1" si="104"/>
        <v>1.654353023320912E-5</v>
      </c>
      <c r="AD50" s="39">
        <f t="shared" ca="1" si="104"/>
        <v>320173.55801538937</v>
      </c>
      <c r="AE50" s="39">
        <f t="shared" ca="1" si="104"/>
        <v>1.6543530233209119E-6</v>
      </c>
      <c r="AF50" s="39">
        <f t="shared" ca="1" si="104"/>
        <v>404079.03465217934</v>
      </c>
      <c r="AG50" s="39">
        <f t="shared" ca="1" si="104"/>
        <v>0</v>
      </c>
      <c r="AI50" s="41"/>
      <c r="AJ50" s="39">
        <f t="shared" ca="1" si="105"/>
        <v>9.5952475352612861E-3</v>
      </c>
      <c r="AK50" s="39">
        <f t="shared" ca="1" si="105"/>
        <v>1.2324930023740792E-2</v>
      </c>
      <c r="AL50" s="39">
        <f t="shared" ca="1" si="105"/>
        <v>1.6543530233209117E-6</v>
      </c>
      <c r="AM50" s="39">
        <f t="shared" ca="1" si="105"/>
        <v>7.4445886049441024E-4</v>
      </c>
      <c r="AN50" s="39">
        <f t="shared" ca="1" si="105"/>
        <v>528491.34506498184</v>
      </c>
      <c r="AO50" s="39">
        <f t="shared" ca="1" si="105"/>
        <v>1.6543530233209117E-6</v>
      </c>
      <c r="AP50" s="39">
        <f t="shared" ca="1" si="105"/>
        <v>232476.3042491478</v>
      </c>
      <c r="AQ50" s="39">
        <f t="shared" ca="1" si="105"/>
        <v>4.963059069962735E-4</v>
      </c>
      <c r="AR50" s="39">
        <f t="shared" ca="1" si="105"/>
        <v>0</v>
      </c>
      <c r="AT50" s="41"/>
      <c r="AU50" s="39">
        <f t="shared" ca="1" si="106"/>
        <v>9.5952475352612896E-3</v>
      </c>
      <c r="AV50" s="39">
        <f t="shared" ca="1" si="106"/>
        <v>658763.37388638721</v>
      </c>
      <c r="AW50" s="39">
        <f t="shared" ca="1" si="106"/>
        <v>1.6543530233209119E-6</v>
      </c>
      <c r="AX50" s="39">
        <f t="shared" ca="1" si="106"/>
        <v>7.4445886049441035E-4</v>
      </c>
      <c r="AY50" s="39">
        <f t="shared" ca="1" si="106"/>
        <v>1.654353023320912E-5</v>
      </c>
      <c r="AZ50" s="39">
        <f t="shared" ca="1" si="106"/>
        <v>1177985.3789633564</v>
      </c>
      <c r="BA50" s="39">
        <f t="shared" ca="1" si="106"/>
        <v>1.6543530233209118E-4</v>
      </c>
      <c r="BB50" s="39">
        <f t="shared" ca="1" si="106"/>
        <v>700333.95665639499</v>
      </c>
      <c r="BC50" s="39">
        <f t="shared" ca="1" si="106"/>
        <v>0</v>
      </c>
    </row>
    <row r="51" spans="1:55" ht="15.5">
      <c r="B51" s="9" t="s">
        <v>69</v>
      </c>
      <c r="C51" s="9"/>
      <c r="D51" s="9"/>
      <c r="E51" s="22">
        <v>1</v>
      </c>
      <c r="F51" s="105">
        <f t="shared" si="101"/>
        <v>6.9429651557005506E-2</v>
      </c>
      <c r="G51" s="26">
        <v>300000</v>
      </c>
      <c r="H51" s="11">
        <f>+$G51*H$20</f>
        <v>133905.47022936266</v>
      </c>
      <c r="I51" s="11">
        <f t="shared" si="102"/>
        <v>38323.419198832577</v>
      </c>
      <c r="J51" s="11">
        <f t="shared" si="102"/>
        <v>127771.11057180473</v>
      </c>
      <c r="M51" s="39">
        <f t="shared" ca="1" si="103"/>
        <v>44228.077601304394</v>
      </c>
      <c r="N51" s="39">
        <f t="shared" ca="1" si="103"/>
        <v>53488.604330186172</v>
      </c>
      <c r="O51" s="39">
        <f t="shared" ca="1" si="103"/>
        <v>32890.658885521239</v>
      </c>
      <c r="P51" s="39">
        <f t="shared" ca="1" si="103"/>
        <v>4.4990414208939574E-4</v>
      </c>
      <c r="Q51" s="39">
        <f t="shared" ca="1" si="103"/>
        <v>26615.579207438146</v>
      </c>
      <c r="R51" s="39">
        <f t="shared" ca="1" si="103"/>
        <v>75449.424522049492</v>
      </c>
      <c r="S51" s="39">
        <f t="shared" ca="1" si="103"/>
        <v>11707.838834890845</v>
      </c>
      <c r="T51" s="39">
        <f t="shared" ca="1" si="103"/>
        <v>55619.816168705554</v>
      </c>
      <c r="U51" s="39">
        <f t="shared" ca="1" si="103"/>
        <v>0</v>
      </c>
      <c r="X51" s="41"/>
      <c r="Y51" s="39">
        <f t="shared" ca="1" si="104"/>
        <v>44228.076634843645</v>
      </c>
      <c r="Z51" s="39">
        <f t="shared" ca="1" si="104"/>
        <v>20312.339009485575</v>
      </c>
      <c r="AA51" s="39">
        <f t="shared" ca="1" si="104"/>
        <v>32890.658885354605</v>
      </c>
      <c r="AB51" s="39">
        <f t="shared" ca="1" si="104"/>
        <v>3.7492011840782976E-4</v>
      </c>
      <c r="AC51" s="39">
        <f t="shared" ca="1" si="104"/>
        <v>8.3315581868406609E-7</v>
      </c>
      <c r="AD51" s="39">
        <f t="shared" ca="1" si="104"/>
        <v>16124.397821320203</v>
      </c>
      <c r="AE51" s="39">
        <f t="shared" ca="1" si="104"/>
        <v>8.3315581868406598E-8</v>
      </c>
      <c r="AF51" s="39">
        <f t="shared" ca="1" si="104"/>
        <v>20349.997502522048</v>
      </c>
      <c r="AG51" s="39">
        <f t="shared" ca="1" si="104"/>
        <v>0</v>
      </c>
      <c r="AI51" s="41"/>
      <c r="AJ51" s="39">
        <f t="shared" ca="1" si="105"/>
        <v>4.8323037483675828E-4</v>
      </c>
      <c r="AK51" s="39">
        <f t="shared" ca="1" si="105"/>
        <v>6.2070108491962925E-4</v>
      </c>
      <c r="AL51" s="39">
        <f t="shared" ca="1" si="105"/>
        <v>8.3315581868406611E-8</v>
      </c>
      <c r="AM51" s="39">
        <f t="shared" ca="1" si="105"/>
        <v>3.7492011840782972E-5</v>
      </c>
      <c r="AN51" s="39">
        <f t="shared" ca="1" si="105"/>
        <v>26615.579205771835</v>
      </c>
      <c r="AO51" s="39">
        <f t="shared" ca="1" si="105"/>
        <v>8.3315581868406611E-8</v>
      </c>
      <c r="AP51" s="39">
        <f t="shared" ca="1" si="105"/>
        <v>11707.838826475971</v>
      </c>
      <c r="AQ51" s="39">
        <f t="shared" ca="1" si="105"/>
        <v>2.4994674560521981E-5</v>
      </c>
      <c r="AR51" s="39">
        <f t="shared" ca="1" si="105"/>
        <v>0</v>
      </c>
      <c r="AT51" s="41"/>
      <c r="AU51" s="39">
        <f t="shared" ca="1" si="106"/>
        <v>4.8323037483675833E-4</v>
      </c>
      <c r="AV51" s="39">
        <f t="shared" ca="1" si="106"/>
        <v>33176.264699999512</v>
      </c>
      <c r="AW51" s="39">
        <f t="shared" ca="1" si="106"/>
        <v>8.3315581868406611E-8</v>
      </c>
      <c r="AX51" s="39">
        <f t="shared" ca="1" si="106"/>
        <v>3.7492011840782972E-5</v>
      </c>
      <c r="AY51" s="39">
        <f t="shared" ca="1" si="106"/>
        <v>8.3315581868406609E-7</v>
      </c>
      <c r="AZ51" s="39">
        <f t="shared" ca="1" si="106"/>
        <v>59325.026700645976</v>
      </c>
      <c r="BA51" s="39">
        <f t="shared" ca="1" si="106"/>
        <v>8.3315581868406604E-6</v>
      </c>
      <c r="BB51" s="39">
        <f t="shared" ca="1" si="106"/>
        <v>35269.818641188831</v>
      </c>
      <c r="BC51" s="39">
        <f t="shared" ca="1" si="106"/>
        <v>0</v>
      </c>
    </row>
    <row r="52" spans="1:55" ht="15.5">
      <c r="B52" s="9" t="s">
        <v>70</v>
      </c>
      <c r="C52" s="9"/>
      <c r="D52" s="9"/>
      <c r="E52" s="22">
        <v>0</v>
      </c>
      <c r="F52" s="105">
        <f>+G52/$G$10</f>
        <v>0.41657790934203309</v>
      </c>
      <c r="G52" s="26">
        <v>1800000</v>
      </c>
      <c r="H52" s="11">
        <f t="shared" si="102"/>
        <v>803432.82137617609</v>
      </c>
      <c r="I52" s="11">
        <f t="shared" si="102"/>
        <v>229940.51519299546</v>
      </c>
      <c r="J52" s="11">
        <f t="shared" si="102"/>
        <v>766626.66343082837</v>
      </c>
      <c r="M52" s="39">
        <f t="shared" ca="1" si="103"/>
        <v>265368.46560782642</v>
      </c>
      <c r="N52" s="39">
        <f t="shared" ca="1" si="103"/>
        <v>320931.62598111707</v>
      </c>
      <c r="O52" s="39">
        <f t="shared" ca="1" si="103"/>
        <v>197343.95331312745</v>
      </c>
      <c r="P52" s="39">
        <f t="shared" ca="1" si="103"/>
        <v>2.6994248525363746E-3</v>
      </c>
      <c r="Q52" s="39">
        <f t="shared" ca="1" si="103"/>
        <v>159693.47524462888</v>
      </c>
      <c r="R52" s="39">
        <f t="shared" ca="1" si="103"/>
        <v>452696.54713229695</v>
      </c>
      <c r="S52" s="39">
        <f t="shared" ca="1" si="103"/>
        <v>70247.033009345061</v>
      </c>
      <c r="T52" s="39">
        <f t="shared" ca="1" si="103"/>
        <v>333718.89701223333</v>
      </c>
      <c r="U52" s="39">
        <f t="shared" ca="1" si="103"/>
        <v>0</v>
      </c>
      <c r="X52" s="41"/>
      <c r="Y52" s="39">
        <f t="shared" ca="1" si="104"/>
        <v>265368.4598090619</v>
      </c>
      <c r="Z52" s="39">
        <f t="shared" ca="1" si="104"/>
        <v>121874.03405691346</v>
      </c>
      <c r="AA52" s="39">
        <f t="shared" ca="1" si="104"/>
        <v>197343.95331212768</v>
      </c>
      <c r="AB52" s="39">
        <f t="shared" ca="1" si="104"/>
        <v>2.2495207104469787E-3</v>
      </c>
      <c r="AC52" s="39">
        <f t="shared" ca="1" si="104"/>
        <v>4.9989349121043969E-6</v>
      </c>
      <c r="AD52" s="39">
        <f t="shared" ca="1" si="104"/>
        <v>96746.386927921238</v>
      </c>
      <c r="AE52" s="39">
        <f t="shared" ca="1" si="104"/>
        <v>4.9989349121043969E-7</v>
      </c>
      <c r="AF52" s="39">
        <f t="shared" ca="1" si="104"/>
        <v>122099.9850151323</v>
      </c>
      <c r="AG52" s="39">
        <f t="shared" ca="1" si="104"/>
        <v>0</v>
      </c>
      <c r="AI52" s="41"/>
      <c r="AJ52" s="39">
        <f t="shared" ca="1" si="105"/>
        <v>2.8993822490205497E-3</v>
      </c>
      <c r="AK52" s="39">
        <f t="shared" ca="1" si="105"/>
        <v>3.7242065095177755E-3</v>
      </c>
      <c r="AL52" s="39">
        <f t="shared" ca="1" si="105"/>
        <v>4.9989349121043969E-7</v>
      </c>
      <c r="AM52" s="39">
        <f t="shared" ca="1" si="105"/>
        <v>2.2495207104469785E-4</v>
      </c>
      <c r="AN52" s="39">
        <f t="shared" ca="1" si="105"/>
        <v>159693.47523463101</v>
      </c>
      <c r="AO52" s="39">
        <f t="shared" ca="1" si="105"/>
        <v>4.9989349121043969E-7</v>
      </c>
      <c r="AP52" s="39">
        <f t="shared" ca="1" si="105"/>
        <v>70247.032958855823</v>
      </c>
      <c r="AQ52" s="39">
        <f t="shared" ca="1" si="105"/>
        <v>1.4996804736313189E-4</v>
      </c>
      <c r="AR52" s="39">
        <f t="shared" ca="1" si="105"/>
        <v>0</v>
      </c>
      <c r="AT52" s="41"/>
      <c r="AU52" s="39">
        <f t="shared" ca="1" si="106"/>
        <v>2.8993822490205497E-3</v>
      </c>
      <c r="AV52" s="39">
        <f t="shared" ca="1" si="106"/>
        <v>199057.58819999709</v>
      </c>
      <c r="AW52" s="39">
        <f t="shared" ca="1" si="106"/>
        <v>4.9989349121043959E-7</v>
      </c>
      <c r="AX52" s="39">
        <f t="shared" ca="1" si="106"/>
        <v>2.2495207104469782E-4</v>
      </c>
      <c r="AY52" s="39">
        <f t="shared" ca="1" si="106"/>
        <v>4.9989349121043961E-6</v>
      </c>
      <c r="AZ52" s="39">
        <f t="shared" ca="1" si="106"/>
        <v>355950.16020387586</v>
      </c>
      <c r="BA52" s="39">
        <f t="shared" ca="1" si="106"/>
        <v>4.9989349121043963E-5</v>
      </c>
      <c r="BB52" s="39">
        <f t="shared" ca="1" si="106"/>
        <v>211618.91184713299</v>
      </c>
      <c r="BC52" s="39">
        <f t="shared" ca="1" si="106"/>
        <v>0</v>
      </c>
    </row>
    <row r="53" spans="1:55" ht="15.5">
      <c r="B53" s="9" t="s">
        <v>71</v>
      </c>
      <c r="C53" s="9"/>
      <c r="D53" s="9"/>
      <c r="E53" s="22">
        <v>0.5</v>
      </c>
      <c r="F53" s="105">
        <f t="shared" si="101"/>
        <v>0.23143217185668505</v>
      </c>
      <c r="G53" s="26">
        <v>1000000</v>
      </c>
      <c r="H53" s="11">
        <f t="shared" si="102"/>
        <v>446351.56743120891</v>
      </c>
      <c r="I53" s="11">
        <f t="shared" si="102"/>
        <v>127744.73066277526</v>
      </c>
      <c r="J53" s="11">
        <f t="shared" si="102"/>
        <v>425903.70190601581</v>
      </c>
      <c r="M53" s="39">
        <f t="shared" ca="1" si="103"/>
        <v>147426.92533768131</v>
      </c>
      <c r="N53" s="39">
        <f t="shared" ca="1" si="103"/>
        <v>178295.34776728725</v>
      </c>
      <c r="O53" s="39">
        <f t="shared" ca="1" si="103"/>
        <v>109635.52961840415</v>
      </c>
      <c r="P53" s="39">
        <f t="shared" ca="1" si="103"/>
        <v>1.4996804736313193E-3</v>
      </c>
      <c r="Q53" s="39">
        <f t="shared" ca="1" si="103"/>
        <v>88718.597358127154</v>
      </c>
      <c r="R53" s="39">
        <f t="shared" ca="1" si="103"/>
        <v>251498.08174016501</v>
      </c>
      <c r="S53" s="39">
        <f t="shared" ca="1" si="103"/>
        <v>39026.129449636137</v>
      </c>
      <c r="T53" s="39">
        <f t="shared" ca="1" si="103"/>
        <v>185399.38722901852</v>
      </c>
      <c r="U53" s="39">
        <f t="shared" ca="1" si="103"/>
        <v>0</v>
      </c>
      <c r="X53" s="41"/>
      <c r="Y53" s="39">
        <f t="shared" ca="1" si="104"/>
        <v>147426.92211614549</v>
      </c>
      <c r="Z53" s="39">
        <f t="shared" ca="1" si="104"/>
        <v>67707.796698285252</v>
      </c>
      <c r="AA53" s="39">
        <f t="shared" ca="1" si="104"/>
        <v>109635.5296178487</v>
      </c>
      <c r="AB53" s="39">
        <f t="shared" ca="1" si="104"/>
        <v>1.2497337280260993E-3</v>
      </c>
      <c r="AC53" s="39">
        <f t="shared" ca="1" si="104"/>
        <v>2.7771860622802204E-6</v>
      </c>
      <c r="AD53" s="39">
        <f t="shared" ca="1" si="104"/>
        <v>53747.992737734014</v>
      </c>
      <c r="AE53" s="39">
        <f t="shared" ca="1" si="104"/>
        <v>2.7771860622802201E-7</v>
      </c>
      <c r="AF53" s="39">
        <f t="shared" ca="1" si="104"/>
        <v>67833.325008406828</v>
      </c>
      <c r="AG53" s="39">
        <f t="shared" ca="1" si="104"/>
        <v>0</v>
      </c>
      <c r="AI53" s="41"/>
      <c r="AJ53" s="39">
        <f t="shared" ca="1" si="105"/>
        <v>1.6107679161225276E-3</v>
      </c>
      <c r="AK53" s="39">
        <f t="shared" ca="1" si="105"/>
        <v>2.0690036163987643E-3</v>
      </c>
      <c r="AL53" s="39">
        <f t="shared" ca="1" si="105"/>
        <v>2.7771860622802201E-7</v>
      </c>
      <c r="AM53" s="39">
        <f t="shared" ca="1" si="105"/>
        <v>1.2497337280260992E-4</v>
      </c>
      <c r="AN53" s="39">
        <f t="shared" ca="1" si="105"/>
        <v>88718.597352572775</v>
      </c>
      <c r="AO53" s="39">
        <f t="shared" ca="1" si="105"/>
        <v>2.7771860622802201E-7</v>
      </c>
      <c r="AP53" s="39">
        <f t="shared" ca="1" si="105"/>
        <v>39026.129421586564</v>
      </c>
      <c r="AQ53" s="39">
        <f t="shared" ca="1" si="105"/>
        <v>8.3315581868406604E-5</v>
      </c>
      <c r="AR53" s="39">
        <f t="shared" ca="1" si="105"/>
        <v>0</v>
      </c>
      <c r="AT53" s="41"/>
      <c r="AU53" s="39">
        <f t="shared" ca="1" si="106"/>
        <v>1.6107679161225278E-3</v>
      </c>
      <c r="AV53" s="39">
        <f t="shared" ca="1" si="106"/>
        <v>110587.54899999838</v>
      </c>
      <c r="AW53" s="39">
        <f t="shared" ca="1" si="106"/>
        <v>2.7771860622802206E-7</v>
      </c>
      <c r="AX53" s="39">
        <f t="shared" ca="1" si="106"/>
        <v>1.2497337280260992E-4</v>
      </c>
      <c r="AY53" s="39">
        <f t="shared" ca="1" si="106"/>
        <v>2.7771860622802204E-6</v>
      </c>
      <c r="AZ53" s="39">
        <f t="shared" ca="1" si="106"/>
        <v>197750.08900215328</v>
      </c>
      <c r="BA53" s="39">
        <f t="shared" ca="1" si="106"/>
        <v>2.7771860622802203E-5</v>
      </c>
      <c r="BB53" s="39">
        <f t="shared" ca="1" si="106"/>
        <v>117566.06213729612</v>
      </c>
      <c r="BC53" s="39">
        <f t="shared" ca="1" si="106"/>
        <v>0</v>
      </c>
    </row>
    <row r="54" spans="1:55" ht="15.5">
      <c r="B54" s="9" t="s">
        <v>72</v>
      </c>
      <c r="C54" s="9"/>
      <c r="D54" s="9"/>
      <c r="E54" s="22">
        <v>0</v>
      </c>
      <c r="F54" s="105">
        <f t="shared" si="101"/>
        <v>0.11571608592834252</v>
      </c>
      <c r="G54" s="200">
        <v>500000</v>
      </c>
      <c r="H54" s="11">
        <f t="shared" si="102"/>
        <v>223175.78371560446</v>
      </c>
      <c r="I54" s="11">
        <f t="shared" si="102"/>
        <v>63872.365331387628</v>
      </c>
      <c r="J54" s="11">
        <f t="shared" si="102"/>
        <v>212951.8509530079</v>
      </c>
      <c r="K54" s="28"/>
      <c r="L54" s="28"/>
      <c r="M54" s="39">
        <f t="shared" ca="1" si="103"/>
        <v>73713.462668840657</v>
      </c>
      <c r="N54" s="39">
        <f t="shared" ca="1" si="103"/>
        <v>89147.673883643627</v>
      </c>
      <c r="O54" s="39">
        <f t="shared" ca="1" si="103"/>
        <v>54817.764809202075</v>
      </c>
      <c r="P54" s="39">
        <f t="shared" ca="1" si="103"/>
        <v>7.4984023681565963E-4</v>
      </c>
      <c r="Q54" s="39">
        <f t="shared" ca="1" si="103"/>
        <v>44359.298679063577</v>
      </c>
      <c r="R54" s="39">
        <f t="shared" ca="1" si="103"/>
        <v>125749.04087008251</v>
      </c>
      <c r="S54" s="39">
        <f t="shared" ca="1" si="103"/>
        <v>19513.064724818068</v>
      </c>
      <c r="T54" s="39">
        <f t="shared" ca="1" si="103"/>
        <v>92699.693614509262</v>
      </c>
      <c r="U54" s="39">
        <f t="shared" ca="1" si="103"/>
        <v>0</v>
      </c>
      <c r="X54" s="28"/>
      <c r="Y54" s="39">
        <f t="shared" ca="1" si="104"/>
        <v>73713.461058072746</v>
      </c>
      <c r="Z54" s="39">
        <f t="shared" ca="1" si="104"/>
        <v>33853.898349142626</v>
      </c>
      <c r="AA54" s="39">
        <f t="shared" ca="1" si="104"/>
        <v>54817.764808924352</v>
      </c>
      <c r="AB54" s="39">
        <f t="shared" ca="1" si="104"/>
        <v>6.2486686401304965E-4</v>
      </c>
      <c r="AC54" s="39">
        <f t="shared" ca="1" si="104"/>
        <v>1.3885930311401102E-6</v>
      </c>
      <c r="AD54" s="39">
        <f t="shared" ca="1" si="104"/>
        <v>26873.996368867007</v>
      </c>
      <c r="AE54" s="39">
        <f t="shared" ca="1" si="104"/>
        <v>1.3885930311401101E-7</v>
      </c>
      <c r="AF54" s="39">
        <f t="shared" ca="1" si="104"/>
        <v>33916.662504203414</v>
      </c>
      <c r="AG54" s="39">
        <f t="shared" ca="1" si="104"/>
        <v>0</v>
      </c>
      <c r="AI54" s="28"/>
      <c r="AJ54" s="39">
        <f t="shared" ca="1" si="105"/>
        <v>8.053839580612638E-4</v>
      </c>
      <c r="AK54" s="39">
        <f t="shared" ca="1" si="105"/>
        <v>1.0345018081993822E-3</v>
      </c>
      <c r="AL54" s="39">
        <f t="shared" ca="1" si="105"/>
        <v>1.3885930311401101E-7</v>
      </c>
      <c r="AM54" s="39">
        <f t="shared" ca="1" si="105"/>
        <v>6.248668640130496E-5</v>
      </c>
      <c r="AN54" s="39">
        <f t="shared" ca="1" si="105"/>
        <v>44359.298676286387</v>
      </c>
      <c r="AO54" s="39">
        <f t="shared" ca="1" si="105"/>
        <v>1.3885930311401101E-7</v>
      </c>
      <c r="AP54" s="39">
        <f t="shared" ca="1" si="105"/>
        <v>19513.064710793282</v>
      </c>
      <c r="AQ54" s="39">
        <f t="shared" ca="1" si="105"/>
        <v>4.1657790934203302E-5</v>
      </c>
      <c r="AR54" s="39">
        <f t="shared" ca="1" si="105"/>
        <v>0</v>
      </c>
      <c r="AT54" s="28"/>
      <c r="AU54" s="39">
        <f t="shared" ca="1" si="106"/>
        <v>8.0538395806126391E-4</v>
      </c>
      <c r="AV54" s="39">
        <f t="shared" ca="1" si="106"/>
        <v>55293.774499999192</v>
      </c>
      <c r="AW54" s="39">
        <f t="shared" ca="1" si="106"/>
        <v>1.3885930311401103E-7</v>
      </c>
      <c r="AX54" s="39">
        <f t="shared" ca="1" si="106"/>
        <v>6.248668640130496E-5</v>
      </c>
      <c r="AY54" s="39">
        <f t="shared" ca="1" si="106"/>
        <v>1.3885930311401102E-6</v>
      </c>
      <c r="AZ54" s="39">
        <f t="shared" ca="1" si="106"/>
        <v>98875.044501076642</v>
      </c>
      <c r="BA54" s="39">
        <f t="shared" ca="1" si="106"/>
        <v>1.3885930311401101E-5</v>
      </c>
      <c r="BB54" s="39">
        <f t="shared" ca="1" si="106"/>
        <v>58783.031068648059</v>
      </c>
      <c r="BC54" s="39">
        <f t="shared" ca="1" si="106"/>
        <v>0</v>
      </c>
    </row>
    <row r="55" spans="1:55" ht="15.5">
      <c r="B55" s="9" t="s">
        <v>342</v>
      </c>
      <c r="C55" s="9"/>
      <c r="D55" s="9"/>
      <c r="E55" s="22">
        <v>0.1</v>
      </c>
      <c r="F55" s="105">
        <f t="shared" si="101"/>
        <v>3.0038129670666693</v>
      </c>
      <c r="G55" s="29">
        <f>+SUM(H55:J55)</f>
        <v>12979236.823334951</v>
      </c>
      <c r="H55" s="11">
        <f>+SUMIF('Taxes and TIF'!$B$11:$B$45,"&lt;"&amp;'Taxes and TIF'!$H$9,'Taxes and TIF'!$L$11:$L$45)</f>
        <v>1570826.8839104476</v>
      </c>
      <c r="I55" s="34">
        <f>+SUMIF('Taxes and TIF'!$R$11:$R$45,"&lt;"&amp;'Taxes and TIF'!$X$9,'Taxes and TIF'!$AB$11:$AB$45)</f>
        <v>5513778.2223112406</v>
      </c>
      <c r="J55" s="34">
        <f>+SUMIF('Taxes and TIF'!$AG$11:$AG$45,"&lt;"&amp;'Taxes and TIF'!$AM$9,'Taxes and TIF'!$AQ$11:$AQ$45)</f>
        <v>5894631.717113263</v>
      </c>
      <c r="M55" s="39">
        <f t="shared" ca="1" si="103"/>
        <v>518833.65166206466</v>
      </c>
      <c r="N55" s="39">
        <f t="shared" ca="1" si="103"/>
        <v>1768845.3799397312</v>
      </c>
      <c r="O55" s="39">
        <f t="shared" ca="1" si="103"/>
        <v>385835.85211467859</v>
      </c>
      <c r="P55" s="39">
        <f t="shared" ca="1" si="103"/>
        <v>1.1521964562479286E-2</v>
      </c>
      <c r="Q55" s="39">
        <f t="shared" ca="1" si="103"/>
        <v>3829313.8782695746</v>
      </c>
      <c r="R55" s="39">
        <f t="shared" ca="1" si="103"/>
        <v>2926072.1508010421</v>
      </c>
      <c r="S55" s="39">
        <f t="shared" ca="1" si="103"/>
        <v>1684464.1766329538</v>
      </c>
      <c r="T55" s="39">
        <f t="shared" ca="1" si="103"/>
        <v>1865871.7223929428</v>
      </c>
      <c r="U55" s="39">
        <f t="shared" ca="1" si="103"/>
        <v>0</v>
      </c>
      <c r="X55" s="41"/>
      <c r="Y55" s="39">
        <f t="shared" ca="1" si="104"/>
        <v>518833.55984384258</v>
      </c>
      <c r="Z55" s="39">
        <f t="shared" ca="1" si="104"/>
        <v>238281.29005148198</v>
      </c>
      <c r="AA55" s="39">
        <f t="shared" ca="1" si="104"/>
        <v>385835.85209884791</v>
      </c>
      <c r="AB55" s="39">
        <f t="shared" ca="1" si="104"/>
        <v>4.3981369865259343E-3</v>
      </c>
      <c r="AC55" s="39">
        <f t="shared" ca="1" si="104"/>
        <v>9.773637747835408E-6</v>
      </c>
      <c r="AD55" s="39">
        <f t="shared" ca="1" si="104"/>
        <v>189153.12078895778</v>
      </c>
      <c r="AE55" s="39">
        <f t="shared" ca="1" si="104"/>
        <v>9.7736377478354067E-7</v>
      </c>
      <c r="AF55" s="39">
        <f t="shared" ca="1" si="104"/>
        <v>238723.05671842938</v>
      </c>
      <c r="AG55" s="39">
        <f t="shared" ca="1" si="104"/>
        <v>0</v>
      </c>
      <c r="AI55" s="41"/>
      <c r="AJ55" s="39">
        <f t="shared" ca="1" si="105"/>
        <v>6.9524723337195865E-2</v>
      </c>
      <c r="AK55" s="39">
        <f t="shared" ca="1" si="105"/>
        <v>8.9303308424501598E-2</v>
      </c>
      <c r="AL55" s="39">
        <f t="shared" ca="1" si="105"/>
        <v>1.1987021265033771E-5</v>
      </c>
      <c r="AM55" s="39">
        <f t="shared" ca="1" si="105"/>
        <v>5.3941595692651974E-3</v>
      </c>
      <c r="AN55" s="39">
        <f t="shared" ca="1" si="105"/>
        <v>3829313.8782213638</v>
      </c>
      <c r="AO55" s="39">
        <f t="shared" ca="1" si="105"/>
        <v>1.1987021265033771E-5</v>
      </c>
      <c r="AP55" s="39">
        <f t="shared" ca="1" si="105"/>
        <v>1684464.1762476058</v>
      </c>
      <c r="AQ55" s="39">
        <f t="shared" ca="1" si="105"/>
        <v>3.5961063795101316E-3</v>
      </c>
      <c r="AR55" s="39">
        <f t="shared" ca="1" si="105"/>
        <v>0</v>
      </c>
      <c r="AT55" s="41"/>
      <c r="AU55" s="39">
        <f t="shared" ca="1" si="106"/>
        <v>2.229349875286955E-2</v>
      </c>
      <c r="AV55" s="39">
        <f t="shared" ca="1" si="106"/>
        <v>1530564.0005849409</v>
      </c>
      <c r="AW55" s="39">
        <f t="shared" ca="1" si="106"/>
        <v>3.8437066815292331E-6</v>
      </c>
      <c r="AX55" s="39">
        <f t="shared" ca="1" si="106"/>
        <v>1.7296680066881548E-3</v>
      </c>
      <c r="AY55" s="39">
        <f t="shared" ca="1" si="106"/>
        <v>3.8437066815292331E-5</v>
      </c>
      <c r="AZ55" s="39">
        <f t="shared" ca="1" si="106"/>
        <v>2736919.0300000971</v>
      </c>
      <c r="BA55" s="39">
        <f t="shared" ca="1" si="106"/>
        <v>3.8437066815292332E-4</v>
      </c>
      <c r="BB55" s="39">
        <f t="shared" ca="1" si="106"/>
        <v>1627148.6620784071</v>
      </c>
      <c r="BC55" s="39">
        <f t="shared" ca="1" si="106"/>
        <v>0</v>
      </c>
    </row>
    <row r="56" spans="1:55" ht="15.5">
      <c r="B56" s="9" t="s">
        <v>58</v>
      </c>
      <c r="C56" s="9"/>
      <c r="D56" s="107">
        <v>0.01</v>
      </c>
      <c r="E56" s="22">
        <v>0.1</v>
      </c>
      <c r="F56" s="105">
        <f t="shared" si="101"/>
        <v>1.4991508225635468</v>
      </c>
      <c r="G56" s="48">
        <f>$D$56*SUM(G35:G43)</f>
        <v>6477711.4198794272</v>
      </c>
      <c r="H56" s="11">
        <f t="shared" ref="H56:J63" si="107">+$G56*H$20</f>
        <v>2891336.6456302241</v>
      </c>
      <c r="I56" s="11">
        <f t="shared" si="107"/>
        <v>827493.50064368092</v>
      </c>
      <c r="J56" s="11">
        <f t="shared" si="107"/>
        <v>2758881.2736055218</v>
      </c>
      <c r="M56" s="39">
        <f t="shared" ca="1" si="103"/>
        <v>954989.07785760995</v>
      </c>
      <c r="N56" s="39">
        <f t="shared" ca="1" si="103"/>
        <v>1154945.8103435305</v>
      </c>
      <c r="O56" s="39">
        <f t="shared" ca="1" si="103"/>
        <v>710187.32223366562</v>
      </c>
      <c r="P56" s="39">
        <f t="shared" ca="1" si="103"/>
        <v>9.7144973302117823E-3</v>
      </c>
      <c r="Q56" s="39">
        <f t="shared" ca="1" si="103"/>
        <v>574693.47126242495</v>
      </c>
      <c r="R56" s="39">
        <f t="shared" ca="1" si="103"/>
        <v>1629131.9961660365</v>
      </c>
      <c r="S56" s="39">
        <f t="shared" ca="1" si="103"/>
        <v>252800.00440960092</v>
      </c>
      <c r="T56" s="39">
        <f t="shared" ca="1" si="103"/>
        <v>1200963.7278920612</v>
      </c>
      <c r="U56" s="39">
        <f t="shared" ca="1" si="103"/>
        <v>0</v>
      </c>
      <c r="X56" s="41"/>
      <c r="Y56" s="39">
        <f t="shared" ca="1" si="104"/>
        <v>954989.05698943057</v>
      </c>
      <c r="Z56" s="39">
        <f t="shared" ca="1" si="104"/>
        <v>438591.56788735697</v>
      </c>
      <c r="AA56" s="39">
        <f t="shared" ca="1" si="104"/>
        <v>710187.32223006769</v>
      </c>
      <c r="AB56" s="39">
        <f t="shared" ca="1" si="104"/>
        <v>8.0954144418431528E-3</v>
      </c>
      <c r="AC56" s="39">
        <f t="shared" ca="1" si="104"/>
        <v>1.7989809870762561E-5</v>
      </c>
      <c r="AD56" s="39">
        <f t="shared" ca="1" si="104"/>
        <v>348163.98635281617</v>
      </c>
      <c r="AE56" s="39">
        <f t="shared" ca="1" si="104"/>
        <v>1.7989809870762561E-6</v>
      </c>
      <c r="AF56" s="39">
        <f t="shared" ca="1" si="104"/>
        <v>439404.70405534969</v>
      </c>
      <c r="AG56" s="39">
        <f t="shared" ca="1" si="104"/>
        <v>0</v>
      </c>
      <c r="AI56" s="41"/>
      <c r="AJ56" s="39">
        <f t="shared" ca="1" si="105"/>
        <v>1.0434089725042284E-2</v>
      </c>
      <c r="AK56" s="39">
        <f t="shared" ca="1" si="105"/>
        <v>1.3402408353718108E-2</v>
      </c>
      <c r="AL56" s="39">
        <f t="shared" ca="1" si="105"/>
        <v>1.7989809870762561E-6</v>
      </c>
      <c r="AM56" s="39">
        <f t="shared" ca="1" si="105"/>
        <v>8.095414441843153E-4</v>
      </c>
      <c r="AN56" s="39">
        <f t="shared" ca="1" si="105"/>
        <v>574693.4712264454</v>
      </c>
      <c r="AO56" s="39">
        <f t="shared" ca="1" si="105"/>
        <v>1.7989809870762561E-6</v>
      </c>
      <c r="AP56" s="39">
        <f t="shared" ca="1" si="105"/>
        <v>252800.00422790382</v>
      </c>
      <c r="AQ56" s="39">
        <f t="shared" ca="1" si="105"/>
        <v>5.3969429612287683E-4</v>
      </c>
      <c r="AR56" s="39">
        <f t="shared" ca="1" si="105"/>
        <v>0</v>
      </c>
      <c r="AT56" s="41"/>
      <c r="AU56" s="39">
        <f t="shared" ca="1" si="106"/>
        <v>1.0434089725042285E-2</v>
      </c>
      <c r="AV56" s="39">
        <f t="shared" ca="1" si="106"/>
        <v>716354.2290537653</v>
      </c>
      <c r="AW56" s="39">
        <f t="shared" ca="1" si="106"/>
        <v>1.7989809870762561E-6</v>
      </c>
      <c r="AX56" s="39">
        <f t="shared" ca="1" si="106"/>
        <v>8.0954144418431519E-4</v>
      </c>
      <c r="AY56" s="39">
        <f t="shared" ca="1" si="106"/>
        <v>1.7989809870762561E-5</v>
      </c>
      <c r="AZ56" s="39">
        <f t="shared" ca="1" si="106"/>
        <v>1280968.0098114214</v>
      </c>
      <c r="BA56" s="39">
        <f t="shared" ca="1" si="106"/>
        <v>1.798980987076256E-4</v>
      </c>
      <c r="BB56" s="39">
        <f t="shared" ca="1" si="106"/>
        <v>761559.02329701732</v>
      </c>
      <c r="BC56" s="39">
        <f t="shared" ca="1" si="106"/>
        <v>0</v>
      </c>
    </row>
    <row r="57" spans="1:55" ht="15.5">
      <c r="B57" s="9" t="s">
        <v>87</v>
      </c>
      <c r="C57" s="9"/>
      <c r="D57" s="201"/>
      <c r="E57" s="22">
        <v>0.25</v>
      </c>
      <c r="F57" s="105">
        <f t="shared" si="101"/>
        <v>3.4714825778502753E-2</v>
      </c>
      <c r="G57" s="26">
        <v>150000</v>
      </c>
      <c r="H57" s="11">
        <f t="shared" si="107"/>
        <v>66952.735114681331</v>
      </c>
      <c r="I57" s="11">
        <f t="shared" si="107"/>
        <v>19161.709599416288</v>
      </c>
      <c r="J57" s="11">
        <f t="shared" si="107"/>
        <v>63885.555285902366</v>
      </c>
      <c r="M57" s="39">
        <f t="shared" ca="1" si="103"/>
        <v>22114.038800652197</v>
      </c>
      <c r="N57" s="39">
        <f t="shared" ca="1" si="103"/>
        <v>26744.302165093086</v>
      </c>
      <c r="O57" s="39">
        <f t="shared" ca="1" si="103"/>
        <v>16445.32944276062</v>
      </c>
      <c r="P57" s="39">
        <f t="shared" ca="1" si="103"/>
        <v>2.2495207104469787E-4</v>
      </c>
      <c r="Q57" s="39">
        <f t="shared" ca="1" si="103"/>
        <v>13307.789603719073</v>
      </c>
      <c r="R57" s="39">
        <f t="shared" ca="1" si="103"/>
        <v>37724.712261024746</v>
      </c>
      <c r="S57" s="39">
        <f t="shared" ca="1" si="103"/>
        <v>5853.9194174454224</v>
      </c>
      <c r="T57" s="39">
        <f t="shared" ca="1" si="103"/>
        <v>27809.908084352777</v>
      </c>
      <c r="U57" s="39">
        <f t="shared" ca="1" si="103"/>
        <v>0</v>
      </c>
      <c r="X57" s="41"/>
      <c r="Y57" s="39">
        <f t="shared" ca="1" si="104"/>
        <v>22114.038317421822</v>
      </c>
      <c r="Z57" s="39">
        <f t="shared" ca="1" si="104"/>
        <v>10156.169504742787</v>
      </c>
      <c r="AA57" s="39">
        <f t="shared" ca="1" si="104"/>
        <v>16445.329442677303</v>
      </c>
      <c r="AB57" s="39">
        <f t="shared" ca="1" si="104"/>
        <v>1.8746005920391488E-4</v>
      </c>
      <c r="AC57" s="39">
        <f t="shared" ca="1" si="104"/>
        <v>4.1657790934203304E-7</v>
      </c>
      <c r="AD57" s="39">
        <f t="shared" ca="1" si="104"/>
        <v>8062.1989106601013</v>
      </c>
      <c r="AE57" s="39">
        <f t="shared" ca="1" si="104"/>
        <v>4.1657790934203299E-8</v>
      </c>
      <c r="AF57" s="39">
        <f t="shared" ca="1" si="104"/>
        <v>10174.998751261024</v>
      </c>
      <c r="AG57" s="39">
        <f t="shared" ca="1" si="104"/>
        <v>0</v>
      </c>
      <c r="AI57" s="41"/>
      <c r="AJ57" s="39">
        <f t="shared" ca="1" si="105"/>
        <v>2.4161518741837914E-4</v>
      </c>
      <c r="AK57" s="39">
        <f t="shared" ca="1" si="105"/>
        <v>3.1035054245981462E-4</v>
      </c>
      <c r="AL57" s="39">
        <f t="shared" ca="1" si="105"/>
        <v>4.1657790934203306E-8</v>
      </c>
      <c r="AM57" s="39">
        <f t="shared" ca="1" si="105"/>
        <v>1.8746005920391486E-5</v>
      </c>
      <c r="AN57" s="39">
        <f t="shared" ca="1" si="105"/>
        <v>13307.789602885918</v>
      </c>
      <c r="AO57" s="39">
        <f t="shared" ca="1" si="105"/>
        <v>4.1657790934203306E-8</v>
      </c>
      <c r="AP57" s="39">
        <f t="shared" ca="1" si="105"/>
        <v>5853.9194132379853</v>
      </c>
      <c r="AQ57" s="39">
        <f t="shared" ca="1" si="105"/>
        <v>1.2497337280260991E-5</v>
      </c>
      <c r="AR57" s="39">
        <f t="shared" ca="1" si="105"/>
        <v>0</v>
      </c>
      <c r="AT57" s="41"/>
      <c r="AU57" s="39">
        <f t="shared" ca="1" si="106"/>
        <v>2.4161518741837917E-4</v>
      </c>
      <c r="AV57" s="39">
        <f t="shared" ca="1" si="106"/>
        <v>16588.132349999756</v>
      </c>
      <c r="AW57" s="39">
        <f t="shared" ca="1" si="106"/>
        <v>4.1657790934203306E-8</v>
      </c>
      <c r="AX57" s="39">
        <f t="shared" ca="1" si="106"/>
        <v>1.8746005920391486E-5</v>
      </c>
      <c r="AY57" s="39">
        <f t="shared" ca="1" si="106"/>
        <v>4.1657790934203304E-7</v>
      </c>
      <c r="AZ57" s="39">
        <f t="shared" ca="1" si="106"/>
        <v>29662.513350322988</v>
      </c>
      <c r="BA57" s="39">
        <f t="shared" ca="1" si="106"/>
        <v>4.1657790934203302E-6</v>
      </c>
      <c r="BB57" s="39">
        <f t="shared" ca="1" si="106"/>
        <v>17634.909320594415</v>
      </c>
      <c r="BC57" s="39">
        <f t="shared" ca="1" si="106"/>
        <v>0</v>
      </c>
    </row>
    <row r="58" spans="1:55" ht="15.5">
      <c r="B58" s="9" t="s">
        <v>73</v>
      </c>
      <c r="C58" s="9"/>
      <c r="D58" s="170">
        <v>2.5000000000000001E-3</v>
      </c>
      <c r="E58" s="22">
        <v>0.25</v>
      </c>
      <c r="F58" s="105">
        <f>+G58/$G$10</f>
        <v>0.39361966379167374</v>
      </c>
      <c r="G58" s="811">
        <f>D58*G45</f>
        <v>1700799.2477183498</v>
      </c>
      <c r="H58" s="34">
        <f>+$G58*H$20</f>
        <v>759154.41010490642</v>
      </c>
      <c r="I58" s="34">
        <f t="shared" si="107"/>
        <v>217268.14181123135</v>
      </c>
      <c r="J58" s="34">
        <f t="shared" si="107"/>
        <v>724376.69580221199</v>
      </c>
      <c r="K58" s="34"/>
      <c r="L58" s="34"/>
      <c r="M58" s="39">
        <f t="shared" ca="1" si="103"/>
        <v>250743.60370775775</v>
      </c>
      <c r="N58" s="39">
        <f t="shared" ca="1" si="103"/>
        <v>303244.59335428372</v>
      </c>
      <c r="O58" s="39">
        <f t="shared" ca="1" si="103"/>
        <v>186468.02629818465</v>
      </c>
      <c r="P58" s="39">
        <f t="shared" ca="1" si="103"/>
        <v>2.5506554213700463E-3</v>
      </c>
      <c r="Q58" s="39">
        <f t="shared" ca="1" si="103"/>
        <v>150892.52364532984</v>
      </c>
      <c r="R58" s="39">
        <f t="shared" ca="1" si="103"/>
        <v>427747.74822628067</v>
      </c>
      <c r="S58" s="39">
        <f t="shared" ca="1" si="103"/>
        <v>66375.611609300075</v>
      </c>
      <c r="T58" s="39">
        <f t="shared" ca="1" si="103"/>
        <v>315327.13832655776</v>
      </c>
      <c r="U58" s="39">
        <f t="shared" ca="1" si="103"/>
        <v>0</v>
      </c>
      <c r="X58" s="34"/>
      <c r="Y58" s="39">
        <f t="shared" ca="1" si="104"/>
        <v>250743.59822857202</v>
      </c>
      <c r="Z58" s="39">
        <f t="shared" ca="1" si="104"/>
        <v>115157.36968911052</v>
      </c>
      <c r="AA58" s="39">
        <f t="shared" ca="1" si="104"/>
        <v>186468.02629723994</v>
      </c>
      <c r="AB58" s="39">
        <f t="shared" ca="1" si="104"/>
        <v>2.1255461844750384E-3</v>
      </c>
      <c r="AC58" s="39">
        <f t="shared" ca="1" si="104"/>
        <v>4.7234359655000852E-6</v>
      </c>
      <c r="AD58" s="39">
        <f t="shared" ca="1" si="104"/>
        <v>91414.54561470935</v>
      </c>
      <c r="AE58" s="39">
        <f t="shared" ca="1" si="104"/>
        <v>4.7234359655000848E-7</v>
      </c>
      <c r="AF58" s="39">
        <f t="shared" ca="1" si="104"/>
        <v>115370.86814453267</v>
      </c>
      <c r="AG58" s="39">
        <f t="shared" ca="1" si="104"/>
        <v>0</v>
      </c>
      <c r="AI58" s="34"/>
      <c r="AJ58" s="39">
        <f t="shared" ca="1" si="105"/>
        <v>2.7395928599900487E-3</v>
      </c>
      <c r="AK58" s="39">
        <f t="shared" ca="1" si="105"/>
        <v>3.5189597942975629E-3</v>
      </c>
      <c r="AL58" s="39">
        <f t="shared" ca="1" si="105"/>
        <v>4.7234359655000843E-7</v>
      </c>
      <c r="AM58" s="39">
        <f t="shared" ca="1" si="105"/>
        <v>2.1255461844750382E-4</v>
      </c>
      <c r="AN58" s="39">
        <f t="shared" ca="1" si="105"/>
        <v>150892.52363588297</v>
      </c>
      <c r="AO58" s="39">
        <f t="shared" ca="1" si="105"/>
        <v>4.7234359655000843E-7</v>
      </c>
      <c r="AP58" s="39">
        <f t="shared" ca="1" si="105"/>
        <v>66375.611561593381</v>
      </c>
      <c r="AQ58" s="39">
        <f t="shared" ca="1" si="105"/>
        <v>1.4170307896500253E-4</v>
      </c>
      <c r="AR58" s="39">
        <f t="shared" ca="1" si="105"/>
        <v>0</v>
      </c>
      <c r="AT58" s="34"/>
      <c r="AU58" s="39">
        <f t="shared" ca="1" si="106"/>
        <v>2.7395928599900496E-3</v>
      </c>
      <c r="AV58" s="39">
        <f t="shared" ca="1" si="106"/>
        <v>188087.22014621343</v>
      </c>
      <c r="AW58" s="39">
        <f t="shared" ca="1" si="106"/>
        <v>4.7234359655000848E-7</v>
      </c>
      <c r="AX58" s="39">
        <f t="shared" ca="1" si="106"/>
        <v>2.1255461844750382E-4</v>
      </c>
      <c r="AY58" s="39">
        <f t="shared" ca="1" si="106"/>
        <v>4.7234359655000852E-6</v>
      </c>
      <c r="AZ58" s="39">
        <f t="shared" ca="1" si="106"/>
        <v>336333.202611099</v>
      </c>
      <c r="BA58" s="39">
        <f t="shared" ca="1" si="106"/>
        <v>4.7234359655000852E-5</v>
      </c>
      <c r="BB58" s="39">
        <f t="shared" ca="1" si="106"/>
        <v>199956.27004032201</v>
      </c>
      <c r="BC58" s="39">
        <f t="shared" ca="1" si="106"/>
        <v>0</v>
      </c>
    </row>
    <row r="59" spans="1:55" ht="15.5">
      <c r="B59" s="9" t="s">
        <v>90</v>
      </c>
      <c r="C59" s="9"/>
      <c r="D59" s="9"/>
      <c r="E59" s="22">
        <v>0.25</v>
      </c>
      <c r="F59" s="105">
        <f t="shared" si="101"/>
        <v>4.6286434371337011E-2</v>
      </c>
      <c r="G59" s="26">
        <v>200000</v>
      </c>
      <c r="H59" s="11">
        <f t="shared" si="107"/>
        <v>89270.313486241779</v>
      </c>
      <c r="I59" s="11">
        <f t="shared" si="107"/>
        <v>25548.946132555051</v>
      </c>
      <c r="J59" s="11">
        <f t="shared" si="107"/>
        <v>85180.740381203155</v>
      </c>
      <c r="M59" s="39">
        <f t="shared" ca="1" si="103"/>
        <v>29485.385067536266</v>
      </c>
      <c r="N59" s="39">
        <f t="shared" ca="1" si="103"/>
        <v>35659.069553457448</v>
      </c>
      <c r="O59" s="39">
        <f t="shared" ca="1" si="103"/>
        <v>21927.105923680829</v>
      </c>
      <c r="P59" s="39">
        <f t="shared" ca="1" si="103"/>
        <v>2.9993609472626383E-4</v>
      </c>
      <c r="Q59" s="39">
        <f t="shared" ca="1" si="103"/>
        <v>17743.719471625427</v>
      </c>
      <c r="R59" s="39">
        <f t="shared" ca="1" si="103"/>
        <v>50299.616348033</v>
      </c>
      <c r="S59" s="39">
        <f t="shared" ca="1" si="103"/>
        <v>7805.2258899272292</v>
      </c>
      <c r="T59" s="39">
        <f t="shared" ca="1" si="103"/>
        <v>37079.877445803701</v>
      </c>
      <c r="U59" s="39">
        <f t="shared" ca="1" si="103"/>
        <v>0</v>
      </c>
      <c r="X59" s="41"/>
      <c r="Y59" s="39">
        <f t="shared" ca="1" si="104"/>
        <v>29485.384423229098</v>
      </c>
      <c r="Z59" s="39">
        <f t="shared" ca="1" si="104"/>
        <v>13541.559339657049</v>
      </c>
      <c r="AA59" s="39">
        <f t="shared" ca="1" si="104"/>
        <v>21927.105923569739</v>
      </c>
      <c r="AB59" s="39">
        <f t="shared" ca="1" si="104"/>
        <v>2.4994674560521984E-4</v>
      </c>
      <c r="AC59" s="39">
        <f t="shared" ca="1" si="104"/>
        <v>5.5543721245604402E-7</v>
      </c>
      <c r="AD59" s="39">
        <f t="shared" ca="1" si="104"/>
        <v>10749.598547546802</v>
      </c>
      <c r="AE59" s="39">
        <f t="shared" ca="1" si="104"/>
        <v>5.5543721245604401E-8</v>
      </c>
      <c r="AF59" s="39">
        <f t="shared" ca="1" si="104"/>
        <v>13566.665001681366</v>
      </c>
      <c r="AG59" s="39">
        <f t="shared" ca="1" si="104"/>
        <v>0</v>
      </c>
      <c r="AI59" s="41"/>
      <c r="AJ59" s="39">
        <f t="shared" ca="1" si="105"/>
        <v>3.2215358322450552E-4</v>
      </c>
      <c r="AK59" s="39">
        <f t="shared" ca="1" si="105"/>
        <v>4.1380072327975285E-4</v>
      </c>
      <c r="AL59" s="39">
        <f t="shared" ca="1" si="105"/>
        <v>5.5543721245604407E-8</v>
      </c>
      <c r="AM59" s="39">
        <f t="shared" ca="1" si="105"/>
        <v>2.4994674560521981E-5</v>
      </c>
      <c r="AN59" s="39">
        <f t="shared" ca="1" si="105"/>
        <v>17743.719470514556</v>
      </c>
      <c r="AO59" s="39">
        <f t="shared" ca="1" si="105"/>
        <v>5.5543721245604407E-8</v>
      </c>
      <c r="AP59" s="39">
        <f t="shared" ca="1" si="105"/>
        <v>7805.2258843173131</v>
      </c>
      <c r="AQ59" s="39">
        <f t="shared" ca="1" si="105"/>
        <v>1.6663116373681321E-5</v>
      </c>
      <c r="AR59" s="39">
        <f t="shared" ca="1" si="105"/>
        <v>0</v>
      </c>
      <c r="AT59" s="41"/>
      <c r="AU59" s="39">
        <f t="shared" ca="1" si="106"/>
        <v>3.2215358322450552E-4</v>
      </c>
      <c r="AV59" s="39">
        <f t="shared" ca="1" si="106"/>
        <v>22117.509799999676</v>
      </c>
      <c r="AW59" s="39">
        <f t="shared" ca="1" si="106"/>
        <v>5.5543721245604407E-8</v>
      </c>
      <c r="AX59" s="39">
        <f t="shared" ca="1" si="106"/>
        <v>2.4994674560521981E-5</v>
      </c>
      <c r="AY59" s="39">
        <f t="shared" ca="1" si="106"/>
        <v>5.5543721245604402E-7</v>
      </c>
      <c r="AZ59" s="39">
        <f t="shared" ca="1" si="106"/>
        <v>39550.017800430651</v>
      </c>
      <c r="BA59" s="39">
        <f t="shared" ca="1" si="106"/>
        <v>5.55437212456044E-6</v>
      </c>
      <c r="BB59" s="39">
        <f t="shared" ca="1" si="106"/>
        <v>23513.212427459221</v>
      </c>
      <c r="BC59" s="39">
        <f t="shared" ca="1" si="106"/>
        <v>0</v>
      </c>
    </row>
    <row r="60" spans="1:55" ht="15.5">
      <c r="B60" s="9" t="s">
        <v>74</v>
      </c>
      <c r="C60" s="9"/>
      <c r="D60" s="9"/>
      <c r="E60" s="22">
        <v>0</v>
      </c>
      <c r="F60" s="105">
        <f t="shared" si="101"/>
        <v>4.6286434371337011E-2</v>
      </c>
      <c r="G60" s="26">
        <v>200000</v>
      </c>
      <c r="H60" s="11">
        <f t="shared" si="107"/>
        <v>89270.313486241779</v>
      </c>
      <c r="I60" s="11">
        <f t="shared" si="107"/>
        <v>25548.946132555051</v>
      </c>
      <c r="J60" s="11">
        <f t="shared" si="107"/>
        <v>85180.740381203155</v>
      </c>
      <c r="M60" s="39">
        <f t="shared" ca="1" si="103"/>
        <v>29485.385067536266</v>
      </c>
      <c r="N60" s="39">
        <f t="shared" ca="1" si="103"/>
        <v>35659.069553457448</v>
      </c>
      <c r="O60" s="39">
        <f t="shared" ca="1" si="103"/>
        <v>21927.105923680829</v>
      </c>
      <c r="P60" s="39">
        <f t="shared" ca="1" si="103"/>
        <v>2.9993609472626383E-4</v>
      </c>
      <c r="Q60" s="39">
        <f t="shared" ca="1" si="103"/>
        <v>17743.719471625427</v>
      </c>
      <c r="R60" s="39">
        <f t="shared" ca="1" si="103"/>
        <v>50299.616348033</v>
      </c>
      <c r="S60" s="39">
        <f t="shared" ca="1" si="103"/>
        <v>7805.2258899272292</v>
      </c>
      <c r="T60" s="39">
        <f t="shared" ca="1" si="103"/>
        <v>37079.877445803701</v>
      </c>
      <c r="U60" s="39">
        <f t="shared" ca="1" si="103"/>
        <v>0</v>
      </c>
      <c r="X60" s="41"/>
      <c r="Y60" s="39">
        <f t="shared" ca="1" si="104"/>
        <v>29485.384423229098</v>
      </c>
      <c r="Z60" s="39">
        <f t="shared" ca="1" si="104"/>
        <v>13541.559339657049</v>
      </c>
      <c r="AA60" s="39">
        <f t="shared" ca="1" si="104"/>
        <v>21927.105923569739</v>
      </c>
      <c r="AB60" s="39">
        <f t="shared" ca="1" si="104"/>
        <v>2.4994674560521984E-4</v>
      </c>
      <c r="AC60" s="39">
        <f t="shared" ca="1" si="104"/>
        <v>5.5543721245604402E-7</v>
      </c>
      <c r="AD60" s="39">
        <f t="shared" ca="1" si="104"/>
        <v>10749.598547546802</v>
      </c>
      <c r="AE60" s="39">
        <f t="shared" ca="1" si="104"/>
        <v>5.5543721245604401E-8</v>
      </c>
      <c r="AF60" s="39">
        <f t="shared" ca="1" si="104"/>
        <v>13566.665001681366</v>
      </c>
      <c r="AG60" s="39">
        <f t="shared" ca="1" si="104"/>
        <v>0</v>
      </c>
      <c r="AI60" s="41"/>
      <c r="AJ60" s="39">
        <f t="shared" ca="1" si="105"/>
        <v>3.2215358322450552E-4</v>
      </c>
      <c r="AK60" s="39">
        <f t="shared" ca="1" si="105"/>
        <v>4.1380072327975285E-4</v>
      </c>
      <c r="AL60" s="39">
        <f t="shared" ca="1" si="105"/>
        <v>5.5543721245604407E-8</v>
      </c>
      <c r="AM60" s="39">
        <f t="shared" ca="1" si="105"/>
        <v>2.4994674560521981E-5</v>
      </c>
      <c r="AN60" s="39">
        <f t="shared" ca="1" si="105"/>
        <v>17743.719470514556</v>
      </c>
      <c r="AO60" s="39">
        <f t="shared" ca="1" si="105"/>
        <v>5.5543721245604407E-8</v>
      </c>
      <c r="AP60" s="39">
        <f t="shared" ca="1" si="105"/>
        <v>7805.2258843173131</v>
      </c>
      <c r="AQ60" s="39">
        <f t="shared" ca="1" si="105"/>
        <v>1.6663116373681321E-5</v>
      </c>
      <c r="AR60" s="39">
        <f t="shared" ca="1" si="105"/>
        <v>0</v>
      </c>
      <c r="AT60" s="41"/>
      <c r="AU60" s="39">
        <f t="shared" ca="1" si="106"/>
        <v>3.2215358322450552E-4</v>
      </c>
      <c r="AV60" s="39">
        <f t="shared" ca="1" si="106"/>
        <v>22117.509799999676</v>
      </c>
      <c r="AW60" s="39">
        <f t="shared" ca="1" si="106"/>
        <v>5.5543721245604407E-8</v>
      </c>
      <c r="AX60" s="39">
        <f t="shared" ca="1" si="106"/>
        <v>2.4994674560521981E-5</v>
      </c>
      <c r="AY60" s="39">
        <f t="shared" ca="1" si="106"/>
        <v>5.5543721245604402E-7</v>
      </c>
      <c r="AZ60" s="39">
        <f t="shared" ca="1" si="106"/>
        <v>39550.017800430651</v>
      </c>
      <c r="BA60" s="39">
        <f t="shared" ca="1" si="106"/>
        <v>5.55437212456044E-6</v>
      </c>
      <c r="BB60" s="39">
        <f t="shared" ca="1" si="106"/>
        <v>23513.212427459221</v>
      </c>
      <c r="BC60" s="39">
        <f t="shared" ca="1" si="106"/>
        <v>0</v>
      </c>
    </row>
    <row r="61" spans="1:55" ht="15.5">
      <c r="B61" s="9" t="s">
        <v>75</v>
      </c>
      <c r="C61" s="9"/>
      <c r="D61" s="9"/>
      <c r="E61" s="22">
        <v>0</v>
      </c>
      <c r="F61" s="105">
        <f t="shared" si="101"/>
        <v>4.6286434371337011E-2</v>
      </c>
      <c r="G61" s="26">
        <v>200000</v>
      </c>
      <c r="H61" s="11">
        <f t="shared" si="107"/>
        <v>89270.313486241779</v>
      </c>
      <c r="I61" s="11">
        <f t="shared" si="107"/>
        <v>25548.946132555051</v>
      </c>
      <c r="J61" s="11">
        <f t="shared" si="107"/>
        <v>85180.740381203155</v>
      </c>
      <c r="M61" s="39">
        <f t="shared" ca="1" si="103"/>
        <v>29485.385067536266</v>
      </c>
      <c r="N61" s="39">
        <f t="shared" ca="1" si="103"/>
        <v>35659.069553457448</v>
      </c>
      <c r="O61" s="39">
        <f t="shared" ca="1" si="103"/>
        <v>21927.105923680829</v>
      </c>
      <c r="P61" s="39">
        <f t="shared" ca="1" si="103"/>
        <v>2.9993609472626383E-4</v>
      </c>
      <c r="Q61" s="39">
        <f t="shared" ca="1" si="103"/>
        <v>17743.719471625427</v>
      </c>
      <c r="R61" s="39">
        <f t="shared" ca="1" si="103"/>
        <v>50299.616348033</v>
      </c>
      <c r="S61" s="39">
        <f t="shared" ca="1" si="103"/>
        <v>7805.2258899272292</v>
      </c>
      <c r="T61" s="39">
        <f t="shared" ca="1" si="103"/>
        <v>37079.877445803701</v>
      </c>
      <c r="U61" s="39">
        <f t="shared" ca="1" si="103"/>
        <v>0</v>
      </c>
      <c r="X61" s="41"/>
      <c r="Y61" s="39">
        <f t="shared" ca="1" si="104"/>
        <v>29485.384423229098</v>
      </c>
      <c r="Z61" s="39">
        <f t="shared" ca="1" si="104"/>
        <v>13541.559339657049</v>
      </c>
      <c r="AA61" s="39">
        <f t="shared" ca="1" si="104"/>
        <v>21927.105923569739</v>
      </c>
      <c r="AB61" s="39">
        <f t="shared" ca="1" si="104"/>
        <v>2.4994674560521984E-4</v>
      </c>
      <c r="AC61" s="39">
        <f t="shared" ca="1" si="104"/>
        <v>5.5543721245604402E-7</v>
      </c>
      <c r="AD61" s="39">
        <f t="shared" ca="1" si="104"/>
        <v>10749.598547546802</v>
      </c>
      <c r="AE61" s="39">
        <f t="shared" ca="1" si="104"/>
        <v>5.5543721245604401E-8</v>
      </c>
      <c r="AF61" s="39">
        <f t="shared" ca="1" si="104"/>
        <v>13566.665001681366</v>
      </c>
      <c r="AG61" s="39">
        <f t="shared" ca="1" si="104"/>
        <v>0</v>
      </c>
      <c r="AI61" s="41"/>
      <c r="AJ61" s="39">
        <f t="shared" ca="1" si="105"/>
        <v>3.2215358322450552E-4</v>
      </c>
      <c r="AK61" s="39">
        <f t="shared" ca="1" si="105"/>
        <v>4.1380072327975285E-4</v>
      </c>
      <c r="AL61" s="39">
        <f t="shared" ca="1" si="105"/>
        <v>5.5543721245604407E-8</v>
      </c>
      <c r="AM61" s="39">
        <f t="shared" ca="1" si="105"/>
        <v>2.4994674560521981E-5</v>
      </c>
      <c r="AN61" s="39">
        <f t="shared" ca="1" si="105"/>
        <v>17743.719470514556</v>
      </c>
      <c r="AO61" s="39">
        <f t="shared" ca="1" si="105"/>
        <v>5.5543721245604407E-8</v>
      </c>
      <c r="AP61" s="39">
        <f t="shared" ca="1" si="105"/>
        <v>7805.2258843173131</v>
      </c>
      <c r="AQ61" s="39">
        <f t="shared" ca="1" si="105"/>
        <v>1.6663116373681321E-5</v>
      </c>
      <c r="AR61" s="39">
        <f t="shared" ca="1" si="105"/>
        <v>0</v>
      </c>
      <c r="AT61" s="41"/>
      <c r="AU61" s="39">
        <f t="shared" ca="1" si="106"/>
        <v>3.2215358322450552E-4</v>
      </c>
      <c r="AV61" s="39">
        <f t="shared" ca="1" si="106"/>
        <v>22117.509799999676</v>
      </c>
      <c r="AW61" s="39">
        <f t="shared" ca="1" si="106"/>
        <v>5.5543721245604407E-8</v>
      </c>
      <c r="AX61" s="39">
        <f t="shared" ca="1" si="106"/>
        <v>2.4994674560521981E-5</v>
      </c>
      <c r="AY61" s="39">
        <f t="shared" ca="1" si="106"/>
        <v>5.5543721245604402E-7</v>
      </c>
      <c r="AZ61" s="39">
        <f t="shared" ca="1" si="106"/>
        <v>39550.017800430651</v>
      </c>
      <c r="BA61" s="39">
        <f t="shared" ca="1" si="106"/>
        <v>5.55437212456044E-6</v>
      </c>
      <c r="BB61" s="39">
        <f t="shared" ca="1" si="106"/>
        <v>23513.212427459221</v>
      </c>
      <c r="BC61" s="39">
        <f t="shared" ca="1" si="106"/>
        <v>0</v>
      </c>
    </row>
    <row r="62" spans="1:55" ht="15.5">
      <c r="B62" s="9" t="s">
        <v>76</v>
      </c>
      <c r="C62" s="9"/>
      <c r="D62" s="202">
        <v>5.7000000000000002E-2</v>
      </c>
      <c r="E62" s="22">
        <v>0</v>
      </c>
      <c r="F62" s="105">
        <f t="shared" si="101"/>
        <v>5.7000000000000002E-2</v>
      </c>
      <c r="G62" s="29">
        <f>$D$62*$G$10</f>
        <v>246292.46462456998</v>
      </c>
      <c r="H62" s="11">
        <f t="shared" si="107"/>
        <v>109933.02763167239</v>
      </c>
      <c r="I62" s="11">
        <f t="shared" si="107"/>
        <v>31462.564557736794</v>
      </c>
      <c r="J62" s="11">
        <f t="shared" si="107"/>
        <v>104896.8724351608</v>
      </c>
      <c r="M62" s="39">
        <f t="shared" ca="1" si="103"/>
        <v>36310.140793440005</v>
      </c>
      <c r="N62" s="39">
        <f t="shared" ca="1" si="103"/>
        <v>43912.800632700004</v>
      </c>
      <c r="O62" s="39">
        <f t="shared" ca="1" si="103"/>
        <v>27002.404800136799</v>
      </c>
      <c r="P62" s="39">
        <f t="shared" ca="1" si="103"/>
        <v>3.6936000000000006E-4</v>
      </c>
      <c r="Q62" s="39">
        <f t="shared" ca="1" si="103"/>
        <v>21850.722001367994</v>
      </c>
      <c r="R62" s="39">
        <f t="shared" ca="1" si="103"/>
        <v>61942.082400136802</v>
      </c>
      <c r="S62" s="39">
        <f t="shared" ca="1" si="103"/>
        <v>9611.8416069083996</v>
      </c>
      <c r="T62" s="39">
        <f t="shared" ca="1" si="103"/>
        <v>45662.472020519999</v>
      </c>
      <c r="U62" s="39">
        <f t="shared" ca="1" si="103"/>
        <v>0</v>
      </c>
      <c r="X62" s="41"/>
      <c r="Y62" s="39">
        <f t="shared" ca="1" si="104"/>
        <v>36310.14</v>
      </c>
      <c r="Z62" s="39">
        <f t="shared" ca="1" si="104"/>
        <v>16675.920123119999</v>
      </c>
      <c r="AA62" s="39">
        <f t="shared" ca="1" si="104"/>
        <v>27002.404799999997</v>
      </c>
      <c r="AB62" s="39">
        <f t="shared" ca="1" si="104"/>
        <v>3.0780000000000005E-4</v>
      </c>
      <c r="AC62" s="39">
        <f t="shared" ca="1" si="104"/>
        <v>6.8400000000000004E-7</v>
      </c>
      <c r="AD62" s="39">
        <f t="shared" ca="1" si="104"/>
        <v>13237.7256</v>
      </c>
      <c r="AE62" s="39">
        <f t="shared" ca="1" si="104"/>
        <v>6.8400000000000004E-8</v>
      </c>
      <c r="AF62" s="39">
        <f t="shared" ca="1" si="104"/>
        <v>16706.836800000001</v>
      </c>
      <c r="AG62" s="39">
        <f t="shared" ca="1" si="104"/>
        <v>0</v>
      </c>
      <c r="AI62" s="41"/>
      <c r="AJ62" s="39">
        <f t="shared" ca="1" si="105"/>
        <v>3.9671999999999993E-4</v>
      </c>
      <c r="AK62" s="39">
        <f t="shared" ca="1" si="105"/>
        <v>5.0957999999999993E-4</v>
      </c>
      <c r="AL62" s="39">
        <f t="shared" ca="1" si="105"/>
        <v>6.839999999999999E-8</v>
      </c>
      <c r="AM62" s="39">
        <f t="shared" ca="1" si="105"/>
        <v>3.078E-5</v>
      </c>
      <c r="AN62" s="39">
        <f t="shared" ca="1" si="105"/>
        <v>21850.721999999998</v>
      </c>
      <c r="AO62" s="39">
        <f t="shared" ca="1" si="105"/>
        <v>6.839999999999999E-8</v>
      </c>
      <c r="AP62" s="39">
        <f t="shared" ca="1" si="105"/>
        <v>9611.8415999999997</v>
      </c>
      <c r="AQ62" s="39">
        <f t="shared" ca="1" si="105"/>
        <v>2.0519999999999997E-5</v>
      </c>
      <c r="AR62" s="39">
        <f t="shared" ca="1" si="105"/>
        <v>0</v>
      </c>
      <c r="AT62" s="41"/>
      <c r="AU62" s="39">
        <f t="shared" ca="1" si="106"/>
        <v>3.9671999999999998E-4</v>
      </c>
      <c r="AV62" s="39">
        <f t="shared" ca="1" si="106"/>
        <v>27236.880000000005</v>
      </c>
      <c r="AW62" s="39">
        <f t="shared" ca="1" si="106"/>
        <v>6.8400000000000004E-8</v>
      </c>
      <c r="AX62" s="39">
        <f t="shared" ca="1" si="106"/>
        <v>3.078E-5</v>
      </c>
      <c r="AY62" s="39">
        <f t="shared" ca="1" si="106"/>
        <v>6.8400000000000004E-7</v>
      </c>
      <c r="AZ62" s="39">
        <f t="shared" ca="1" si="106"/>
        <v>48704.356800068403</v>
      </c>
      <c r="BA62" s="39">
        <f t="shared" ca="1" si="106"/>
        <v>6.8399999999999997E-6</v>
      </c>
      <c r="BB62" s="39">
        <f t="shared" ca="1" si="106"/>
        <v>28955.635200000001</v>
      </c>
      <c r="BC62" s="39">
        <f t="shared" ca="1" si="106"/>
        <v>0</v>
      </c>
    </row>
    <row r="63" spans="1:55" ht="15.5">
      <c r="B63" s="9" t="s">
        <v>77</v>
      </c>
      <c r="C63" s="9"/>
      <c r="D63" s="107">
        <v>0.05</v>
      </c>
      <c r="E63" s="22">
        <v>0.5</v>
      </c>
      <c r="F63" s="105">
        <f t="shared" si="101"/>
        <v>0.74173475166251501</v>
      </c>
      <c r="G63" s="21">
        <f>+SUM(G49:G62)*D63</f>
        <v>3204976.8435904239</v>
      </c>
      <c r="H63" s="34">
        <f t="shared" si="107"/>
        <v>1430546.4377173141</v>
      </c>
      <c r="I63" s="34">
        <f t="shared" si="107"/>
        <v>409418.90366489027</v>
      </c>
      <c r="J63" s="34">
        <f t="shared" si="107"/>
        <v>1365011.5022082194</v>
      </c>
      <c r="K63" s="34"/>
      <c r="L63" s="34"/>
      <c r="M63" s="39">
        <f t="shared" ca="1" si="103"/>
        <v>472499.88182900299</v>
      </c>
      <c r="N63" s="39">
        <f t="shared" ca="1" si="103"/>
        <v>571432.46091405721</v>
      </c>
      <c r="O63" s="39">
        <f t="shared" ca="1" si="103"/>
        <v>351379.33366175723</v>
      </c>
      <c r="P63" s="39">
        <f t="shared" ca="1" si="103"/>
        <v>4.8064411907730977E-3</v>
      </c>
      <c r="Q63" s="39">
        <f t="shared" ca="1" si="103"/>
        <v>284341.05012862012</v>
      </c>
      <c r="R63" s="39">
        <f t="shared" ca="1" si="103"/>
        <v>806045.52818464045</v>
      </c>
      <c r="S63" s="39">
        <f t="shared" ca="1" si="103"/>
        <v>125077.84118104614</v>
      </c>
      <c r="T63" s="39">
        <f t="shared" ca="1" si="103"/>
        <v>594200.74288485851</v>
      </c>
      <c r="U63" s="39">
        <f t="shared" ca="1" si="103"/>
        <v>0</v>
      </c>
      <c r="X63" s="34"/>
      <c r="Y63" s="39">
        <f t="shared" ca="1" si="104"/>
        <v>472499.87150405522</v>
      </c>
      <c r="Z63" s="39">
        <f t="shared" ca="1" si="104"/>
        <v>217001.92054853239</v>
      </c>
      <c r="AA63" s="39">
        <f t="shared" ca="1" si="104"/>
        <v>351379.33365997713</v>
      </c>
      <c r="AB63" s="39">
        <f t="shared" ca="1" si="104"/>
        <v>4.005367658977581E-3</v>
      </c>
      <c r="AC63" s="39">
        <f t="shared" ca="1" si="104"/>
        <v>8.9008170199501783E-6</v>
      </c>
      <c r="AD63" s="39">
        <f t="shared" ca="1" si="104"/>
        <v>172261.07211390379</v>
      </c>
      <c r="AE63" s="39">
        <f t="shared" ca="1" si="104"/>
        <v>8.9008170199501783E-7</v>
      </c>
      <c r="AF63" s="39">
        <f t="shared" ca="1" si="104"/>
        <v>217404.2358756871</v>
      </c>
      <c r="AG63" s="39">
        <f t="shared" ca="1" si="104"/>
        <v>0</v>
      </c>
      <c r="AI63" s="34"/>
      <c r="AJ63" s="39">
        <f t="shared" ca="1" si="105"/>
        <v>5.1624738715711034E-3</v>
      </c>
      <c r="AK63" s="39">
        <f t="shared" ca="1" si="105"/>
        <v>6.6311086798628831E-3</v>
      </c>
      <c r="AL63" s="39">
        <f t="shared" ca="1" si="105"/>
        <v>8.9008170199501783E-7</v>
      </c>
      <c r="AM63" s="39">
        <f t="shared" ca="1" si="105"/>
        <v>4.0053676589775803E-4</v>
      </c>
      <c r="AN63" s="39">
        <f t="shared" ca="1" si="105"/>
        <v>284341.05011081847</v>
      </c>
      <c r="AO63" s="39">
        <f t="shared" ca="1" si="105"/>
        <v>8.9008170199501783E-7</v>
      </c>
      <c r="AP63" s="39">
        <f t="shared" ca="1" si="105"/>
        <v>125077.84109114789</v>
      </c>
      <c r="AQ63" s="39">
        <f t="shared" ca="1" si="105"/>
        <v>2.6702451059850535E-4</v>
      </c>
      <c r="AR63" s="39">
        <f t="shared" ca="1" si="105"/>
        <v>0</v>
      </c>
      <c r="AT63" s="34"/>
      <c r="AU63" s="39">
        <f t="shared" ca="1" si="106"/>
        <v>5.1624738715711042E-3</v>
      </c>
      <c r="AV63" s="39">
        <f t="shared" ca="1" si="106"/>
        <v>354430.53373441618</v>
      </c>
      <c r="AW63" s="39">
        <f t="shared" ca="1" si="106"/>
        <v>8.9008170199501793E-7</v>
      </c>
      <c r="AX63" s="39">
        <f t="shared" ca="1" si="106"/>
        <v>4.0053676589775809E-4</v>
      </c>
      <c r="AY63" s="39">
        <f t="shared" ca="1" si="106"/>
        <v>8.9008170199501799E-6</v>
      </c>
      <c r="AZ63" s="39">
        <f t="shared" ca="1" si="106"/>
        <v>633784.45606984664</v>
      </c>
      <c r="BA63" s="39">
        <f t="shared" ca="1" si="106"/>
        <v>8.9008170199501789E-5</v>
      </c>
      <c r="BB63" s="39">
        <f t="shared" ca="1" si="106"/>
        <v>376796.50674214697</v>
      </c>
      <c r="BC63" s="39">
        <f t="shared" ca="1" si="106"/>
        <v>0</v>
      </c>
    </row>
    <row r="64" spans="1:55" ht="15.5">
      <c r="B64" s="12" t="s">
        <v>78</v>
      </c>
      <c r="C64" s="12"/>
      <c r="D64" s="12"/>
      <c r="E64" s="12"/>
      <c r="F64" s="106">
        <f t="shared" si="101"/>
        <v>15.576429784912815</v>
      </c>
      <c r="G64" s="13">
        <f>+SUM(G49:G63)</f>
        <v>67304513.715398908</v>
      </c>
      <c r="H64" s="129">
        <f>+SUM(H49:H63)</f>
        <v>25818999.375817623</v>
      </c>
      <c r="I64" s="129">
        <f>+SUM(I49:I63)</f>
        <v>12453546.08706864</v>
      </c>
      <c r="J64" s="129">
        <f>+SUM(J49:J63)</f>
        <v>29031968.252512634</v>
      </c>
      <c r="M64" s="129">
        <f t="shared" ref="M64:U64" ca="1" si="108">+SUM(M49:M63)</f>
        <v>8527842.191977242</v>
      </c>
      <c r="N64" s="129">
        <f t="shared" ca="1" si="108"/>
        <v>11454789.515964445</v>
      </c>
      <c r="O64" s="129">
        <f t="shared" ca="1" si="108"/>
        <v>6341816.3558425596</v>
      </c>
      <c r="P64" s="129">
        <f t="shared" ca="1" si="108"/>
        <v>9.2992521542122314E-2</v>
      </c>
      <c r="Q64" s="129">
        <f t="shared" ca="1" si="108"/>
        <v>8648976.2452253643</v>
      </c>
      <c r="R64" s="129">
        <f t="shared" ca="1" si="108"/>
        <v>16588775.07915844</v>
      </c>
      <c r="S64" s="129">
        <f t="shared" ca="1" si="108"/>
        <v>3804569.4650099687</v>
      </c>
      <c r="T64" s="129">
        <f t="shared" ca="1" si="108"/>
        <v>11937744.769228358</v>
      </c>
      <c r="U64" s="129">
        <f t="shared" ca="1" si="108"/>
        <v>0</v>
      </c>
      <c r="X64" s="34">
        <f ca="1">+SUM(Y64:AG64)</f>
        <v>25818999.375817619</v>
      </c>
      <c r="Y64" s="129">
        <f t="shared" ref="Y64:AG64" ca="1" si="109">+SUM(Y49:Y63)</f>
        <v>8527841.9251481909</v>
      </c>
      <c r="Z64" s="129">
        <f t="shared" ca="1" si="109"/>
        <v>3916526.0934374016</v>
      </c>
      <c r="AA64" s="129">
        <f t="shared" ca="1" si="109"/>
        <v>6341816.3557965551</v>
      </c>
      <c r="AB64" s="129">
        <f t="shared" ca="1" si="109"/>
        <v>7.2290267802895103E-2</v>
      </c>
      <c r="AC64" s="129">
        <f t="shared" ca="1" si="109"/>
        <v>1.6064503956198916E-4</v>
      </c>
      <c r="AD64" s="129">
        <f t="shared" ca="1" si="109"/>
        <v>3109027.7086589998</v>
      </c>
      <c r="AE64" s="129">
        <f t="shared" ca="1" si="109"/>
        <v>1.6064503956198909E-5</v>
      </c>
      <c r="AF64" s="129">
        <f t="shared" ca="1" si="109"/>
        <v>3923787.2203094973</v>
      </c>
      <c r="AG64" s="129">
        <f t="shared" ca="1" si="109"/>
        <v>0</v>
      </c>
      <c r="AH64" s="34"/>
      <c r="AI64" s="34">
        <f ca="1">+SUM(AJ64:AR64)</f>
        <v>12453546.087068642</v>
      </c>
      <c r="AJ64" s="129">
        <f t="shared" ref="AJ64:AR64" ca="1" si="110">+SUM(AJ49:AJ63)</f>
        <v>0.15703013638940502</v>
      </c>
      <c r="AK64" s="129">
        <f t="shared" ca="1" si="110"/>
        <v>0.20170250277604615</v>
      </c>
      <c r="AL64" s="129">
        <f t="shared" ca="1" si="110"/>
        <v>2.7074161446449144E-5</v>
      </c>
      <c r="AM64" s="129">
        <f t="shared" ca="1" si="110"/>
        <v>1.2183372650902113E-2</v>
      </c>
      <c r="AN64" s="129">
        <f t="shared" ca="1" si="110"/>
        <v>8648976.2448754124</v>
      </c>
      <c r="AO64" s="129">
        <f t="shared" ca="1" si="110"/>
        <v>2.7074161446449144E-5</v>
      </c>
      <c r="AP64" s="129">
        <f t="shared" ca="1" si="110"/>
        <v>3804569.4631008198</v>
      </c>
      <c r="AQ64" s="129">
        <f t="shared" ca="1" si="110"/>
        <v>8.1222484339347426E-3</v>
      </c>
      <c r="AR64" s="129">
        <f t="shared" ca="1" si="110"/>
        <v>0</v>
      </c>
      <c r="AT64" s="34">
        <f ca="1">+SUM(AU64:BC64)</f>
        <v>29031968.252512638</v>
      </c>
      <c r="AU64" s="129">
        <f t="shared" ref="AU64:BC64" ca="1" si="111">+SUM(AU49:AU63)</f>
        <v>0.1097989118050787</v>
      </c>
      <c r="AV64" s="129">
        <f t="shared" ca="1" si="111"/>
        <v>7538263.2208245452</v>
      </c>
      <c r="AW64" s="129">
        <f t="shared" ca="1" si="111"/>
        <v>1.8930846862944604E-5</v>
      </c>
      <c r="AX64" s="129">
        <f t="shared" ca="1" si="111"/>
        <v>8.5188810883250719E-3</v>
      </c>
      <c r="AY64" s="129">
        <f t="shared" ca="1" si="111"/>
        <v>1.8930846862944608E-4</v>
      </c>
      <c r="AZ64" s="129">
        <f t="shared" ca="1" si="111"/>
        <v>13479747.37047236</v>
      </c>
      <c r="BA64" s="129">
        <f t="shared" ca="1" si="111"/>
        <v>1.8930846862944605E-3</v>
      </c>
      <c r="BB64" s="129">
        <f t="shared" ca="1" si="111"/>
        <v>8013957.5407966152</v>
      </c>
      <c r="BC64" s="129">
        <f t="shared" ca="1" si="111"/>
        <v>0</v>
      </c>
    </row>
    <row r="65" spans="2:55">
      <c r="B65" s="9"/>
      <c r="C65" s="9"/>
      <c r="D65" s="9"/>
      <c r="E65" s="9"/>
      <c r="F65" s="9"/>
      <c r="G65" s="9"/>
      <c r="H65" s="9"/>
      <c r="I65" s="9"/>
      <c r="J65" s="9"/>
      <c r="M65" s="33"/>
      <c r="N65" s="33"/>
      <c r="O65" s="33"/>
      <c r="P65" s="33"/>
      <c r="Q65" s="33"/>
      <c r="R65" s="33"/>
      <c r="S65" s="33"/>
      <c r="T65" s="33"/>
      <c r="U65" s="33"/>
      <c r="X65" s="41"/>
      <c r="Y65" s="33"/>
      <c r="Z65" s="33"/>
      <c r="AA65" s="33"/>
      <c r="AB65" s="33"/>
      <c r="AC65" s="33"/>
      <c r="AD65" s="33"/>
      <c r="AE65" s="33"/>
      <c r="AF65" s="33"/>
      <c r="AG65" s="33"/>
      <c r="AI65" s="41"/>
      <c r="AJ65" s="33"/>
      <c r="AK65" s="33"/>
      <c r="AL65" s="33"/>
      <c r="AM65" s="33"/>
      <c r="AN65" s="33"/>
      <c r="AO65" s="33"/>
      <c r="AP65" s="33"/>
      <c r="AQ65" s="33"/>
      <c r="AR65" s="33"/>
      <c r="AT65" s="41"/>
      <c r="AU65" s="33"/>
      <c r="AV65" s="33"/>
      <c r="AW65" s="33"/>
      <c r="AX65" s="33"/>
      <c r="AY65" s="33"/>
      <c r="AZ65" s="33"/>
      <c r="BA65" s="33"/>
      <c r="BB65" s="33"/>
      <c r="BC65" s="33"/>
    </row>
    <row r="66" spans="2:55" ht="32.25" customHeight="1">
      <c r="B66" s="15" t="s">
        <v>79</v>
      </c>
      <c r="C66" s="16"/>
      <c r="D66" s="16"/>
      <c r="E66" s="16"/>
      <c r="F66" s="16"/>
      <c r="G66" s="15" t="s">
        <v>17</v>
      </c>
      <c r="H66" s="23" t="str">
        <f>+H$22</f>
        <v>I</v>
      </c>
      <c r="I66" s="23" t="str">
        <f t="shared" ref="I66:J66" si="112">+I$22</f>
        <v>II</v>
      </c>
      <c r="J66" s="46" t="str">
        <f t="shared" si="112"/>
        <v>III</v>
      </c>
      <c r="M66" s="214" t="str">
        <f t="shared" ref="M66:U66" ca="1" si="113">+M$22</f>
        <v>Affordable Residential</v>
      </c>
      <c r="N66" s="214" t="str">
        <f t="shared" ca="1" si="113"/>
        <v>Multifamily</v>
      </c>
      <c r="O66" s="214" t="str">
        <f t="shared" ca="1" si="113"/>
        <v>Retail</v>
      </c>
      <c r="P66" s="214" t="str">
        <f t="shared" ca="1" si="113"/>
        <v>Hotel</v>
      </c>
      <c r="Q66" s="214" t="str">
        <f t="shared" ca="1" si="113"/>
        <v>Gallery &amp; Museum Facility</v>
      </c>
      <c r="R66" s="214" t="str">
        <f t="shared" ca="1" si="113"/>
        <v>Office</v>
      </c>
      <c r="S66" s="214" t="str">
        <f t="shared" ca="1" si="113"/>
        <v>School</v>
      </c>
      <c r="T66" s="214" t="str">
        <f t="shared" ca="1" si="113"/>
        <v>Structural Parking</v>
      </c>
      <c r="U66" s="214" t="str">
        <f t="shared" ca="1" si="113"/>
        <v>Surface Parking</v>
      </c>
      <c r="X66" s="41"/>
      <c r="Y66" s="214" t="str">
        <f t="shared" ref="Y66:AG66" ca="1" si="114">+Y$22</f>
        <v>Affordable Residential</v>
      </c>
      <c r="Z66" s="214" t="str">
        <f t="shared" ca="1" si="114"/>
        <v>Multifamily</v>
      </c>
      <c r="AA66" s="214" t="str">
        <f t="shared" ca="1" si="114"/>
        <v>Retail</v>
      </c>
      <c r="AB66" s="214" t="str">
        <f t="shared" ca="1" si="114"/>
        <v>Hotel</v>
      </c>
      <c r="AC66" s="214" t="str">
        <f t="shared" ca="1" si="114"/>
        <v>Gallery &amp; Museum Facility</v>
      </c>
      <c r="AD66" s="214" t="str">
        <f t="shared" ca="1" si="114"/>
        <v>Office</v>
      </c>
      <c r="AE66" s="214" t="str">
        <f t="shared" ca="1" si="114"/>
        <v>School</v>
      </c>
      <c r="AF66" s="214" t="str">
        <f t="shared" ca="1" si="114"/>
        <v>Structural Parking</v>
      </c>
      <c r="AG66" s="214" t="str">
        <f t="shared" ca="1" si="114"/>
        <v>Surface Parking</v>
      </c>
      <c r="AI66" s="41"/>
      <c r="AJ66" s="214" t="str">
        <f t="shared" ref="AJ66:AR66" ca="1" si="115">+AJ$22</f>
        <v>Affordable Residential</v>
      </c>
      <c r="AK66" s="214" t="str">
        <f t="shared" ca="1" si="115"/>
        <v>Multifamily</v>
      </c>
      <c r="AL66" s="214" t="str">
        <f t="shared" ca="1" si="115"/>
        <v>Retail</v>
      </c>
      <c r="AM66" s="214" t="str">
        <f t="shared" ca="1" si="115"/>
        <v>Hotel</v>
      </c>
      <c r="AN66" s="214" t="str">
        <f t="shared" ca="1" si="115"/>
        <v>Gallery &amp; Museum Facility</v>
      </c>
      <c r="AO66" s="214" t="str">
        <f t="shared" ca="1" si="115"/>
        <v>Office</v>
      </c>
      <c r="AP66" s="214" t="str">
        <f t="shared" ca="1" si="115"/>
        <v>School</v>
      </c>
      <c r="AQ66" s="214" t="str">
        <f t="shared" ca="1" si="115"/>
        <v>Structural Parking</v>
      </c>
      <c r="AR66" s="214" t="str">
        <f t="shared" ca="1" si="115"/>
        <v>Surface Parking</v>
      </c>
      <c r="AT66" s="41"/>
      <c r="AU66" s="214" t="str">
        <f t="shared" ref="AU66:BC66" ca="1" si="116">+AU$22</f>
        <v>Affordable Residential</v>
      </c>
      <c r="AV66" s="214" t="str">
        <f t="shared" ca="1" si="116"/>
        <v>Multifamily</v>
      </c>
      <c r="AW66" s="214" t="str">
        <f t="shared" ca="1" si="116"/>
        <v>Retail</v>
      </c>
      <c r="AX66" s="214" t="str">
        <f t="shared" ca="1" si="116"/>
        <v>Hotel</v>
      </c>
      <c r="AY66" s="214" t="str">
        <f t="shared" ca="1" si="116"/>
        <v>Gallery &amp; Museum Facility</v>
      </c>
      <c r="AZ66" s="214" t="str">
        <f t="shared" ca="1" si="116"/>
        <v>Office</v>
      </c>
      <c r="BA66" s="214" t="str">
        <f t="shared" ca="1" si="116"/>
        <v>School</v>
      </c>
      <c r="BB66" s="214" t="str">
        <f t="shared" ca="1" si="116"/>
        <v>Structural Parking</v>
      </c>
      <c r="BC66" s="214" t="str">
        <f t="shared" ca="1" si="116"/>
        <v>Surface Parking</v>
      </c>
    </row>
    <row r="67" spans="2:55" ht="15.5">
      <c r="B67" s="9" t="s">
        <v>80</v>
      </c>
      <c r="C67" s="9"/>
      <c r="D67" s="9"/>
      <c r="E67" s="22"/>
      <c r="F67" s="105">
        <f t="shared" ref="F67:F71" ca="1" si="117">+G67/$G$10</f>
        <v>1.9643964405392735</v>
      </c>
      <c r="G67" s="48">
        <f ca="1">+SUM(H67:J67)</f>
        <v>8488000.7164938636</v>
      </c>
      <c r="H67" s="34">
        <f ca="1">+Assumptions!N146*'S&amp;U'!H17</f>
        <v>3535640.8691990613</v>
      </c>
      <c r="I67" s="34">
        <f ca="1">+Assumptions!O146*'S&amp;U'!I17</f>
        <v>1420359.1872898571</v>
      </c>
      <c r="J67" s="34">
        <f ca="1">+Assumptions!P146*'S&amp;U'!J17</f>
        <v>3532000.6600049459</v>
      </c>
      <c r="K67" s="34"/>
      <c r="L67" s="34"/>
      <c r="M67" s="34">
        <f ca="1">$G67*('Loan Sizing'!$E$5/'Loan Sizing'!$E$63)</f>
        <v>726411.8966861408</v>
      </c>
      <c r="N67" s="34">
        <f ca="1">$G67*('Loan Sizing'!$E$6/'Loan Sizing'!$E$63)</f>
        <v>1429095.9910425271</v>
      </c>
      <c r="O67" s="34">
        <f ca="1">$G67*('Loan Sizing'!$E$7/'Loan Sizing'!$E$63)</f>
        <v>1862794.3186055454</v>
      </c>
      <c r="P67" s="34">
        <f ca="1">$G67*('Loan Sizing'!$E$31/'Loan Sizing'!$E$63)</f>
        <v>4.1177128612074357E-2</v>
      </c>
      <c r="Q67" s="34">
        <f ca="1">$G67*('Loan Sizing'!$E$8/'Loan Sizing'!$E$63)</f>
        <v>753861.08986351558</v>
      </c>
      <c r="R67" s="34">
        <f ca="1">$G67*('Loan Sizing'!$E$9/'Loan Sizing'!$E$63)</f>
        <v>3311769.8130807742</v>
      </c>
      <c r="S67" s="34">
        <f ca="1">$G67*('Loan Sizing'!$E$47/'Loan Sizing'!$E$63)</f>
        <v>323878.85614011448</v>
      </c>
      <c r="T67" s="34">
        <f ca="1">$G67*('Loan Sizing'!$E$10/'Loan Sizing'!$E$63)*SUM(T$11:T$19)/SUM($T$11:$U$19)</f>
        <v>80188.709898117857</v>
      </c>
      <c r="U67" s="34">
        <f ca="1">$G67*('Loan Sizing'!$E$10/'Loan Sizing'!$E$63)*SUM(U$11:U$19)/SUM($T$11:$U$19)</f>
        <v>0</v>
      </c>
      <c r="X67" s="34"/>
      <c r="Y67" s="34">
        <f ca="1">$H67*('Loan Sizing'!$F$5/'Loan Sizing'!$F$63)</f>
        <v>709533.21272786718</v>
      </c>
      <c r="Z67" s="34">
        <f ca="1">$H67*('Loan Sizing'!$F$6/'Loan Sizing'!$F$63)</f>
        <v>381833.45187332801</v>
      </c>
      <c r="AA67" s="34">
        <f ca="1">$H67*('Loan Sizing'!$F$7/'Loan Sizing'!$F$63)</f>
        <v>1819511.0325800697</v>
      </c>
      <c r="AB67" s="34">
        <f ca="1">$H67*('Loan Sizing'!$F$31/'Loan Sizing'!$F$63)</f>
        <v>1.3406783391977865E-2</v>
      </c>
      <c r="AC67" s="34">
        <f ca="1">$H67*('Loan Sizing'!$F$8/'Loan Sizing'!$F$63)</f>
        <v>0</v>
      </c>
      <c r="AD67" s="34">
        <f ca="1">$H67*('Loan Sizing'!$F$9/'Loan Sizing'!$F$63)</f>
        <v>612576.920640158</v>
      </c>
      <c r="AE67" s="34">
        <f ca="1">$H67*('Loan Sizing'!$F$47/'Loan Sizing'!$F$63)</f>
        <v>0</v>
      </c>
      <c r="AF67" s="34">
        <f ca="1">$H67*('Loan Sizing'!$F$10/'Loan Sizing'!$F$63)*SUM(AF$11:AF$19)/SUM($AF$11:$AG$19)</f>
        <v>12186.237970854836</v>
      </c>
      <c r="AG67" s="34">
        <f ca="1">$H67*('Loan Sizing'!$F$10/'Loan Sizing'!$F$63)*SUM(AG$11:AG$19)/SUM($AF$11:$AG$19)</f>
        <v>0</v>
      </c>
      <c r="AI67" s="34"/>
      <c r="AJ67" s="34">
        <f ca="1">$I67*('Loan Sizing'!$G$5/'Loan Sizing'!$G$63)</f>
        <v>8.3827109658677155E-3</v>
      </c>
      <c r="AK67" s="34">
        <f ca="1">$I67*('Loan Sizing'!$G$6/'Loan Sizing'!$G$63)</f>
        <v>2.666363059106629E-2</v>
      </c>
      <c r="AL67" s="34">
        <f ca="1">$I67*('Loan Sizing'!$G$7/'Loan Sizing'!$G$63)</f>
        <v>6.8882555043429087E-6</v>
      </c>
      <c r="AM67" s="34">
        <f ca="1">$I67*('Loan Sizing'!$G$31/'Loan Sizing'!$G$63)</f>
        <v>1.8089184673800458E-2</v>
      </c>
      <c r="AN67" s="34">
        <f ca="1">$I67*('Loan Sizing'!$G$8/'Loan Sizing'!$G$63)</f>
        <v>993517.48886049644</v>
      </c>
      <c r="AO67" s="34">
        <f ca="1">$I67*('Loan Sizing'!$G$9/'Loan Sizing'!$G$63)</f>
        <v>4.5137393476215115E-6</v>
      </c>
      <c r="AP67" s="34">
        <f ca="1">$I67*('Loan Sizing'!$G$47/'Loan Sizing'!$G$63)</f>
        <v>426841.64521417161</v>
      </c>
      <c r="AQ67" s="34">
        <f ca="1">$I67*('Loan Sizing'!$G$10/'Loan Sizing'!$G$63)*SUM(AQ$11:AQ$19)/SUM($AQ$11:$AR$19)</f>
        <v>6.8260695199720965E-5</v>
      </c>
      <c r="AR67" s="34">
        <f ca="1">$I67*('Loan Sizing'!$G$10/'Loan Sizing'!$G$63)*SUM(AR$11:AR$19)/SUM($AQ$11:$AR$19)</f>
        <v>0</v>
      </c>
      <c r="AT67" s="34"/>
      <c r="AU67" s="34">
        <f ca="1">$J67*('Loan Sizing'!$H$5/'Loan Sizing'!$H$63)</f>
        <v>5.6950093483364604E-3</v>
      </c>
      <c r="AV67" s="34">
        <f ca="1">$J67*('Loan Sizing'!$H$6/'Loan Sizing'!$H$63)</f>
        <v>967375.76555673149</v>
      </c>
      <c r="AW67" s="34">
        <f ca="1">$J67*('Loan Sizing'!$H$7/'Loan Sizing'!$H$63)</f>
        <v>4.7892898858885474E-6</v>
      </c>
      <c r="AX67" s="34">
        <f ca="1">$J67*('Loan Sizing'!$H$31/'Loan Sizing'!$H$63)</f>
        <v>1.278961995994434E-2</v>
      </c>
      <c r="AY67" s="34">
        <f ca="1">$J67*('Loan Sizing'!$H$8/'Loan Sizing'!$H$63)</f>
        <v>2.8281252134196241E-5</v>
      </c>
      <c r="AZ67" s="34">
        <f ca="1">$J67*('Loan Sizing'!$H$9/'Loan Sizing'!$H$63)</f>
        <v>2501530.2745421119</v>
      </c>
      <c r="BA67" s="34">
        <f ca="1">$J67*('Loan Sizing'!$H$47/'Loan Sizing'!$H$63)</f>
        <v>0</v>
      </c>
      <c r="BB67" s="34">
        <f ca="1">$J67*('Loan Sizing'!$H$10/'Loan Sizing'!$H$63)*SUM(BB$11:BB$19)/SUM($BB$11:$BC$19)</f>
        <v>63094.601388402982</v>
      </c>
      <c r="BC67" s="34">
        <f ca="1">$J67*('Loan Sizing'!$H$10/'Loan Sizing'!$H$63)*SUM(BC$11:BC$19)/SUM($BB$11:$BC$19)</f>
        <v>0</v>
      </c>
    </row>
    <row r="68" spans="2:55" ht="15.5">
      <c r="B68" s="9" t="s">
        <v>242</v>
      </c>
      <c r="C68" s="9"/>
      <c r="D68" s="9"/>
      <c r="E68" s="22"/>
      <c r="F68" s="105">
        <f t="shared" ca="1" si="117"/>
        <v>10.98202973139851</v>
      </c>
      <c r="G68" s="48">
        <f ca="1">+SUM(H68:J68)</f>
        <v>47452476.65134111</v>
      </c>
      <c r="H68" s="34">
        <f ca="1">+Assumptions!N145*Assumptions!N147*'S&amp;U'!H17*(Assumptions!F$25/12)</f>
        <v>16263947.998315679</v>
      </c>
      <c r="I68" s="34">
        <f ca="1">+Assumptions!O145*Assumptions!O147*'S&amp;U'!I17*(Assumptions!G$25/12)</f>
        <v>6817724.0989913139</v>
      </c>
      <c r="J68" s="34">
        <f ca="1">+Assumptions!P145*Assumptions!P147*'S&amp;U'!J17*(Assumptions!H$25/12)</f>
        <v>24370804.554034121</v>
      </c>
      <c r="K68" s="34"/>
      <c r="L68" s="34"/>
      <c r="M68" s="34">
        <f ca="1">$G68*('Loan Sizing'!$E$5/'Loan Sizing'!$E$63)</f>
        <v>4061032.1226497306</v>
      </c>
      <c r="N68" s="34">
        <f ca="1">$G68*('Loan Sizing'!$E$6/'Loan Sizing'!$E$63)</f>
        <v>7989413.1035703635</v>
      </c>
      <c r="O68" s="34">
        <f ca="1">$G68*('Loan Sizing'!$E$7/'Loan Sizing'!$E$63)</f>
        <v>10414019.374210596</v>
      </c>
      <c r="P68" s="34">
        <f ca="1">$G68*('Loan Sizing'!$E$31/'Loan Sizing'!$E$63)</f>
        <v>0.23020223481329402</v>
      </c>
      <c r="Q68" s="34">
        <f ca="1">$G68*('Loan Sizing'!$E$8/'Loan Sizing'!$E$63)</f>
        <v>4214487.8352318993</v>
      </c>
      <c r="R68" s="34">
        <f ca="1">$G68*('Loan Sizing'!$E$9/'Loan Sizing'!$E$63)</f>
        <v>18514569.564591926</v>
      </c>
      <c r="S68" s="34">
        <f ca="1">$G68*('Loan Sizing'!$E$47/'Loan Sizing'!$E$63)</f>
        <v>1810656.5223288834</v>
      </c>
      <c r="T68" s="34">
        <f ca="1">$G68*('Loan Sizing'!$E$10/'Loan Sizing'!$E$63)*SUM(T$11:T$19)/SUM($T$11:$U$19)</f>
        <v>448297.89855547954</v>
      </c>
      <c r="U68" s="34">
        <f ca="1">$G68*('Loan Sizing'!$E$10/'Loan Sizing'!$E$63)*SUM(U$11:U$19)/SUM($T$11:$U$19)</f>
        <v>0</v>
      </c>
      <c r="X68" s="34"/>
      <c r="Y68" s="34">
        <f ca="1">$H68*('Loan Sizing'!$F$5/'Loan Sizing'!$F$63)</f>
        <v>3263852.7785481885</v>
      </c>
      <c r="Z68" s="34">
        <f ca="1">$H68*('Loan Sizing'!$F$6/'Loan Sizing'!$F$63)</f>
        <v>1756433.8786173083</v>
      </c>
      <c r="AA68" s="34">
        <f ca="1">$H68*('Loan Sizing'!$F$7/'Loan Sizing'!$F$63)</f>
        <v>8369750.7498683194</v>
      </c>
      <c r="AB68" s="34">
        <f ca="1">$H68*('Loan Sizing'!$F$31/'Loan Sizing'!$F$63)</f>
        <v>6.1671203603098169E-2</v>
      </c>
      <c r="AC68" s="34">
        <f ca="1">$H68*('Loan Sizing'!$F$8/'Loan Sizing'!$F$63)</f>
        <v>0</v>
      </c>
      <c r="AD68" s="34">
        <f ca="1">$H68*('Loan Sizing'!$F$9/'Loan Sizing'!$F$63)</f>
        <v>2817853.834944726</v>
      </c>
      <c r="AE68" s="34">
        <f ca="1">$H68*('Loan Sizing'!$F$47/'Loan Sizing'!$F$63)</f>
        <v>0</v>
      </c>
      <c r="AF68" s="34">
        <f ca="1">$H68*('Loan Sizing'!$F$10/'Loan Sizing'!$F$63)*SUM(AF$11:AF$19)/SUM($AF$11:$AG$19)</f>
        <v>56056.694665932235</v>
      </c>
      <c r="AG68" s="34">
        <f ca="1">$H68*('Loan Sizing'!$F$10/'Loan Sizing'!$F$63)*SUM(AG$11:AG$19)/SUM($AF$11:$AG$19)</f>
        <v>0</v>
      </c>
      <c r="AI68" s="34"/>
      <c r="AJ68" s="34">
        <f ca="1">$I68*('Loan Sizing'!$G$5/'Loan Sizing'!$G$63)</f>
        <v>4.0237012636165033E-2</v>
      </c>
      <c r="AK68" s="34">
        <f ca="1">$I68*('Loan Sizing'!$G$6/'Loan Sizing'!$G$63)</f>
        <v>0.12798542683711819</v>
      </c>
      <c r="AL68" s="34">
        <f ca="1">$I68*('Loan Sizing'!$G$7/'Loan Sizing'!$G$63)</f>
        <v>3.3063626420845959E-5</v>
      </c>
      <c r="AM68" s="34">
        <f ca="1">$I68*('Loan Sizing'!$G$31/'Loan Sizing'!$G$63)</f>
        <v>8.6828086434242197E-2</v>
      </c>
      <c r="AN68" s="34">
        <f ca="1">$I68*('Loan Sizing'!$G$8/'Loan Sizing'!$G$63)</f>
        <v>4768883.9465303831</v>
      </c>
      <c r="AO68" s="34">
        <f ca="1">$I68*('Loan Sizing'!$G$9/'Loan Sizing'!$G$63)</f>
        <v>2.1665948868583254E-5</v>
      </c>
      <c r="AP68" s="34">
        <f ca="1">$I68*('Loan Sizing'!$G$47/'Loan Sizing'!$G$63)</f>
        <v>2048839.8970280236</v>
      </c>
      <c r="AQ68" s="34">
        <f ca="1">$I68*('Loan Sizing'!$G$10/'Loan Sizing'!$G$63)*SUM(AQ$11:AQ$19)/SUM($AQ$11:$AR$19)</f>
        <v>3.2765133695866061E-4</v>
      </c>
      <c r="AR68" s="34">
        <f ca="1">$I68*('Loan Sizing'!$G$10/'Loan Sizing'!$G$63)*SUM(AR$11:AR$19)/SUM($AQ$11:$AR$19)</f>
        <v>0</v>
      </c>
      <c r="AT68" s="34"/>
      <c r="AU68" s="34">
        <f ca="1">$J68*('Loan Sizing'!$H$5/'Loan Sizing'!$H$63)</f>
        <v>3.929556450352157E-2</v>
      </c>
      <c r="AV68" s="34">
        <f ca="1">$J68*('Loan Sizing'!$H$6/'Loan Sizing'!$H$63)</f>
        <v>6674892.7823414458</v>
      </c>
      <c r="AW68" s="34">
        <f ca="1">$J68*('Loan Sizing'!$H$7/'Loan Sizing'!$H$63)</f>
        <v>3.3046100212630967E-5</v>
      </c>
      <c r="AX68" s="34">
        <f ca="1">$J68*('Loan Sizing'!$H$31/'Loan Sizing'!$H$63)</f>
        <v>8.824837772361592E-2</v>
      </c>
      <c r="AY68" s="34">
        <f ca="1">$J68*('Loan Sizing'!$H$8/'Loan Sizing'!$H$63)</f>
        <v>1.9514063972595402E-4</v>
      </c>
      <c r="AZ68" s="34">
        <f ca="1">$J68*('Loan Sizing'!$H$9/'Loan Sizing'!$H$63)</f>
        <v>17260558.894340567</v>
      </c>
      <c r="BA68" s="34">
        <f ca="1">$J68*('Loan Sizing'!$H$47/'Loan Sizing'!$H$63)</f>
        <v>0</v>
      </c>
      <c r="BB68" s="34">
        <f ca="1">$J68*('Loan Sizing'!$H$10/'Loan Sizing'!$H$63)*SUM(BB$11:BB$19)/SUM($BB$11:$BC$19)</f>
        <v>435352.74957998045</v>
      </c>
      <c r="BC68" s="34">
        <f ca="1">$J68*('Loan Sizing'!$H$10/'Loan Sizing'!$H$63)*SUM(BC$11:BC$19)/SUM($BB$11:$BC$19)</f>
        <v>0</v>
      </c>
    </row>
    <row r="69" spans="2:55" s="41" customFormat="1" ht="15.5">
      <c r="B69" s="33" t="s">
        <v>175</v>
      </c>
      <c r="C69" s="33"/>
      <c r="D69" s="33"/>
      <c r="E69" s="44"/>
      <c r="F69" s="105">
        <f ca="1">+G69/$G$10</f>
        <v>0.35108765252104396</v>
      </c>
      <c r="G69" s="48">
        <f ca="1">+SUM(H69:J69)</f>
        <v>1517021.8112046067</v>
      </c>
      <c r="H69" s="34">
        <f ca="1">+Assumptions!N170*'S&amp;U'!H18</f>
        <v>517748.02650901664</v>
      </c>
      <c r="I69" s="34">
        <f ca="1">+Assumptions!O170*'S&amp;U'!I18</f>
        <v>160097.03256704553</v>
      </c>
      <c r="J69" s="34">
        <f ca="1">+Assumptions!P170*'S&amp;U'!J18</f>
        <v>839176.75212854496</v>
      </c>
      <c r="M69" s="34">
        <f ca="1">$G69*('Loan Sizing'!$E$5/'Loan Sizing'!$E$63)</f>
        <v>129828.29855916633</v>
      </c>
      <c r="N69" s="34">
        <f ca="1">$G69*('Loan Sizing'!$E$6/'Loan Sizing'!$E$63)</f>
        <v>255415.83479178825</v>
      </c>
      <c r="O69" s="34">
        <f ca="1">$G69*('Loan Sizing'!$E$7/'Loan Sizing'!$E$63)</f>
        <v>332928.76679679751</v>
      </c>
      <c r="P69" s="34">
        <f ca="1">$G69*('Loan Sizing'!$E$31/'Loan Sizing'!$E$63)</f>
        <v>7.3594011491904228E-3</v>
      </c>
      <c r="Q69" s="34">
        <f ca="1">$G69*('Loan Sizing'!$E$8/'Loan Sizing'!$E$63)</f>
        <v>134734.16816743926</v>
      </c>
      <c r="R69" s="34">
        <f ca="1">$G69*('Loan Sizing'!$E$9/'Loan Sizing'!$E$63)</f>
        <v>591897.57493420795</v>
      </c>
      <c r="S69" s="34">
        <f ca="1">$G69*('Loan Sizing'!$E$47/'Loan Sizing'!$E$63)</f>
        <v>57885.396733979876</v>
      </c>
      <c r="T69" s="34">
        <f ca="1">$G69*('Loan Sizing'!$E$10/'Loan Sizing'!$E$63)*SUM(T$11:T$19)/SUM($T$11:$U$19)</f>
        <v>14331.763861826421</v>
      </c>
      <c r="U69" s="34">
        <f ca="1">$G69*('Loan Sizing'!$E$10/'Loan Sizing'!$E$63)*SUM(U$11:U$19)/SUM($T$11:$U$19)</f>
        <v>0</v>
      </c>
      <c r="Y69" s="34">
        <f ca="1">$H69*('Loan Sizing'!$F$5/'Loan Sizing'!$F$63)</f>
        <v>103901.791562805</v>
      </c>
      <c r="Z69" s="34">
        <f ca="1">$H69*('Loan Sizing'!$F$6/'Loan Sizing'!$F$63)</f>
        <v>55914.478725698522</v>
      </c>
      <c r="AA69" s="34">
        <f ca="1">$H69*('Loan Sizing'!$F$7/'Loan Sizing'!$F$63)</f>
        <v>266443.42035313079</v>
      </c>
      <c r="AB69" s="34">
        <f ca="1">$H69*('Loan Sizing'!$F$31/'Loan Sizing'!$F$63)</f>
        <v>1.9632468058337726E-3</v>
      </c>
      <c r="AC69" s="34">
        <f ca="1">$H69*('Loan Sizing'!$F$8/'Loan Sizing'!$F$63)</f>
        <v>0</v>
      </c>
      <c r="AD69" s="34">
        <f ca="1">$H69*('Loan Sizing'!$F$9/'Loan Sizing'!$F$63)</f>
        <v>89703.819895672699</v>
      </c>
      <c r="AE69" s="34">
        <f ca="1">$H69*('Loan Sizing'!$F$47/'Loan Sizing'!$F$63)</f>
        <v>0</v>
      </c>
      <c r="AF69" s="34">
        <f ca="1">$H69*('Loan Sizing'!$F$10/'Loan Sizing'!$F$63)*SUM(AF$11:AF$19)/SUM($AF$11:$AG$19)</f>
        <v>1784.5140084628054</v>
      </c>
      <c r="AG69" s="34">
        <f ca="1">$H69*('Loan Sizing'!$F$10/'Loan Sizing'!$F$63)*SUM(AG$11:AG$19)/SUM($AF$11:$AG$19)</f>
        <v>0</v>
      </c>
      <c r="AJ69" s="34">
        <f ca="1">$I69*('Loan Sizing'!$G$5/'Loan Sizing'!$G$63)</f>
        <v>9.4486462474564022E-4</v>
      </c>
      <c r="AK69" s="34">
        <f ca="1">$I69*('Loan Sizing'!$G$6/'Loan Sizing'!$G$63)</f>
        <v>3.0054145270385544E-3</v>
      </c>
      <c r="AL69" s="34">
        <f ca="1">$I69*('Loan Sizing'!$G$7/'Loan Sizing'!$G$63)</f>
        <v>7.7641576558751667E-7</v>
      </c>
      <c r="AM69" s="34">
        <f ca="1">$I69*('Loan Sizing'!$G$31/'Loan Sizing'!$G$63)</f>
        <v>2.0389383289437842E-3</v>
      </c>
      <c r="AN69" s="34">
        <f ca="1">$I69*('Loan Sizing'!$G$8/'Loan Sizing'!$G$63)</f>
        <v>111985.19585283501</v>
      </c>
      <c r="AO69" s="34">
        <f ca="1">$I69*('Loan Sizing'!$G$9/'Loan Sizing'!$G$63)</f>
        <v>5.08770092665191E-7</v>
      </c>
      <c r="AP69" s="34">
        <f ca="1">$I69*('Loan Sizing'!$G$47/'Loan Sizing'!$G$63)</f>
        <v>48111.830716013785</v>
      </c>
      <c r="AQ69" s="34">
        <f ca="1">$I69*('Loan Sizing'!$G$10/'Loan Sizing'!$G$63)*SUM(AQ$11:AQ$19)/SUM($AQ$11:$AR$19)</f>
        <v>7.694064177731627E-6</v>
      </c>
      <c r="AR69" s="34">
        <f ca="1">$I69*('Loan Sizing'!$G$10/'Loan Sizing'!$G$63)*SUM(AR$11:AR$19)/SUM($AQ$11:$AR$19)</f>
        <v>0</v>
      </c>
      <c r="AU69" s="34">
        <f ca="1">$J69*('Loan Sizing'!$H$5/'Loan Sizing'!$H$63)</f>
        <v>1.3530913236782917E-3</v>
      </c>
      <c r="AV69" s="34">
        <f ca="1">$J69*('Loan Sizing'!$H$6/'Loan Sizing'!$H$63)</f>
        <v>229841.19516745105</v>
      </c>
      <c r="AW69" s="34">
        <f ca="1">$J69*('Loan Sizing'!$H$7/'Loan Sizing'!$H$63)</f>
        <v>1.1378992017052491E-6</v>
      </c>
      <c r="AX69" s="34">
        <f ca="1">$J69*('Loan Sizing'!$H$31/'Loan Sizing'!$H$63)</f>
        <v>3.0387173650554961E-3</v>
      </c>
      <c r="AY69" s="34">
        <f ca="1">$J69*('Loan Sizing'!$H$8/'Loan Sizing'!$H$63)</f>
        <v>6.719412479404817E-6</v>
      </c>
      <c r="AZ69" s="34">
        <f ca="1">$J69*('Loan Sizing'!$H$9/'Loan Sizing'!$H$63)</f>
        <v>594344.75052972871</v>
      </c>
      <c r="BA69" s="34">
        <f ca="1">$J69*('Loan Sizing'!$H$47/'Loan Sizing'!$H$63)</f>
        <v>0</v>
      </c>
      <c r="BB69" s="34">
        <f ca="1">$J69*('Loan Sizing'!$H$10/'Loan Sizing'!$H$63)*SUM(BB$11:BB$19)/SUM($BB$11:$BC$19)</f>
        <v>14990.802031699239</v>
      </c>
      <c r="BC69" s="34">
        <f ca="1">$J69*('Loan Sizing'!$H$10/'Loan Sizing'!$H$63)*SUM(BC$11:BC$19)/SUM($BB$11:$BC$19)</f>
        <v>0</v>
      </c>
    </row>
    <row r="70" spans="2:55" s="41" customFormat="1" ht="15.5">
      <c r="B70" s="33" t="s">
        <v>241</v>
      </c>
      <c r="C70" s="33"/>
      <c r="D70" s="33"/>
      <c r="E70" s="44"/>
      <c r="F70" s="105">
        <f t="shared" ca="1" si="117"/>
        <v>2.9132603609162175</v>
      </c>
      <c r="G70" s="48">
        <f ca="1">+SUM(H70:J70)</f>
        <v>12587966.217247713</v>
      </c>
      <c r="H70" s="34">
        <f ca="1">+'S&amp;U'!H18*Assumptions!N168*Assumptions!N171*(Assumptions!F25)/12</f>
        <v>3365362.1723086075</v>
      </c>
      <c r="I70" s="34">
        <f ca="1">+'S&amp;U'!I18*Assumptions!O168*Assumptions!O171*(Assumptions!G25)/12</f>
        <v>1040630.7116857959</v>
      </c>
      <c r="J70" s="34">
        <f ca="1">+'S&amp;U'!J18*Assumptions!P168*Assumptions!P171*(Assumptions!H25)/12</f>
        <v>8181973.3332533129</v>
      </c>
      <c r="M70" s="34">
        <f ca="1">$G70*('Loan Sizing'!$E$5/'Loan Sizing'!$E$63)</f>
        <v>1077291.1926742988</v>
      </c>
      <c r="N70" s="34">
        <f ca="1">$G70*('Loan Sizing'!$E$6/'Loan Sizing'!$E$63)</f>
        <v>2119393.3244480635</v>
      </c>
      <c r="O70" s="34">
        <f ca="1">$G70*('Loan Sizing'!$E$7/'Loan Sizing'!$E$63)</f>
        <v>2762581.2880437137</v>
      </c>
      <c r="P70" s="34">
        <f ca="1">$G70*('Loan Sizing'!$E$31/'Loan Sizing'!$E$63)</f>
        <v>6.1066948649618549E-2</v>
      </c>
      <c r="Q70" s="34">
        <f ca="1">$G70*('Loan Sizing'!$E$8/'Loan Sizing'!$E$63)</f>
        <v>1117999.1906998018</v>
      </c>
      <c r="R70" s="34">
        <f ca="1">$G70*('Loan Sizing'!$E$9/'Loan Sizing'!$E$63)</f>
        <v>4911456.5277253883</v>
      </c>
      <c r="S70" s="34">
        <f ca="1">$G70*('Loan Sizing'!$E$47/'Loan Sizing'!$E$63)</f>
        <v>480322.30860327603</v>
      </c>
      <c r="T70" s="34">
        <f ca="1">$G70*('Loan Sizing'!$E$10/'Loan Sizing'!$E$63)*SUM(T$11:T$19)/SUM($T$11:$U$19)</f>
        <v>118922.32398622403</v>
      </c>
      <c r="U70" s="34">
        <f ca="1">$G70*('Loan Sizing'!$E$10/'Loan Sizing'!$E$63)*SUM(U$11:U$19)/SUM($T$11:$U$19)</f>
        <v>0</v>
      </c>
      <c r="Y70" s="34">
        <f ca="1">$H70*('Loan Sizing'!$F$5/'Loan Sizing'!$F$63)</f>
        <v>675361.64515823231</v>
      </c>
      <c r="Z70" s="34">
        <f ca="1">$H70*('Loan Sizing'!$F$6/'Loan Sizing'!$F$63)</f>
        <v>363444.11171704036</v>
      </c>
      <c r="AA70" s="34">
        <f ca="1">$H70*('Loan Sizing'!$F$7/'Loan Sizing'!$F$63)</f>
        <v>1731882.2322953497</v>
      </c>
      <c r="AB70" s="34">
        <f ca="1">$H70*('Loan Sizing'!$F$31/'Loan Sizing'!$F$63)</f>
        <v>1.2761104237919518E-2</v>
      </c>
      <c r="AC70" s="34">
        <f ca="1">$H70*('Loan Sizing'!$F$8/'Loan Sizing'!$F$63)</f>
        <v>0</v>
      </c>
      <c r="AD70" s="34">
        <f ca="1">$H70*('Loan Sizing'!$F$9/'Loan Sizing'!$F$63)</f>
        <v>583074.82932187244</v>
      </c>
      <c r="AE70" s="34">
        <f ca="1">$H70*('Loan Sizing'!$F$47/'Loan Sizing'!$F$63)</f>
        <v>0</v>
      </c>
      <c r="AF70" s="34">
        <f ca="1">$H70*('Loan Sizing'!$F$10/'Loan Sizing'!$F$63)*SUM(AF$11:AF$19)/SUM($AF$11:$AG$19)</f>
        <v>11599.341055008234</v>
      </c>
      <c r="AG70" s="34">
        <f ca="1">$H70*('Loan Sizing'!$F$10/'Loan Sizing'!$F$63)*SUM(AG$11:AG$19)/SUM($AF$11:$AG$19)</f>
        <v>0</v>
      </c>
      <c r="AJ70" s="34">
        <f ca="1">$I70*('Loan Sizing'!$G$5/'Loan Sizing'!$G$63)</f>
        <v>6.1416200608466615E-3</v>
      </c>
      <c r="AK70" s="34">
        <f ca="1">$I70*('Loan Sizing'!$G$6/'Loan Sizing'!$G$63)</f>
        <v>1.9535194425750604E-2</v>
      </c>
      <c r="AL70" s="34">
        <f ca="1">$I70*('Loan Sizing'!$G$7/'Loan Sizing'!$G$63)</f>
        <v>5.0467024763188575E-6</v>
      </c>
      <c r="AM70" s="34">
        <f ca="1">$I70*('Loan Sizing'!$G$31/'Loan Sizing'!$G$63)</f>
        <v>1.3253099138134598E-2</v>
      </c>
      <c r="AN70" s="34">
        <f ca="1">$I70*('Loan Sizing'!$G$8/'Loan Sizing'!$G$63)</f>
        <v>727903.7730434275</v>
      </c>
      <c r="AO70" s="34">
        <f ca="1">$I70*('Loan Sizing'!$G$9/'Loan Sizing'!$G$63)</f>
        <v>3.3070056023237411E-6</v>
      </c>
      <c r="AP70" s="34">
        <f ca="1">$I70*('Loan Sizing'!$G$47/'Loan Sizing'!$G$63)</f>
        <v>312726.89965408959</v>
      </c>
      <c r="AQ70" s="34">
        <f ca="1">$I70*('Loan Sizing'!$G$10/'Loan Sizing'!$G$63)*SUM(AQ$11:AQ$19)/SUM($AQ$11:$AR$19)</f>
        <v>5.0011417155255562E-5</v>
      </c>
      <c r="AR70" s="34">
        <f ca="1">$I70*('Loan Sizing'!$G$10/'Loan Sizing'!$G$63)*SUM(AR$11:AR$19)/SUM($AQ$11:$AR$19)</f>
        <v>0</v>
      </c>
      <c r="AU70" s="34">
        <f ca="1">$J70*('Loan Sizing'!$H$5/'Loan Sizing'!$H$63)</f>
        <v>1.3192640405863343E-2</v>
      </c>
      <c r="AV70" s="34">
        <f ca="1">$J70*('Loan Sizing'!$H$6/'Loan Sizing'!$H$63)</f>
        <v>2240951.6528826477</v>
      </c>
      <c r="AW70" s="34">
        <f ca="1">$J70*('Loan Sizing'!$H$7/'Loan Sizing'!$H$63)</f>
        <v>1.1094517216626178E-5</v>
      </c>
      <c r="AX70" s="34">
        <f ca="1">$J70*('Loan Sizing'!$H$31/'Loan Sizing'!$H$63)</f>
        <v>2.9627494309291083E-2</v>
      </c>
      <c r="AY70" s="34">
        <f ca="1">$J70*('Loan Sizing'!$H$8/'Loan Sizing'!$H$63)</f>
        <v>6.5514271674196956E-5</v>
      </c>
      <c r="AZ70" s="34">
        <f ca="1">$J70*('Loan Sizing'!$H$9/'Loan Sizing'!$H$63)</f>
        <v>5794861.3176648552</v>
      </c>
      <c r="BA70" s="34">
        <f ca="1">$J70*('Loan Sizing'!$H$47/'Loan Sizing'!$H$63)</f>
        <v>0</v>
      </c>
      <c r="BB70" s="34">
        <f ca="1">$J70*('Loan Sizing'!$H$10/'Loan Sizing'!$H$63)*SUM(BB$11:BB$19)/SUM($BB$11:$BC$19)</f>
        <v>146160.31980906756</v>
      </c>
      <c r="BC70" s="34">
        <f ca="1">$J70*('Loan Sizing'!$H$10/'Loan Sizing'!$H$63)*SUM(BC$11:BC$19)/SUM($BB$11:$BC$19)</f>
        <v>0</v>
      </c>
    </row>
    <row r="71" spans="2:55" ht="15.5">
      <c r="B71" s="12" t="s">
        <v>81</v>
      </c>
      <c r="C71" s="12"/>
      <c r="D71" s="12"/>
      <c r="E71" s="12"/>
      <c r="F71" s="106">
        <f t="shared" ca="1" si="117"/>
        <v>16.210774185375044</v>
      </c>
      <c r="G71" s="13">
        <f ca="1">+SUM(G67:G70)</f>
        <v>70045465.396287292</v>
      </c>
      <c r="H71" s="129">
        <f ca="1">+SUM(H67:H70)</f>
        <v>23682699.066332366</v>
      </c>
      <c r="I71" s="129">
        <f ca="1">+SUM(I67:I70)</f>
        <v>9438811.0305340122</v>
      </c>
      <c r="J71" s="129">
        <f ca="1">+SUM(J67:J70)</f>
        <v>36923955.299420923</v>
      </c>
      <c r="K71" s="108"/>
      <c r="M71" s="129">
        <f t="shared" ref="M71:U71" ca="1" si="118">+SUM(M67:M70)</f>
        <v>5994563.5105693368</v>
      </c>
      <c r="N71" s="129">
        <f t="shared" ca="1" si="118"/>
        <v>11793318.253852744</v>
      </c>
      <c r="O71" s="129">
        <f t="shared" ca="1" si="118"/>
        <v>15372323.747656653</v>
      </c>
      <c r="P71" s="129">
        <f t="shared" ca="1" si="118"/>
        <v>0.33980571322417735</v>
      </c>
      <c r="Q71" s="129">
        <f t="shared" ca="1" si="118"/>
        <v>6221082.2839626558</v>
      </c>
      <c r="R71" s="129">
        <f t="shared" ca="1" si="118"/>
        <v>27329693.480332293</v>
      </c>
      <c r="S71" s="129">
        <f t="shared" ca="1" si="118"/>
        <v>2672743.0838062535</v>
      </c>
      <c r="T71" s="129">
        <f t="shared" ca="1" si="118"/>
        <v>661740.69630164781</v>
      </c>
      <c r="U71" s="129">
        <f t="shared" ca="1" si="118"/>
        <v>0</v>
      </c>
      <c r="X71" s="34">
        <f ca="1">+SUM(Y71:AG71)</f>
        <v>23682699.066332366</v>
      </c>
      <c r="Y71" s="129">
        <f t="shared" ref="Y71:AG71" ca="1" si="119">+SUM(Y67:Y70)</f>
        <v>4752649.4279970927</v>
      </c>
      <c r="Z71" s="129">
        <f t="shared" ca="1" si="119"/>
        <v>2557625.9209333747</v>
      </c>
      <c r="AA71" s="129">
        <f t="shared" ca="1" si="119"/>
        <v>12187587.435096869</v>
      </c>
      <c r="AB71" s="129">
        <f t="shared" ca="1" si="119"/>
        <v>8.9802338038829324E-2</v>
      </c>
      <c r="AC71" s="129">
        <f t="shared" ca="1" si="119"/>
        <v>0</v>
      </c>
      <c r="AD71" s="129">
        <f t="shared" ca="1" si="119"/>
        <v>4103209.404802429</v>
      </c>
      <c r="AE71" s="129">
        <f t="shared" ca="1" si="119"/>
        <v>0</v>
      </c>
      <c r="AF71" s="129">
        <f t="shared" ca="1" si="119"/>
        <v>81626.787700258108</v>
      </c>
      <c r="AG71" s="129">
        <f t="shared" ca="1" si="119"/>
        <v>0</v>
      </c>
      <c r="AH71" s="34"/>
      <c r="AI71" s="34">
        <f ca="1">+SUM(AJ71:AR71)</f>
        <v>9438811.0305340085</v>
      </c>
      <c r="AJ71" s="129">
        <f t="shared" ref="AJ71:AR71" ca="1" si="120">+SUM(AJ67:AJ70)</f>
        <v>5.5706208287625049E-2</v>
      </c>
      <c r="AK71" s="129">
        <f t="shared" ca="1" si="120"/>
        <v>0.17718966638097366</v>
      </c>
      <c r="AL71" s="129">
        <f t="shared" ca="1" si="120"/>
        <v>4.5775000167095248E-5</v>
      </c>
      <c r="AM71" s="129">
        <f t="shared" ca="1" si="120"/>
        <v>0.12020930857512102</v>
      </c>
      <c r="AN71" s="129">
        <f t="shared" ca="1" si="120"/>
        <v>6602290.4042871417</v>
      </c>
      <c r="AO71" s="129">
        <f t="shared" ca="1" si="120"/>
        <v>2.9995463911193697E-5</v>
      </c>
      <c r="AP71" s="129">
        <f t="shared" ca="1" si="120"/>
        <v>2836520.2726122988</v>
      </c>
      <c r="AQ71" s="129">
        <f t="shared" ca="1" si="120"/>
        <v>4.536175134913688E-4</v>
      </c>
      <c r="AR71" s="129">
        <f t="shared" ca="1" si="120"/>
        <v>0</v>
      </c>
      <c r="AT71" s="34">
        <f ca="1">+SUM(AU71:BC71)</f>
        <v>36923955.299420923</v>
      </c>
      <c r="AU71" s="129">
        <f t="shared" ref="AU71:BC71" ca="1" si="121">+SUM(AU67:AU70)</f>
        <v>5.9536305581399662E-2</v>
      </c>
      <c r="AV71" s="129">
        <f t="shared" ca="1" si="121"/>
        <v>10113061.395948276</v>
      </c>
      <c r="AW71" s="129">
        <f t="shared" ca="1" si="121"/>
        <v>5.0067806516850938E-5</v>
      </c>
      <c r="AX71" s="129">
        <f t="shared" ca="1" si="121"/>
        <v>0.13370420935790683</v>
      </c>
      <c r="AY71" s="129">
        <f t="shared" ca="1" si="121"/>
        <v>2.9565557601375202E-4</v>
      </c>
      <c r="AZ71" s="129">
        <f t="shared" ca="1" si="121"/>
        <v>26151295.237077262</v>
      </c>
      <c r="BA71" s="129">
        <f t="shared" ca="1" si="121"/>
        <v>0</v>
      </c>
      <c r="BB71" s="129">
        <f t="shared" ca="1" si="121"/>
        <v>659598.47280915023</v>
      </c>
      <c r="BC71" s="129">
        <f t="shared" ca="1" si="121"/>
        <v>0</v>
      </c>
    </row>
    <row r="72" spans="2:55">
      <c r="B72" s="9"/>
      <c r="C72" s="9"/>
      <c r="D72" s="9"/>
      <c r="E72" s="9"/>
      <c r="F72" s="9"/>
      <c r="G72" s="9"/>
      <c r="H72" s="9"/>
      <c r="I72" s="9"/>
      <c r="J72" s="9"/>
      <c r="M72" s="33"/>
      <c r="N72" s="33"/>
      <c r="O72" s="33"/>
      <c r="P72" s="33"/>
      <c r="Q72" s="33"/>
      <c r="R72" s="33"/>
      <c r="S72" s="33"/>
      <c r="T72" s="33"/>
      <c r="U72" s="33"/>
      <c r="X72" s="41"/>
      <c r="Y72" s="33"/>
      <c r="Z72" s="33"/>
      <c r="AA72" s="33"/>
      <c r="AB72" s="33"/>
      <c r="AC72" s="33"/>
      <c r="AD72" s="33"/>
      <c r="AE72" s="33"/>
      <c r="AF72" s="33"/>
      <c r="AG72" s="33"/>
      <c r="AI72" s="41"/>
      <c r="AJ72" s="33"/>
      <c r="AK72" s="33"/>
      <c r="AL72" s="33"/>
      <c r="AM72" s="33"/>
      <c r="AN72" s="33"/>
      <c r="AO72" s="33"/>
      <c r="AP72" s="33"/>
      <c r="AQ72" s="33"/>
      <c r="AR72" s="33"/>
      <c r="AT72" s="41"/>
      <c r="AU72" s="33"/>
      <c r="AV72" s="33"/>
      <c r="AW72" s="33"/>
      <c r="AX72" s="33"/>
      <c r="AY72" s="33"/>
      <c r="AZ72" s="33"/>
      <c r="BA72" s="33"/>
      <c r="BB72" s="33"/>
      <c r="BC72" s="33"/>
    </row>
    <row r="73" spans="2:55" ht="32.25" customHeight="1">
      <c r="B73" s="15" t="s">
        <v>82</v>
      </c>
      <c r="C73" s="16"/>
      <c r="D73" s="16"/>
      <c r="E73" s="16"/>
      <c r="F73" s="16"/>
      <c r="G73" s="15" t="s">
        <v>17</v>
      </c>
      <c r="H73" s="23" t="str">
        <f>+H$22</f>
        <v>I</v>
      </c>
      <c r="I73" s="23" t="str">
        <f t="shared" ref="I73:J73" si="122">+I$22</f>
        <v>II</v>
      </c>
      <c r="J73" s="46" t="str">
        <f t="shared" si="122"/>
        <v>III</v>
      </c>
      <c r="M73" s="214" t="str">
        <f t="shared" ref="M73:U73" ca="1" si="123">+M$22</f>
        <v>Affordable Residential</v>
      </c>
      <c r="N73" s="214" t="str">
        <f t="shared" ca="1" si="123"/>
        <v>Multifamily</v>
      </c>
      <c r="O73" s="214" t="str">
        <f t="shared" ca="1" si="123"/>
        <v>Retail</v>
      </c>
      <c r="P73" s="214" t="str">
        <f t="shared" ca="1" si="123"/>
        <v>Hotel</v>
      </c>
      <c r="Q73" s="214" t="str">
        <f t="shared" ca="1" si="123"/>
        <v>Gallery &amp; Museum Facility</v>
      </c>
      <c r="R73" s="214" t="str">
        <f t="shared" ca="1" si="123"/>
        <v>Office</v>
      </c>
      <c r="S73" s="214" t="str">
        <f t="shared" ca="1" si="123"/>
        <v>School</v>
      </c>
      <c r="T73" s="214" t="str">
        <f t="shared" ca="1" si="123"/>
        <v>Structural Parking</v>
      </c>
      <c r="U73" s="214" t="str">
        <f t="shared" ca="1" si="123"/>
        <v>Surface Parking</v>
      </c>
      <c r="X73" s="41"/>
      <c r="Y73" s="214" t="str">
        <f t="shared" ref="Y73:AG73" ca="1" si="124">+Y$22</f>
        <v>Affordable Residential</v>
      </c>
      <c r="Z73" s="214" t="str">
        <f t="shared" ca="1" si="124"/>
        <v>Multifamily</v>
      </c>
      <c r="AA73" s="214" t="str">
        <f t="shared" ca="1" si="124"/>
        <v>Retail</v>
      </c>
      <c r="AB73" s="214" t="str">
        <f t="shared" ca="1" si="124"/>
        <v>Hotel</v>
      </c>
      <c r="AC73" s="214" t="str">
        <f t="shared" ca="1" si="124"/>
        <v>Gallery &amp; Museum Facility</v>
      </c>
      <c r="AD73" s="214" t="str">
        <f t="shared" ca="1" si="124"/>
        <v>Office</v>
      </c>
      <c r="AE73" s="214" t="str">
        <f t="shared" ca="1" si="124"/>
        <v>School</v>
      </c>
      <c r="AF73" s="214" t="str">
        <f t="shared" ca="1" si="124"/>
        <v>Structural Parking</v>
      </c>
      <c r="AG73" s="214" t="str">
        <f t="shared" ca="1" si="124"/>
        <v>Surface Parking</v>
      </c>
      <c r="AI73" s="41"/>
      <c r="AJ73" s="214" t="str">
        <f t="shared" ref="AJ73:AR73" ca="1" si="125">+AJ$22</f>
        <v>Affordable Residential</v>
      </c>
      <c r="AK73" s="214" t="str">
        <f t="shared" ca="1" si="125"/>
        <v>Multifamily</v>
      </c>
      <c r="AL73" s="214" t="str">
        <f t="shared" ca="1" si="125"/>
        <v>Retail</v>
      </c>
      <c r="AM73" s="214" t="str">
        <f t="shared" ca="1" si="125"/>
        <v>Hotel</v>
      </c>
      <c r="AN73" s="214" t="str">
        <f t="shared" ca="1" si="125"/>
        <v>Gallery &amp; Museum Facility</v>
      </c>
      <c r="AO73" s="214" t="str">
        <f t="shared" ca="1" si="125"/>
        <v>Office</v>
      </c>
      <c r="AP73" s="214" t="str">
        <f t="shared" ca="1" si="125"/>
        <v>School</v>
      </c>
      <c r="AQ73" s="214" t="str">
        <f t="shared" ca="1" si="125"/>
        <v>Structural Parking</v>
      </c>
      <c r="AR73" s="214" t="str">
        <f t="shared" ca="1" si="125"/>
        <v>Surface Parking</v>
      </c>
      <c r="AT73" s="41"/>
      <c r="AU73" s="214" t="str">
        <f t="shared" ref="AU73:BC73" ca="1" si="126">+AU$22</f>
        <v>Affordable Residential</v>
      </c>
      <c r="AV73" s="214" t="str">
        <f t="shared" ca="1" si="126"/>
        <v>Multifamily</v>
      </c>
      <c r="AW73" s="214" t="str">
        <f t="shared" ca="1" si="126"/>
        <v>Retail</v>
      </c>
      <c r="AX73" s="214" t="str">
        <f t="shared" ca="1" si="126"/>
        <v>Hotel</v>
      </c>
      <c r="AY73" s="214" t="str">
        <f t="shared" ca="1" si="126"/>
        <v>Gallery &amp; Museum Facility</v>
      </c>
      <c r="AZ73" s="214" t="str">
        <f t="shared" ca="1" si="126"/>
        <v>Office</v>
      </c>
      <c r="BA73" s="214" t="str">
        <f t="shared" ca="1" si="126"/>
        <v>School</v>
      </c>
      <c r="BB73" s="214" t="str">
        <f t="shared" ca="1" si="126"/>
        <v>Structural Parking</v>
      </c>
      <c r="BC73" s="214" t="str">
        <f t="shared" ca="1" si="126"/>
        <v>Surface Parking</v>
      </c>
    </row>
    <row r="74" spans="2:55" ht="15.5">
      <c r="B74" s="9" t="s">
        <v>83</v>
      </c>
      <c r="C74" s="9"/>
      <c r="D74" s="9"/>
      <c r="E74" s="22"/>
      <c r="F74" s="105">
        <f t="shared" ref="F74:F76" si="127">+G74/$G$10</f>
        <v>0.23143217185668505</v>
      </c>
      <c r="G74" s="48">
        <v>1000000</v>
      </c>
      <c r="H74" s="11">
        <f t="shared" ref="H74:J75" si="128">+$G74*H$20</f>
        <v>446351.56743120891</v>
      </c>
      <c r="I74" s="11">
        <f t="shared" si="128"/>
        <v>127744.73066277526</v>
      </c>
      <c r="J74" s="11">
        <f t="shared" si="128"/>
        <v>425903.70190601581</v>
      </c>
      <c r="M74" s="39">
        <f t="shared" ref="M74:U75" ca="1" si="129">+$H74*M$5+$I74*M$6+$J74*M$7</f>
        <v>147426.92533768131</v>
      </c>
      <c r="N74" s="39">
        <f t="shared" ca="1" si="129"/>
        <v>178295.34776728725</v>
      </c>
      <c r="O74" s="39">
        <f t="shared" ca="1" si="129"/>
        <v>109635.52961840415</v>
      </c>
      <c r="P74" s="39">
        <f t="shared" ca="1" si="129"/>
        <v>1.4996804736313193E-3</v>
      </c>
      <c r="Q74" s="39">
        <f t="shared" ca="1" si="129"/>
        <v>88718.597358127154</v>
      </c>
      <c r="R74" s="39">
        <f t="shared" ca="1" si="129"/>
        <v>251498.08174016501</v>
      </c>
      <c r="S74" s="39">
        <f t="shared" ca="1" si="129"/>
        <v>39026.129449636137</v>
      </c>
      <c r="T74" s="39">
        <f t="shared" ca="1" si="129"/>
        <v>185399.38722901852</v>
      </c>
      <c r="U74" s="39">
        <f t="shared" ca="1" si="129"/>
        <v>0</v>
      </c>
      <c r="X74" s="41"/>
      <c r="Y74" s="39">
        <f t="shared" ref="Y74:AG75" ca="1" si="130">+$H74*Y$5+$I74*Y$6+$J74*Y$7</f>
        <v>147426.92211614549</v>
      </c>
      <c r="Z74" s="39">
        <f t="shared" ca="1" si="130"/>
        <v>67707.796698285252</v>
      </c>
      <c r="AA74" s="39">
        <f t="shared" ca="1" si="130"/>
        <v>109635.5296178487</v>
      </c>
      <c r="AB74" s="39">
        <f t="shared" ca="1" si="130"/>
        <v>1.2497337280260993E-3</v>
      </c>
      <c r="AC74" s="39">
        <f t="shared" ca="1" si="130"/>
        <v>2.7771860622802204E-6</v>
      </c>
      <c r="AD74" s="39">
        <f t="shared" ca="1" si="130"/>
        <v>53747.992737734014</v>
      </c>
      <c r="AE74" s="39">
        <f t="shared" ca="1" si="130"/>
        <v>2.7771860622802201E-7</v>
      </c>
      <c r="AF74" s="39">
        <f t="shared" ca="1" si="130"/>
        <v>67833.325008406828</v>
      </c>
      <c r="AG74" s="39">
        <f t="shared" ca="1" si="130"/>
        <v>0</v>
      </c>
      <c r="AI74" s="41"/>
      <c r="AJ74" s="39">
        <f t="shared" ref="AJ74:AR75" ca="1" si="131">+$H74*AJ$5+$I74*AJ$6+$J74*AJ$7</f>
        <v>1.6107679161225276E-3</v>
      </c>
      <c r="AK74" s="39">
        <f t="shared" ca="1" si="131"/>
        <v>2.0690036163987643E-3</v>
      </c>
      <c r="AL74" s="39">
        <f t="shared" ca="1" si="131"/>
        <v>2.7771860622802201E-7</v>
      </c>
      <c r="AM74" s="39">
        <f t="shared" ca="1" si="131"/>
        <v>1.2497337280260992E-4</v>
      </c>
      <c r="AN74" s="39">
        <f t="shared" ca="1" si="131"/>
        <v>88718.597352572775</v>
      </c>
      <c r="AO74" s="39">
        <f t="shared" ca="1" si="131"/>
        <v>2.7771860622802201E-7</v>
      </c>
      <c r="AP74" s="39">
        <f t="shared" ca="1" si="131"/>
        <v>39026.129421586564</v>
      </c>
      <c r="AQ74" s="39">
        <f t="shared" ca="1" si="131"/>
        <v>8.3315581868406604E-5</v>
      </c>
      <c r="AR74" s="39">
        <f t="shared" ca="1" si="131"/>
        <v>0</v>
      </c>
      <c r="AT74" s="41"/>
      <c r="AU74" s="39">
        <f t="shared" ref="AU74:BC75" ca="1" si="132">+$H74*AU$5+$I74*AU$6+$J74*AU$7</f>
        <v>1.6107679161225278E-3</v>
      </c>
      <c r="AV74" s="39">
        <f t="shared" ca="1" si="132"/>
        <v>110587.54899999838</v>
      </c>
      <c r="AW74" s="39">
        <f t="shared" ca="1" si="132"/>
        <v>2.7771860622802206E-7</v>
      </c>
      <c r="AX74" s="39">
        <f t="shared" ca="1" si="132"/>
        <v>1.2497337280260992E-4</v>
      </c>
      <c r="AY74" s="39">
        <f t="shared" ca="1" si="132"/>
        <v>2.7771860622802204E-6</v>
      </c>
      <c r="AZ74" s="39">
        <f t="shared" ca="1" si="132"/>
        <v>197750.08900215328</v>
      </c>
      <c r="BA74" s="39">
        <f t="shared" ca="1" si="132"/>
        <v>2.7771860622802203E-5</v>
      </c>
      <c r="BB74" s="39">
        <f t="shared" ca="1" si="132"/>
        <v>117566.06213729612</v>
      </c>
      <c r="BC74" s="39">
        <f t="shared" ca="1" si="132"/>
        <v>0</v>
      </c>
    </row>
    <row r="75" spans="2:55" ht="15.5">
      <c r="B75" s="9" t="s">
        <v>84</v>
      </c>
      <c r="C75" s="9"/>
      <c r="D75" s="9"/>
      <c r="E75" s="22"/>
      <c r="F75" s="105">
        <f t="shared" si="127"/>
        <v>0.23143217185668505</v>
      </c>
      <c r="G75" s="29">
        <v>1000000</v>
      </c>
      <c r="H75" s="11">
        <f t="shared" si="128"/>
        <v>446351.56743120891</v>
      </c>
      <c r="I75" s="11">
        <f t="shared" si="128"/>
        <v>127744.73066277526</v>
      </c>
      <c r="J75" s="11">
        <f t="shared" si="128"/>
        <v>425903.70190601581</v>
      </c>
      <c r="M75" s="39">
        <f t="shared" ca="1" si="129"/>
        <v>147426.92533768131</v>
      </c>
      <c r="N75" s="39">
        <f t="shared" ca="1" si="129"/>
        <v>178295.34776728725</v>
      </c>
      <c r="O75" s="39">
        <f t="shared" ca="1" si="129"/>
        <v>109635.52961840415</v>
      </c>
      <c r="P75" s="39">
        <f t="shared" ca="1" si="129"/>
        <v>1.4996804736313193E-3</v>
      </c>
      <c r="Q75" s="39">
        <f t="shared" ca="1" si="129"/>
        <v>88718.597358127154</v>
      </c>
      <c r="R75" s="39">
        <f t="shared" ca="1" si="129"/>
        <v>251498.08174016501</v>
      </c>
      <c r="S75" s="39">
        <f t="shared" ca="1" si="129"/>
        <v>39026.129449636137</v>
      </c>
      <c r="T75" s="39">
        <f t="shared" ca="1" si="129"/>
        <v>185399.38722901852</v>
      </c>
      <c r="U75" s="39">
        <f t="shared" ca="1" si="129"/>
        <v>0</v>
      </c>
      <c r="X75" s="41"/>
      <c r="Y75" s="39">
        <f t="shared" ca="1" si="130"/>
        <v>147426.92211614549</v>
      </c>
      <c r="Z75" s="39">
        <f t="shared" ca="1" si="130"/>
        <v>67707.796698285252</v>
      </c>
      <c r="AA75" s="39">
        <f t="shared" ca="1" si="130"/>
        <v>109635.5296178487</v>
      </c>
      <c r="AB75" s="39">
        <f t="shared" ca="1" si="130"/>
        <v>1.2497337280260993E-3</v>
      </c>
      <c r="AC75" s="39">
        <f t="shared" ca="1" si="130"/>
        <v>2.7771860622802204E-6</v>
      </c>
      <c r="AD75" s="39">
        <f t="shared" ca="1" si="130"/>
        <v>53747.992737734014</v>
      </c>
      <c r="AE75" s="39">
        <f t="shared" ca="1" si="130"/>
        <v>2.7771860622802201E-7</v>
      </c>
      <c r="AF75" s="39">
        <f t="shared" ca="1" si="130"/>
        <v>67833.325008406828</v>
      </c>
      <c r="AG75" s="39">
        <f t="shared" ca="1" si="130"/>
        <v>0</v>
      </c>
      <c r="AI75" s="41"/>
      <c r="AJ75" s="39">
        <f t="shared" ca="1" si="131"/>
        <v>1.6107679161225276E-3</v>
      </c>
      <c r="AK75" s="39">
        <f t="shared" ca="1" si="131"/>
        <v>2.0690036163987643E-3</v>
      </c>
      <c r="AL75" s="39">
        <f t="shared" ca="1" si="131"/>
        <v>2.7771860622802201E-7</v>
      </c>
      <c r="AM75" s="39">
        <f t="shared" ca="1" si="131"/>
        <v>1.2497337280260992E-4</v>
      </c>
      <c r="AN75" s="39">
        <f t="shared" ca="1" si="131"/>
        <v>88718.597352572775</v>
      </c>
      <c r="AO75" s="39">
        <f t="shared" ca="1" si="131"/>
        <v>2.7771860622802201E-7</v>
      </c>
      <c r="AP75" s="39">
        <f t="shared" ca="1" si="131"/>
        <v>39026.129421586564</v>
      </c>
      <c r="AQ75" s="39">
        <f t="shared" ca="1" si="131"/>
        <v>8.3315581868406604E-5</v>
      </c>
      <c r="AR75" s="39">
        <f t="shared" ca="1" si="131"/>
        <v>0</v>
      </c>
      <c r="AT75" s="41"/>
      <c r="AU75" s="39">
        <f t="shared" ca="1" si="132"/>
        <v>1.6107679161225278E-3</v>
      </c>
      <c r="AV75" s="39">
        <f t="shared" ca="1" si="132"/>
        <v>110587.54899999838</v>
      </c>
      <c r="AW75" s="39">
        <f t="shared" ca="1" si="132"/>
        <v>2.7771860622802206E-7</v>
      </c>
      <c r="AX75" s="39">
        <f t="shared" ca="1" si="132"/>
        <v>1.2497337280260992E-4</v>
      </c>
      <c r="AY75" s="39">
        <f t="shared" ca="1" si="132"/>
        <v>2.7771860622802204E-6</v>
      </c>
      <c r="AZ75" s="39">
        <f t="shared" ca="1" si="132"/>
        <v>197750.08900215328</v>
      </c>
      <c r="BA75" s="39">
        <f t="shared" ca="1" si="132"/>
        <v>2.7771860622802203E-5</v>
      </c>
      <c r="BB75" s="39">
        <f t="shared" ca="1" si="132"/>
        <v>117566.06213729612</v>
      </c>
      <c r="BC75" s="39">
        <f t="shared" ca="1" si="132"/>
        <v>0</v>
      </c>
    </row>
    <row r="76" spans="2:55" ht="15.5">
      <c r="B76" s="12" t="s">
        <v>85</v>
      </c>
      <c r="C76" s="12"/>
      <c r="D76" s="12"/>
      <c r="E76" s="12"/>
      <c r="F76" s="106">
        <f t="shared" si="127"/>
        <v>0.4628643437133701</v>
      </c>
      <c r="G76" s="13">
        <f>+SUM(G74:G75)</f>
        <v>2000000</v>
      </c>
      <c r="H76" s="129">
        <f>+SUM(H74:H75)</f>
        <v>892703.13486241782</v>
      </c>
      <c r="I76" s="129">
        <f>+SUM(I74:I75)</f>
        <v>255489.46132555051</v>
      </c>
      <c r="J76" s="129">
        <f>+SUM(J74:J75)</f>
        <v>851807.40381203161</v>
      </c>
      <c r="M76" s="129">
        <f t="shared" ref="M76:U76" ca="1" si="133">+SUM(M74:M75)</f>
        <v>294853.85067536263</v>
      </c>
      <c r="N76" s="129">
        <f t="shared" ca="1" si="133"/>
        <v>356590.69553457451</v>
      </c>
      <c r="O76" s="129">
        <f t="shared" ca="1" si="133"/>
        <v>219271.0592368083</v>
      </c>
      <c r="P76" s="129">
        <f t="shared" ca="1" si="133"/>
        <v>2.9993609472626385E-3</v>
      </c>
      <c r="Q76" s="129">
        <f t="shared" ca="1" si="133"/>
        <v>177437.19471625431</v>
      </c>
      <c r="R76" s="129">
        <f t="shared" ca="1" si="133"/>
        <v>502996.16348033003</v>
      </c>
      <c r="S76" s="129">
        <f t="shared" ca="1" si="133"/>
        <v>78052.258899272274</v>
      </c>
      <c r="T76" s="129">
        <f t="shared" ca="1" si="133"/>
        <v>370798.77445803705</v>
      </c>
      <c r="U76" s="129">
        <f t="shared" ca="1" si="133"/>
        <v>0</v>
      </c>
      <c r="X76" s="34">
        <f ca="1">+SUM(Y76:AG76)</f>
        <v>892703.13486241782</v>
      </c>
      <c r="Y76" s="129">
        <f t="shared" ref="Y76:AG76" ca="1" si="134">+SUM(Y74:Y75)</f>
        <v>294853.84423229098</v>
      </c>
      <c r="Z76" s="129">
        <f t="shared" ca="1" si="134"/>
        <v>135415.5933965705</v>
      </c>
      <c r="AA76" s="129">
        <f t="shared" ca="1" si="134"/>
        <v>219271.05923569741</v>
      </c>
      <c r="AB76" s="129">
        <f t="shared" ca="1" si="134"/>
        <v>2.4994674560521986E-3</v>
      </c>
      <c r="AC76" s="129">
        <f t="shared" ca="1" si="134"/>
        <v>5.5543721245604409E-6</v>
      </c>
      <c r="AD76" s="129">
        <f t="shared" ca="1" si="134"/>
        <v>107495.98547546803</v>
      </c>
      <c r="AE76" s="129">
        <f t="shared" ca="1" si="134"/>
        <v>5.5543721245604402E-7</v>
      </c>
      <c r="AF76" s="129">
        <f t="shared" ca="1" si="134"/>
        <v>135666.65001681366</v>
      </c>
      <c r="AG76" s="129">
        <f t="shared" ca="1" si="134"/>
        <v>0</v>
      </c>
      <c r="AH76" s="34"/>
      <c r="AI76" s="34">
        <f ca="1">+SUM(AJ76:AR76)</f>
        <v>255489.46132555054</v>
      </c>
      <c r="AJ76" s="129">
        <f t="shared" ref="AJ76:AR76" ca="1" si="135">+SUM(AJ74:AJ75)</f>
        <v>3.2215358322450552E-3</v>
      </c>
      <c r="AK76" s="129">
        <f t="shared" ca="1" si="135"/>
        <v>4.1380072327975286E-3</v>
      </c>
      <c r="AL76" s="129">
        <f t="shared" ca="1" si="135"/>
        <v>5.5543721245604402E-7</v>
      </c>
      <c r="AM76" s="129">
        <f t="shared" ca="1" si="135"/>
        <v>2.4994674560521984E-4</v>
      </c>
      <c r="AN76" s="129">
        <f t="shared" ca="1" si="135"/>
        <v>177437.19470514555</v>
      </c>
      <c r="AO76" s="129">
        <f t="shared" ca="1" si="135"/>
        <v>5.5543721245604402E-7</v>
      </c>
      <c r="AP76" s="129">
        <f t="shared" ca="1" si="135"/>
        <v>78052.258843173127</v>
      </c>
      <c r="AQ76" s="129">
        <f t="shared" ca="1" si="135"/>
        <v>1.6663116373681321E-4</v>
      </c>
      <c r="AR76" s="129">
        <f t="shared" ca="1" si="135"/>
        <v>0</v>
      </c>
      <c r="AT76" s="34">
        <f ca="1">+SUM(AU76:BC76)</f>
        <v>851807.40381203173</v>
      </c>
      <c r="AU76" s="129">
        <f t="shared" ref="AU76:BC76" ca="1" si="136">+SUM(AU74:AU75)</f>
        <v>3.2215358322450556E-3</v>
      </c>
      <c r="AV76" s="129">
        <f t="shared" ca="1" si="136"/>
        <v>221175.09799999677</v>
      </c>
      <c r="AW76" s="129">
        <f t="shared" ca="1" si="136"/>
        <v>5.5543721245604413E-7</v>
      </c>
      <c r="AX76" s="129">
        <f t="shared" ca="1" si="136"/>
        <v>2.4994674560521984E-4</v>
      </c>
      <c r="AY76" s="129">
        <f t="shared" ca="1" si="136"/>
        <v>5.5543721245604409E-6</v>
      </c>
      <c r="AZ76" s="129">
        <f t="shared" ca="1" si="136"/>
        <v>395500.17800430657</v>
      </c>
      <c r="BA76" s="129">
        <f t="shared" ca="1" si="136"/>
        <v>5.5543721245604405E-5</v>
      </c>
      <c r="BB76" s="129">
        <f t="shared" ca="1" si="136"/>
        <v>235132.12427459224</v>
      </c>
      <c r="BC76" s="129">
        <f t="shared" ca="1" si="136"/>
        <v>0</v>
      </c>
    </row>
    <row r="77" spans="2:55">
      <c r="B77" s="9"/>
      <c r="C77" s="9"/>
      <c r="D77" s="9"/>
      <c r="E77" s="9"/>
      <c r="F77" s="9"/>
      <c r="G77" s="9"/>
      <c r="H77" s="9"/>
      <c r="I77" s="9"/>
      <c r="J77" s="9"/>
      <c r="M77" s="33"/>
      <c r="N77" s="33"/>
      <c r="O77" s="33"/>
      <c r="P77" s="33"/>
      <c r="Q77" s="33"/>
      <c r="R77" s="33"/>
      <c r="S77" s="33"/>
      <c r="T77" s="33"/>
      <c r="U77" s="33"/>
      <c r="X77" s="41"/>
      <c r="Y77" s="33"/>
      <c r="Z77" s="33"/>
      <c r="AA77" s="33"/>
      <c r="AB77" s="33"/>
      <c r="AC77" s="33"/>
      <c r="AD77" s="33"/>
      <c r="AE77" s="33"/>
      <c r="AF77" s="33"/>
      <c r="AG77" s="33"/>
      <c r="AI77" s="41"/>
      <c r="AJ77" s="33"/>
      <c r="AK77" s="33"/>
      <c r="AL77" s="33"/>
      <c r="AM77" s="33"/>
      <c r="AN77" s="33"/>
      <c r="AO77" s="33"/>
      <c r="AP77" s="33"/>
      <c r="AQ77" s="33"/>
      <c r="AR77" s="33"/>
      <c r="AT77" s="41"/>
      <c r="AU77" s="33"/>
      <c r="AV77" s="33"/>
      <c r="AW77" s="33"/>
      <c r="AX77" s="33"/>
      <c r="AY77" s="33"/>
      <c r="AZ77" s="33"/>
      <c r="BA77" s="33"/>
      <c r="BB77" s="33"/>
      <c r="BC77" s="33"/>
    </row>
    <row r="78" spans="2:55" ht="32.25" customHeight="1">
      <c r="B78" s="15" t="s">
        <v>59</v>
      </c>
      <c r="C78" s="16"/>
      <c r="D78" s="16"/>
      <c r="E78" s="16"/>
      <c r="F78" s="16"/>
      <c r="G78" s="15" t="s">
        <v>17</v>
      </c>
      <c r="H78" s="23" t="str">
        <f>+H$22</f>
        <v>I</v>
      </c>
      <c r="I78" s="23" t="str">
        <f t="shared" ref="I78:J78" si="137">+I$22</f>
        <v>II</v>
      </c>
      <c r="J78" s="46" t="str">
        <f t="shared" si="137"/>
        <v>III</v>
      </c>
      <c r="M78" s="214" t="str">
        <f t="shared" ref="M78:U78" ca="1" si="138">+M$22</f>
        <v>Affordable Residential</v>
      </c>
      <c r="N78" s="214" t="str">
        <f t="shared" ca="1" si="138"/>
        <v>Multifamily</v>
      </c>
      <c r="O78" s="214" t="str">
        <f t="shared" ca="1" si="138"/>
        <v>Retail</v>
      </c>
      <c r="P78" s="214" t="str">
        <f t="shared" ca="1" si="138"/>
        <v>Hotel</v>
      </c>
      <c r="Q78" s="214" t="str">
        <f t="shared" ca="1" si="138"/>
        <v>Gallery &amp; Museum Facility</v>
      </c>
      <c r="R78" s="214" t="str">
        <f t="shared" ca="1" si="138"/>
        <v>Office</v>
      </c>
      <c r="S78" s="214" t="str">
        <f t="shared" ca="1" si="138"/>
        <v>School</v>
      </c>
      <c r="T78" s="214" t="str">
        <f t="shared" ca="1" si="138"/>
        <v>Structural Parking</v>
      </c>
      <c r="U78" s="214" t="str">
        <f t="shared" ca="1" si="138"/>
        <v>Surface Parking</v>
      </c>
      <c r="X78" s="41"/>
      <c r="Y78" s="214" t="str">
        <f t="shared" ref="Y78:AG78" ca="1" si="139">+Y$22</f>
        <v>Affordable Residential</v>
      </c>
      <c r="Z78" s="214" t="str">
        <f t="shared" ca="1" si="139"/>
        <v>Multifamily</v>
      </c>
      <c r="AA78" s="214" t="str">
        <f t="shared" ca="1" si="139"/>
        <v>Retail</v>
      </c>
      <c r="AB78" s="214" t="str">
        <f t="shared" ca="1" si="139"/>
        <v>Hotel</v>
      </c>
      <c r="AC78" s="214" t="str">
        <f t="shared" ca="1" si="139"/>
        <v>Gallery &amp; Museum Facility</v>
      </c>
      <c r="AD78" s="214" t="str">
        <f t="shared" ca="1" si="139"/>
        <v>Office</v>
      </c>
      <c r="AE78" s="214" t="str">
        <f t="shared" ca="1" si="139"/>
        <v>School</v>
      </c>
      <c r="AF78" s="214" t="str">
        <f t="shared" ca="1" si="139"/>
        <v>Structural Parking</v>
      </c>
      <c r="AG78" s="214" t="str">
        <f t="shared" ca="1" si="139"/>
        <v>Surface Parking</v>
      </c>
      <c r="AI78" s="41"/>
      <c r="AJ78" s="214" t="str">
        <f t="shared" ref="AJ78:AR78" ca="1" si="140">+AJ$22</f>
        <v>Affordable Residential</v>
      </c>
      <c r="AK78" s="214" t="str">
        <f t="shared" ca="1" si="140"/>
        <v>Multifamily</v>
      </c>
      <c r="AL78" s="214" t="str">
        <f t="shared" ca="1" si="140"/>
        <v>Retail</v>
      </c>
      <c r="AM78" s="214" t="str">
        <f t="shared" ca="1" si="140"/>
        <v>Hotel</v>
      </c>
      <c r="AN78" s="214" t="str">
        <f t="shared" ca="1" si="140"/>
        <v>Gallery &amp; Museum Facility</v>
      </c>
      <c r="AO78" s="214" t="str">
        <f t="shared" ca="1" si="140"/>
        <v>Office</v>
      </c>
      <c r="AP78" s="214" t="str">
        <f t="shared" ca="1" si="140"/>
        <v>School</v>
      </c>
      <c r="AQ78" s="214" t="str">
        <f t="shared" ca="1" si="140"/>
        <v>Structural Parking</v>
      </c>
      <c r="AR78" s="214" t="str">
        <f t="shared" ca="1" si="140"/>
        <v>Surface Parking</v>
      </c>
      <c r="AT78" s="41"/>
      <c r="AU78" s="214" t="str">
        <f t="shared" ref="AU78:BC78" ca="1" si="141">+AU$22</f>
        <v>Affordable Residential</v>
      </c>
      <c r="AV78" s="214" t="str">
        <f t="shared" ca="1" si="141"/>
        <v>Multifamily</v>
      </c>
      <c r="AW78" s="214" t="str">
        <f t="shared" ca="1" si="141"/>
        <v>Retail</v>
      </c>
      <c r="AX78" s="214" t="str">
        <f t="shared" ca="1" si="141"/>
        <v>Hotel</v>
      </c>
      <c r="AY78" s="214" t="str">
        <f t="shared" ca="1" si="141"/>
        <v>Gallery &amp; Museum Facility</v>
      </c>
      <c r="AZ78" s="214" t="str">
        <f t="shared" ca="1" si="141"/>
        <v>Office</v>
      </c>
      <c r="BA78" s="214" t="str">
        <f t="shared" ca="1" si="141"/>
        <v>School</v>
      </c>
      <c r="BB78" s="214" t="str">
        <f t="shared" ca="1" si="141"/>
        <v>Structural Parking</v>
      </c>
      <c r="BC78" s="214" t="str">
        <f t="shared" ca="1" si="141"/>
        <v>Surface Parking</v>
      </c>
    </row>
    <row r="79" spans="2:55" ht="15.5">
      <c r="B79" s="9" t="s">
        <v>59</v>
      </c>
      <c r="C79" s="9"/>
      <c r="D79" s="107">
        <v>0.03</v>
      </c>
      <c r="E79" s="107">
        <v>0.03</v>
      </c>
      <c r="F79" s="105">
        <f t="shared" ref="F79:F82" si="142">+G79/$G$10</f>
        <v>5.5310964774635218</v>
      </c>
      <c r="G79" s="43">
        <f>+SUM(H79:J79)</f>
        <v>23899427.78089067</v>
      </c>
      <c r="H79" s="34">
        <f t="shared" ref="H79" si="143">+$D79*SUM(H76,H64,H45,H31)</f>
        <v>10765003.692378659</v>
      </c>
      <c r="I79" s="34">
        <f>+$D79*SUM(I76,I64,I45,I31)</f>
        <v>3398159.1693764585</v>
      </c>
      <c r="J79" s="34">
        <f t="shared" ref="J79" si="144">+$D79*SUM(J76,J64,J45,J31)</f>
        <v>9736264.9191355519</v>
      </c>
      <c r="K79" s="34"/>
      <c r="L79" s="34"/>
      <c r="M79" s="39">
        <f t="shared" ref="M79:U79" ca="1" si="145">+$H79*M$5+$I79*M$6+$J79*M$7</f>
        <v>3555608.4313339782</v>
      </c>
      <c r="N79" s="39">
        <f t="shared" ca="1" si="145"/>
        <v>4161019.9789114296</v>
      </c>
      <c r="O79" s="39">
        <f t="shared" ca="1" si="145"/>
        <v>2644164.3029293437</v>
      </c>
      <c r="P79" s="39">
        <f t="shared" ca="1" si="145"/>
        <v>3.6322148816349986E-2</v>
      </c>
      <c r="Q79" s="39">
        <f t="shared" ca="1" si="145"/>
        <v>2360018.4018578911</v>
      </c>
      <c r="R79" s="39">
        <f t="shared" ca="1" si="145"/>
        <v>5816898.023937257</v>
      </c>
      <c r="S79" s="39">
        <f t="shared" ca="1" si="145"/>
        <v>1038140.6648488746</v>
      </c>
      <c r="T79" s="39">
        <f t="shared" ca="1" si="145"/>
        <v>4323577.9407497477</v>
      </c>
      <c r="U79" s="39">
        <f t="shared" ca="1" si="145"/>
        <v>0</v>
      </c>
      <c r="X79" s="34"/>
      <c r="Y79" s="39">
        <f t="shared" ref="Y79:AG79" ca="1" si="146">+$H79*Y$5+$I79*Y$6+$J79*Y$7</f>
        <v>3555608.3516631122</v>
      </c>
      <c r="Z79" s="39">
        <f t="shared" ca="1" si="146"/>
        <v>1632960.9541971586</v>
      </c>
      <c r="AA79" s="39">
        <f t="shared" ca="1" si="146"/>
        <v>2644164.3029156071</v>
      </c>
      <c r="AB79" s="39">
        <f t="shared" ca="1" si="146"/>
        <v>3.014078851367431E-2</v>
      </c>
      <c r="AC79" s="39">
        <f t="shared" ca="1" si="146"/>
        <v>6.6979530030387348E-5</v>
      </c>
      <c r="AD79" s="39">
        <f t="shared" ca="1" si="146"/>
        <v>1296281.6364900984</v>
      </c>
      <c r="AE79" s="39">
        <f t="shared" ca="1" si="146"/>
        <v>6.6979530030387339E-6</v>
      </c>
      <c r="AF79" s="39">
        <f t="shared" ca="1" si="146"/>
        <v>1635988.4168982168</v>
      </c>
      <c r="AG79" s="39">
        <f t="shared" ca="1" si="146"/>
        <v>0</v>
      </c>
      <c r="AI79" s="34"/>
      <c r="AJ79" s="39">
        <f t="shared" ref="AJ79:AR79" ca="1" si="147">+$H79*AJ$5+$I79*AJ$6+$J79*AJ$7</f>
        <v>4.2848309558526428E-2</v>
      </c>
      <c r="AK79" s="39">
        <f t="shared" ca="1" si="147"/>
        <v>5.5037914863969299E-2</v>
      </c>
      <c r="AL79" s="39">
        <f t="shared" ca="1" si="147"/>
        <v>7.3876395790562818E-6</v>
      </c>
      <c r="AM79" s="39">
        <f t="shared" ca="1" si="147"/>
        <v>3.3244378105753269E-3</v>
      </c>
      <c r="AN79" s="39">
        <f t="shared" ca="1" si="147"/>
        <v>2360018.4017274245</v>
      </c>
      <c r="AO79" s="39">
        <f t="shared" ca="1" si="147"/>
        <v>7.3876395790562818E-6</v>
      </c>
      <c r="AP79" s="39">
        <f t="shared" ca="1" si="147"/>
        <v>1038140.6642073049</v>
      </c>
      <c r="AQ79" s="39">
        <f t="shared" ca="1" si="147"/>
        <v>2.2162918737168844E-3</v>
      </c>
      <c r="AR79" s="39">
        <f t="shared" ca="1" si="147"/>
        <v>0</v>
      </c>
      <c r="AT79" s="34"/>
      <c r="AU79" s="39">
        <f t="shared" ref="AU79:BC79" ca="1" si="148">+$H79*AU$5+$I79*AU$6+$J79*AU$7</f>
        <v>3.6822556564848979E-2</v>
      </c>
      <c r="AV79" s="39">
        <f t="shared" ca="1" si="148"/>
        <v>2528058.9696763563</v>
      </c>
      <c r="AW79" s="39">
        <f t="shared" ca="1" si="148"/>
        <v>6.3487166491118927E-6</v>
      </c>
      <c r="AX79" s="39">
        <f t="shared" ca="1" si="148"/>
        <v>2.8569224921003518E-3</v>
      </c>
      <c r="AY79" s="39">
        <f t="shared" ca="1" si="148"/>
        <v>6.348716649111893E-5</v>
      </c>
      <c r="AZ79" s="39">
        <f t="shared" ca="1" si="148"/>
        <v>4520616.3874397706</v>
      </c>
      <c r="BA79" s="39">
        <f t="shared" ca="1" si="148"/>
        <v>6.3487166491118933E-4</v>
      </c>
      <c r="BB79" s="39">
        <f t="shared" ca="1" si="148"/>
        <v>2687589.5216352395</v>
      </c>
      <c r="BC79" s="39">
        <f t="shared" ca="1" si="148"/>
        <v>0</v>
      </c>
    </row>
    <row r="80" spans="2:55" ht="15.5">
      <c r="B80" s="12" t="s">
        <v>86</v>
      </c>
      <c r="C80" s="12"/>
      <c r="D80" s="12"/>
      <c r="E80" s="12"/>
      <c r="F80" s="106">
        <f t="shared" si="142"/>
        <v>5.5310964774635218</v>
      </c>
      <c r="G80" s="13">
        <f>+SUM(G79:G79)</f>
        <v>23899427.78089067</v>
      </c>
      <c r="H80" s="129">
        <f>+SUM(H79:H79)</f>
        <v>10765003.692378659</v>
      </c>
      <c r="I80" s="129">
        <f>+SUM(I79:I79)</f>
        <v>3398159.1693764585</v>
      </c>
      <c r="J80" s="129">
        <f>+SUM(J79:J79)</f>
        <v>9736264.9191355519</v>
      </c>
      <c r="M80" s="129">
        <f t="shared" ref="M80:U80" ca="1" si="149">+SUM(M79:M79)</f>
        <v>3555608.4313339782</v>
      </c>
      <c r="N80" s="129">
        <f t="shared" ca="1" si="149"/>
        <v>4161019.9789114296</v>
      </c>
      <c r="O80" s="129">
        <f t="shared" ca="1" si="149"/>
        <v>2644164.3029293437</v>
      </c>
      <c r="P80" s="129">
        <f t="shared" ca="1" si="149"/>
        <v>3.6322148816349986E-2</v>
      </c>
      <c r="Q80" s="129">
        <f t="shared" ca="1" si="149"/>
        <v>2360018.4018578911</v>
      </c>
      <c r="R80" s="129">
        <f t="shared" ca="1" si="149"/>
        <v>5816898.023937257</v>
      </c>
      <c r="S80" s="129">
        <f t="shared" ca="1" si="149"/>
        <v>1038140.6648488746</v>
      </c>
      <c r="T80" s="129">
        <f t="shared" ca="1" si="149"/>
        <v>4323577.9407497477</v>
      </c>
      <c r="U80" s="129">
        <f t="shared" ca="1" si="149"/>
        <v>0</v>
      </c>
      <c r="X80" s="34">
        <f ca="1">+SUM(Y80:AG80)</f>
        <v>10765003.692378661</v>
      </c>
      <c r="Y80" s="129">
        <f t="shared" ref="Y80:AG80" ca="1" si="150">+SUM(Y79:Y79)</f>
        <v>3555608.3516631122</v>
      </c>
      <c r="Z80" s="129">
        <f t="shared" ca="1" si="150"/>
        <v>1632960.9541971586</v>
      </c>
      <c r="AA80" s="129">
        <f t="shared" ca="1" si="150"/>
        <v>2644164.3029156071</v>
      </c>
      <c r="AB80" s="129">
        <f t="shared" ca="1" si="150"/>
        <v>3.014078851367431E-2</v>
      </c>
      <c r="AC80" s="129">
        <f t="shared" ca="1" si="150"/>
        <v>6.6979530030387348E-5</v>
      </c>
      <c r="AD80" s="129">
        <f t="shared" ca="1" si="150"/>
        <v>1296281.6364900984</v>
      </c>
      <c r="AE80" s="129">
        <f t="shared" ca="1" si="150"/>
        <v>6.6979530030387339E-6</v>
      </c>
      <c r="AF80" s="129">
        <f t="shared" ca="1" si="150"/>
        <v>1635988.4168982168</v>
      </c>
      <c r="AG80" s="129">
        <f t="shared" ca="1" si="150"/>
        <v>0</v>
      </c>
      <c r="AH80" s="34"/>
      <c r="AI80" s="34">
        <f ca="1">+SUM(AJ80:AR80)</f>
        <v>3398159.169376459</v>
      </c>
      <c r="AJ80" s="129">
        <f t="shared" ref="AJ80:AR80" ca="1" si="151">+SUM(AJ79:AJ79)</f>
        <v>4.2848309558526428E-2</v>
      </c>
      <c r="AK80" s="129">
        <f t="shared" ca="1" si="151"/>
        <v>5.5037914863969299E-2</v>
      </c>
      <c r="AL80" s="129">
        <f t="shared" ca="1" si="151"/>
        <v>7.3876395790562818E-6</v>
      </c>
      <c r="AM80" s="129">
        <f t="shared" ca="1" si="151"/>
        <v>3.3244378105753269E-3</v>
      </c>
      <c r="AN80" s="129">
        <f t="shared" ca="1" si="151"/>
        <v>2360018.4017274245</v>
      </c>
      <c r="AO80" s="129">
        <f t="shared" ca="1" si="151"/>
        <v>7.3876395790562818E-6</v>
      </c>
      <c r="AP80" s="129">
        <f t="shared" ca="1" si="151"/>
        <v>1038140.6642073049</v>
      </c>
      <c r="AQ80" s="129">
        <f t="shared" ca="1" si="151"/>
        <v>2.2162918737168844E-3</v>
      </c>
      <c r="AR80" s="129">
        <f t="shared" ca="1" si="151"/>
        <v>0</v>
      </c>
      <c r="AT80" s="34">
        <f ca="1">+SUM(AU80:BC80)</f>
        <v>9736264.9191355538</v>
      </c>
      <c r="AU80" s="129">
        <f t="shared" ref="AU80:BC80" ca="1" si="152">+SUM(AU79:AU79)</f>
        <v>3.6822556564848979E-2</v>
      </c>
      <c r="AV80" s="129">
        <f t="shared" ca="1" si="152"/>
        <v>2528058.9696763563</v>
      </c>
      <c r="AW80" s="129">
        <f t="shared" ca="1" si="152"/>
        <v>6.3487166491118927E-6</v>
      </c>
      <c r="AX80" s="129">
        <f t="shared" ca="1" si="152"/>
        <v>2.8569224921003518E-3</v>
      </c>
      <c r="AY80" s="129">
        <f t="shared" ca="1" si="152"/>
        <v>6.348716649111893E-5</v>
      </c>
      <c r="AZ80" s="129">
        <f t="shared" ca="1" si="152"/>
        <v>4520616.3874397706</v>
      </c>
      <c r="BA80" s="129">
        <f t="shared" ca="1" si="152"/>
        <v>6.3487166491118933E-4</v>
      </c>
      <c r="BB80" s="129">
        <f t="shared" ca="1" si="152"/>
        <v>2687589.5216352395</v>
      </c>
      <c r="BC80" s="129">
        <f t="shared" ca="1" si="152"/>
        <v>0</v>
      </c>
    </row>
    <row r="81" spans="2:55">
      <c r="B81" s="9"/>
      <c r="C81" s="9"/>
      <c r="D81" s="9"/>
      <c r="E81" s="9"/>
      <c r="F81" s="9"/>
      <c r="G81" s="10"/>
      <c r="H81" s="9"/>
      <c r="I81" s="9"/>
      <c r="J81" s="9"/>
      <c r="M81" s="33"/>
      <c r="N81" s="33"/>
      <c r="O81" s="33"/>
      <c r="P81" s="33"/>
      <c r="Q81" s="33"/>
      <c r="R81" s="33"/>
      <c r="S81" s="33"/>
      <c r="T81" s="33"/>
      <c r="U81" s="33"/>
      <c r="X81" s="41"/>
      <c r="Y81" s="33"/>
      <c r="Z81" s="33"/>
      <c r="AA81" s="33"/>
      <c r="AB81" s="33"/>
      <c r="AC81" s="33"/>
      <c r="AD81" s="33"/>
      <c r="AE81" s="33"/>
      <c r="AF81" s="33"/>
      <c r="AG81" s="33"/>
      <c r="AI81" s="41"/>
      <c r="AJ81" s="33"/>
      <c r="AK81" s="33"/>
      <c r="AL81" s="33"/>
      <c r="AM81" s="33"/>
      <c r="AN81" s="33"/>
      <c r="AO81" s="33"/>
      <c r="AP81" s="33"/>
      <c r="AQ81" s="33"/>
      <c r="AR81" s="33"/>
      <c r="AT81" s="41"/>
      <c r="AU81" s="33"/>
      <c r="AV81" s="33"/>
      <c r="AW81" s="33"/>
      <c r="AX81" s="33"/>
      <c r="AY81" s="33"/>
      <c r="AZ81" s="33"/>
      <c r="BA81" s="33"/>
      <c r="BB81" s="33"/>
      <c r="BC81" s="33"/>
    </row>
    <row r="82" spans="2:55" ht="15.5">
      <c r="B82" s="12" t="s">
        <v>223</v>
      </c>
      <c r="C82" s="12"/>
      <c r="D82" s="12"/>
      <c r="E82" s="12"/>
      <c r="F82" s="106">
        <f t="shared" ca="1" si="142"/>
        <v>243.84180724961425</v>
      </c>
      <c r="G82" s="13">
        <f ca="1">+G24+G45+G64+G71+G76+G80+G31</f>
        <v>1053621047.1231023</v>
      </c>
      <c r="H82" s="818">
        <f>+H24+H45+H64+H76+H80+H31</f>
        <v>392848985.46656239</v>
      </c>
      <c r="I82" s="818">
        <f t="shared" ref="I82:J82" si="153">+I24+I45+I64+I76+I80+I31</f>
        <v>198282078.4819251</v>
      </c>
      <c r="J82" s="818">
        <f t="shared" si="153"/>
        <v>392444517.77832735</v>
      </c>
      <c r="M82" s="129">
        <f t="shared" ref="M82:U82" ca="1" si="154">+M24+M45+M64+M71+M76+M80+M31</f>
        <v>148157529.52253115</v>
      </c>
      <c r="N82" s="129">
        <f t="shared" ca="1" si="154"/>
        <v>205326467.77184102</v>
      </c>
      <c r="O82" s="129">
        <f t="shared" ca="1" si="154"/>
        <v>118606191.98180567</v>
      </c>
      <c r="P82" s="129">
        <f t="shared" ca="1" si="154"/>
        <v>1.992883407324024</v>
      </c>
      <c r="Q82" s="129">
        <f t="shared" ca="1" si="154"/>
        <v>152883328.49289474</v>
      </c>
      <c r="R82" s="129">
        <f t="shared" ca="1" si="154"/>
        <v>287200085.57716095</v>
      </c>
      <c r="S82" s="129">
        <f t="shared" ca="1" si="154"/>
        <v>54292568.802947931</v>
      </c>
      <c r="T82" s="129">
        <f t="shared" ca="1" si="154"/>
        <v>87154872.981037393</v>
      </c>
      <c r="U82" s="129">
        <f t="shared" ca="1" si="154"/>
        <v>0</v>
      </c>
      <c r="X82" s="34">
        <f ca="1">+SUM(Y82:AG82)</f>
        <v>416531684.53289479</v>
      </c>
      <c r="Y82" s="129">
        <f t="shared" ref="Y82:AG82" ca="1" si="155">+Y24+Y45+Y64+Y71+Y76+Y80+Y31</f>
        <v>146915610.99507448</v>
      </c>
      <c r="Z82" s="129">
        <f t="shared" ca="1" si="155"/>
        <v>70919757.965741664</v>
      </c>
      <c r="AA82" s="129">
        <f t="shared" ca="1" si="155"/>
        <v>115421455.6684929</v>
      </c>
      <c r="AB82" s="129">
        <f t="shared" ca="1" si="155"/>
        <v>1.3799636256941901</v>
      </c>
      <c r="AC82" s="129">
        <f t="shared" ca="1" si="155"/>
        <v>2.6150250836785797E-3</v>
      </c>
      <c r="AD82" s="129">
        <f t="shared" ca="1" si="155"/>
        <v>54712835.859267443</v>
      </c>
      <c r="AE82" s="129">
        <f t="shared" ca="1" si="155"/>
        <v>1.7330250836785797E-4</v>
      </c>
      <c r="AF82" s="129">
        <f t="shared" ca="1" si="155"/>
        <v>28562022.661566302</v>
      </c>
      <c r="AG82" s="129">
        <f t="shared" ca="1" si="155"/>
        <v>0</v>
      </c>
      <c r="AH82" s="34"/>
      <c r="AI82" s="34">
        <f ca="1">+SUM(AJ82:AR82)</f>
        <v>207720889.5124591</v>
      </c>
      <c r="AJ82" s="129">
        <f t="shared" ref="AJ82:AR82" ca="1" si="156">+AJ24+AJ45+AJ64+AJ71+AJ76+AJ80+AJ31</f>
        <v>2.7565106980025256</v>
      </c>
      <c r="AK82" s="129">
        <f t="shared" ca="1" si="156"/>
        <v>3.743988815825114</v>
      </c>
      <c r="AL82" s="129">
        <f t="shared" ca="1" si="156"/>
        <v>5.0487642666966436E-4</v>
      </c>
      <c r="AM82" s="129">
        <f t="shared" ca="1" si="156"/>
        <v>0.33860308650127713</v>
      </c>
      <c r="AN82" s="129">
        <f t="shared" ca="1" si="156"/>
        <v>153264536.60766536</v>
      </c>
      <c r="AO82" s="129">
        <f t="shared" ca="1" si="156"/>
        <v>4.8909689041376275E-4</v>
      </c>
      <c r="AP82" s="129">
        <f t="shared" ca="1" si="156"/>
        <v>54456345.971739314</v>
      </c>
      <c r="AQ82" s="129">
        <f t="shared" ca="1" si="156"/>
        <v>9.2957857464262106E-2</v>
      </c>
      <c r="AR82" s="129">
        <f t="shared" ca="1" si="156"/>
        <v>0</v>
      </c>
      <c r="AT82" s="34">
        <f ca="1">+SUM(AU82:BC82)</f>
        <v>429368473.07774824</v>
      </c>
      <c r="AU82" s="129">
        <f t="shared" ref="AU82:BC82" ca="1" si="157">+AU24+AU45+AU64+AU71+AU76+AU80+AU31</f>
        <v>1.8036161931051151</v>
      </c>
      <c r="AV82" s="129">
        <f t="shared" ca="1" si="157"/>
        <v>135284075.30232906</v>
      </c>
      <c r="AW82" s="129">
        <f t="shared" ca="1" si="157"/>
        <v>3.439519127922501E-4</v>
      </c>
      <c r="AX82" s="129">
        <f t="shared" ca="1" si="157"/>
        <v>0.27822683787623648</v>
      </c>
      <c r="AY82" s="129">
        <f t="shared" ca="1" si="157"/>
        <v>3.2344966387677443E-3</v>
      </c>
      <c r="AZ82" s="129">
        <f t="shared" ca="1" si="157"/>
        <v>235412060.87898171</v>
      </c>
      <c r="BA82" s="129">
        <f t="shared" ca="1" si="157"/>
        <v>1.9841358976339922E-2</v>
      </c>
      <c r="BB82" s="129">
        <f t="shared" ca="1" si="157"/>
        <v>58672334.791174605</v>
      </c>
      <c r="BC82" s="129">
        <f t="shared" ca="1" si="157"/>
        <v>0</v>
      </c>
    </row>
    <row r="83" spans="2:55" ht="15.5">
      <c r="B83" s="35" t="s">
        <v>364</v>
      </c>
      <c r="C83" s="35"/>
      <c r="D83" s="35"/>
      <c r="E83" s="35"/>
      <c r="F83" s="106">
        <f ca="1">+G83/($G$10-SUM($G$18:$G$19))</f>
        <v>286.76574320506126</v>
      </c>
      <c r="G83" s="36">
        <f ca="1">+G82-(SUM(G42:G43)*(1+$D$44))</f>
        <v>1009365069.0934445</v>
      </c>
      <c r="H83" s="129">
        <f>+H82-(SUM(H42:H43)*(1+$D$44))</f>
        <v>377461109.46656239</v>
      </c>
      <c r="I83" s="129">
        <f>+I82-(SUM(I42:I43)*(1+$D$44))</f>
        <v>198282078.46226153</v>
      </c>
      <c r="J83" s="129">
        <f>+J82-(SUM(J42:J43)*(1+$D$44))</f>
        <v>363576415.76833308</v>
      </c>
      <c r="M83" s="129"/>
      <c r="N83" s="129"/>
      <c r="O83" s="129"/>
      <c r="P83" s="129"/>
      <c r="Q83" s="129"/>
      <c r="R83" s="129"/>
      <c r="S83" s="129"/>
      <c r="T83" s="129"/>
      <c r="U83" s="129"/>
      <c r="X83" s="41"/>
      <c r="Y83" s="129"/>
      <c r="Z83" s="129"/>
      <c r="AA83" s="129"/>
      <c r="AB83" s="129"/>
      <c r="AC83" s="129"/>
      <c r="AD83" s="129"/>
      <c r="AE83" s="129"/>
      <c r="AF83" s="129"/>
      <c r="AG83" s="129"/>
      <c r="AI83" s="41"/>
      <c r="AJ83" s="129"/>
      <c r="AK83" s="129"/>
      <c r="AL83" s="129"/>
      <c r="AM83" s="129"/>
      <c r="AN83" s="129"/>
      <c r="AO83" s="129"/>
      <c r="AP83" s="129"/>
      <c r="AQ83" s="129"/>
      <c r="AR83" s="129"/>
      <c r="AT83" s="41"/>
      <c r="AU83" s="129"/>
      <c r="AV83" s="129"/>
      <c r="AW83" s="129"/>
      <c r="AX83" s="129"/>
      <c r="AY83" s="129"/>
      <c r="AZ83" s="129"/>
      <c r="BA83" s="129"/>
      <c r="BB83" s="129"/>
      <c r="BC83" s="129"/>
    </row>
    <row r="84" spans="2:55">
      <c r="G84" s="28"/>
      <c r="H84" s="34"/>
      <c r="I84" s="116"/>
      <c r="L84" s="18"/>
      <c r="X84" s="41"/>
      <c r="Y84" s="41"/>
      <c r="Z84" s="41"/>
      <c r="AA84" s="41"/>
      <c r="AB84" s="41"/>
      <c r="AC84" s="41"/>
      <c r="AD84" s="41"/>
      <c r="AE84" s="41"/>
      <c r="AF84" s="41"/>
      <c r="AG84" s="41"/>
    </row>
    <row r="85" spans="2:55" ht="15.5">
      <c r="H85" s="34"/>
      <c r="I85" s="34"/>
      <c r="J85" s="34"/>
      <c r="L85" s="215" t="s">
        <v>367</v>
      </c>
      <c r="M85" s="216">
        <f t="shared" ref="M85:U85" ca="1" si="158">+IFERROR(M82/SUM(M11:M19),"")</f>
        <v>232.57908116704394</v>
      </c>
      <c r="N85" s="216">
        <f t="shared" ca="1" si="158"/>
        <v>266.5192949292275</v>
      </c>
      <c r="O85" s="216">
        <f t="shared" ca="1" si="158"/>
        <v>250.36855024589042</v>
      </c>
      <c r="P85" s="216">
        <f t="shared" ca="1" si="158"/>
        <v>307.54373569815186</v>
      </c>
      <c r="Q85" s="216">
        <f t="shared" ca="1" si="158"/>
        <v>398.81289613905778</v>
      </c>
      <c r="R85" s="216">
        <f t="shared" ca="1" si="158"/>
        <v>264.28567209199963</v>
      </c>
      <c r="S85" s="216">
        <f t="shared" ca="1" si="158"/>
        <v>321.96498322899629</v>
      </c>
      <c r="T85" s="216">
        <f t="shared" ca="1" si="158"/>
        <v>108.79454265390336</v>
      </c>
      <c r="U85" s="216" t="str">
        <f t="shared" ca="1" si="158"/>
        <v/>
      </c>
      <c r="V85" s="49"/>
      <c r="X85" s="41"/>
      <c r="Y85" s="41"/>
      <c r="Z85" s="41"/>
      <c r="AA85" s="41"/>
      <c r="AB85" s="41"/>
      <c r="AC85" s="41"/>
      <c r="AD85" s="41"/>
      <c r="AE85" s="41"/>
      <c r="AF85" s="41"/>
      <c r="AG85" s="41"/>
    </row>
    <row r="86" spans="2:55" s="41" customFormat="1" ht="15.5">
      <c r="H86" s="34"/>
      <c r="I86" s="34"/>
      <c r="J86" s="34"/>
      <c r="L86" s="217" t="s">
        <v>471</v>
      </c>
      <c r="M86" s="388">
        <f ca="1">+M45/SUM(M11:M19)</f>
        <v>178.54148003968254</v>
      </c>
      <c r="N86" s="388">
        <f t="shared" ref="N86:U86" ca="1" si="159">+N45/SUM(N11:N19)</f>
        <v>198.69251674082446</v>
      </c>
      <c r="O86" s="388">
        <f t="shared" ca="1" si="159"/>
        <v>173.29147980005797</v>
      </c>
      <c r="P86" s="388">
        <f t="shared" ca="1" si="159"/>
        <v>196.28076231566439</v>
      </c>
      <c r="Q86" s="388">
        <f t="shared" ca="1" si="159"/>
        <v>180.32176707419589</v>
      </c>
      <c r="R86" s="388">
        <f t="shared" ca="1" si="159"/>
        <v>184.5052357799922</v>
      </c>
      <c r="S86" s="388">
        <f t="shared" ca="1" si="159"/>
        <v>103.85236707710818</v>
      </c>
      <c r="T86" s="388">
        <f t="shared" ca="1" si="159"/>
        <v>55.273247402997193</v>
      </c>
      <c r="U86" s="388" t="e">
        <f t="shared" ca="1" si="159"/>
        <v>#DIV/0!</v>
      </c>
      <c r="V86" s="49"/>
    </row>
    <row r="87" spans="2:55" ht="15.5">
      <c r="H87" s="34"/>
      <c r="L87" s="217" t="s">
        <v>366</v>
      </c>
      <c r="M87" s="218">
        <f ca="1">+M82/Assumptions!$M$46</f>
        <v>196235.1327223288</v>
      </c>
      <c r="N87" s="218">
        <f ca="1">+N82/Assumptions!$M$47</f>
        <v>254747.47483234658</v>
      </c>
      <c r="O87" s="192"/>
      <c r="P87" s="218">
        <f ca="1">+P82/Assumptions!$M$48</f>
        <v>166073.61727700196</v>
      </c>
      <c r="Q87" s="192"/>
      <c r="R87" s="192"/>
      <c r="S87" s="192"/>
      <c r="T87" s="218">
        <f ca="1">+T82/Assumptions!$M$49</f>
        <v>39166.035355405205</v>
      </c>
      <c r="U87" s="218" t="e">
        <f ca="1">+U82/Assumptions!$M$50</f>
        <v>#DIV/0!</v>
      </c>
      <c r="X87" s="41"/>
      <c r="Y87" s="41"/>
      <c r="Z87" s="41"/>
      <c r="AA87" s="41"/>
      <c r="AB87" s="41"/>
      <c r="AC87" s="41"/>
      <c r="AD87" s="41"/>
      <c r="AE87" s="41"/>
      <c r="AF87" s="41"/>
      <c r="AG87" s="41"/>
    </row>
    <row r="88" spans="2:55" ht="15.5">
      <c r="L88" s="219" t="s">
        <v>365</v>
      </c>
      <c r="M88" s="220">
        <f ca="1">+M45/Assumptions!$M$46</f>
        <v>150641.712299415</v>
      </c>
      <c r="N88" s="220">
        <f ca="1">+N45/Assumptions!$M$47</f>
        <v>189916.51963228273</v>
      </c>
      <c r="O88" s="193"/>
      <c r="P88" s="220">
        <f ca="1">+P45/Assumptions!$M$48</f>
        <v>105991.61165045874</v>
      </c>
      <c r="Q88" s="193"/>
      <c r="R88" s="193"/>
      <c r="S88" s="193"/>
      <c r="T88" s="220">
        <f ca="1">+T45/Assumptions!$M$49</f>
        <v>19898.369065078987</v>
      </c>
      <c r="U88" s="220" t="e">
        <f ca="1">+U45/Assumptions!$M$50</f>
        <v>#DIV/0!</v>
      </c>
      <c r="X88" s="41"/>
      <c r="Y88" s="41"/>
      <c r="Z88" s="41"/>
      <c r="AA88" s="41"/>
      <c r="AB88" s="41"/>
      <c r="AC88" s="41"/>
      <c r="AD88" s="41"/>
      <c r="AE88" s="41"/>
      <c r="AF88" s="41"/>
      <c r="AG88" s="41"/>
    </row>
    <row r="89" spans="2:55">
      <c r="X89" s="41"/>
      <c r="Y89" s="41"/>
      <c r="Z89" s="41"/>
      <c r="AA89" s="41"/>
      <c r="AB89" s="41"/>
      <c r="AC89" s="41"/>
      <c r="AD89" s="41"/>
      <c r="AE89" s="41"/>
      <c r="AF89" s="41"/>
      <c r="AG89" s="41"/>
    </row>
    <row r="90" spans="2:55">
      <c r="X90" s="41"/>
      <c r="Y90" s="41"/>
      <c r="Z90" s="41"/>
      <c r="AA90" s="41"/>
      <c r="AB90" s="41"/>
      <c r="AC90" s="41"/>
      <c r="AD90" s="41"/>
      <c r="AE90" s="41"/>
      <c r="AF90" s="41"/>
      <c r="AG90" s="41"/>
    </row>
    <row r="91" spans="2:55">
      <c r="X91" s="41"/>
      <c r="Y91" s="41"/>
      <c r="Z91" s="41"/>
      <c r="AA91" s="41"/>
      <c r="AB91" s="41"/>
      <c r="AC91" s="41"/>
      <c r="AD91" s="41"/>
      <c r="AE91" s="41"/>
      <c r="AF91" s="41"/>
      <c r="AG91" s="41"/>
    </row>
    <row r="92" spans="2:55">
      <c r="X92" s="41"/>
      <c r="Y92" s="41"/>
      <c r="Z92" s="41"/>
      <c r="AA92" s="41"/>
      <c r="AB92" s="41"/>
      <c r="AC92" s="41"/>
      <c r="AD92" s="41"/>
      <c r="AE92" s="41"/>
      <c r="AF92" s="41"/>
      <c r="AG92" s="41"/>
    </row>
    <row r="93" spans="2:55">
      <c r="X93" s="41"/>
      <c r="Y93" s="41"/>
      <c r="Z93" s="41"/>
      <c r="AA93" s="41"/>
      <c r="AB93" s="41"/>
      <c r="AC93" s="41"/>
      <c r="AD93" s="41"/>
      <c r="AE93" s="41"/>
      <c r="AF93" s="41"/>
      <c r="AG93" s="41"/>
    </row>
    <row r="94" spans="2:55">
      <c r="X94" s="41"/>
      <c r="Y94" s="41"/>
      <c r="Z94" s="41"/>
      <c r="AA94" s="41"/>
      <c r="AB94" s="41"/>
      <c r="AC94" s="41"/>
      <c r="AD94" s="41"/>
      <c r="AE94" s="41"/>
      <c r="AF94" s="41"/>
      <c r="AG94" s="41"/>
    </row>
    <row r="95" spans="2:55">
      <c r="X95" s="41"/>
      <c r="Y95" s="41"/>
      <c r="Z95" s="41"/>
      <c r="AA95" s="41"/>
      <c r="AB95" s="41"/>
      <c r="AC95" s="41"/>
      <c r="AD95" s="41"/>
      <c r="AE95" s="41"/>
      <c r="AF95" s="41"/>
      <c r="AG95" s="41"/>
    </row>
    <row r="96" spans="2:55">
      <c r="X96" s="41"/>
      <c r="Y96" s="41"/>
      <c r="Z96" s="41"/>
      <c r="AA96" s="41"/>
      <c r="AB96" s="41"/>
      <c r="AC96" s="41"/>
      <c r="AD96" s="41"/>
      <c r="AE96" s="41"/>
      <c r="AF96" s="41"/>
      <c r="AG96" s="41"/>
    </row>
  </sheetData>
  <mergeCells count="4">
    <mergeCell ref="M2:U2"/>
    <mergeCell ref="Y2:AG2"/>
    <mergeCell ref="AJ2:AR2"/>
    <mergeCell ref="AU2:BC2"/>
  </mergeCells>
  <phoneticPr fontId="79" type="noConversion"/>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2:N64"/>
  <sheetViews>
    <sheetView topLeftCell="B35" zoomScale="90" zoomScaleNormal="90" workbookViewId="0">
      <selection activeCell="C40" sqref="C40"/>
    </sheetView>
  </sheetViews>
  <sheetFormatPr defaultColWidth="10.81640625" defaultRowHeight="15.25"/>
  <cols>
    <col min="1" max="1" width="10.81640625" style="207"/>
    <col min="2" max="2" width="33.1796875" style="207" bestFit="1" customWidth="1"/>
    <col min="3" max="3" width="36.1796875" style="207" bestFit="1" customWidth="1"/>
    <col min="4" max="4" width="11.453125" style="207" bestFit="1" customWidth="1"/>
    <col min="5" max="5" width="13.1796875" style="207" bestFit="1" customWidth="1"/>
    <col min="6" max="6" width="12.81640625" style="207" bestFit="1" customWidth="1"/>
    <col min="7" max="8" width="14.453125" style="207" bestFit="1" customWidth="1"/>
    <col min="9" max="9" width="14.1796875" style="207" customWidth="1"/>
    <col min="10" max="10" width="23.453125" style="207" bestFit="1" customWidth="1"/>
    <col min="11" max="11" width="10.81640625" style="207"/>
    <col min="12" max="12" width="11.453125" style="207" bestFit="1" customWidth="1"/>
    <col min="13" max="13" width="12.453125" style="207" bestFit="1" customWidth="1"/>
    <col min="14" max="16" width="10.81640625" style="207"/>
    <col min="17" max="17" width="11.453125" style="207" bestFit="1" customWidth="1"/>
    <col min="18" max="16384" width="10.81640625" style="207"/>
  </cols>
  <sheetData>
    <row r="2" spans="2:10" ht="16" thickBot="1"/>
    <row r="3" spans="2:10" ht="31">
      <c r="B3" s="433" t="s">
        <v>484</v>
      </c>
      <c r="C3" s="434"/>
      <c r="D3" s="434"/>
      <c r="E3" s="434"/>
      <c r="F3" s="434"/>
      <c r="G3" s="434"/>
      <c r="H3" s="434"/>
      <c r="I3" s="434"/>
      <c r="J3" s="435"/>
    </row>
    <row r="4" spans="2:10" ht="15.5">
      <c r="B4" s="410"/>
      <c r="C4" s="422"/>
      <c r="D4" s="422" t="s">
        <v>485</v>
      </c>
      <c r="E4" s="422"/>
      <c r="F4" s="422" t="s">
        <v>227</v>
      </c>
      <c r="G4" s="422" t="s">
        <v>193</v>
      </c>
      <c r="H4" s="422" t="s">
        <v>225</v>
      </c>
      <c r="I4" s="422" t="s">
        <v>226</v>
      </c>
      <c r="J4" s="423" t="s">
        <v>17</v>
      </c>
    </row>
    <row r="5" spans="2:10">
      <c r="B5" s="436" t="s">
        <v>523</v>
      </c>
      <c r="C5" s="422"/>
      <c r="D5" s="422"/>
      <c r="E5" s="422"/>
      <c r="F5" s="422"/>
      <c r="G5" s="422"/>
      <c r="H5" s="422"/>
      <c r="I5" s="422"/>
      <c r="J5" s="423"/>
    </row>
    <row r="6" spans="2:10">
      <c r="B6" s="414" t="s">
        <v>487</v>
      </c>
      <c r="C6" s="444"/>
      <c r="D6" s="471" t="s">
        <v>43</v>
      </c>
      <c r="E6" s="444"/>
      <c r="F6" s="444"/>
      <c r="G6" s="327">
        <f>$C31*G31</f>
        <v>8700000</v>
      </c>
      <c r="H6" s="327">
        <f t="shared" ref="H6:I6" si="0">$C31*H31</f>
        <v>8010000</v>
      </c>
      <c r="I6" s="327">
        <f t="shared" si="0"/>
        <v>0</v>
      </c>
      <c r="J6" s="437">
        <f>SUM(G6:I6)</f>
        <v>16710000</v>
      </c>
    </row>
    <row r="7" spans="2:10">
      <c r="B7" s="414" t="s">
        <v>488</v>
      </c>
      <c r="C7" s="444"/>
      <c r="D7" s="471" t="s">
        <v>43</v>
      </c>
      <c r="E7" s="444"/>
      <c r="F7" s="444"/>
      <c r="G7" s="327">
        <f t="shared" ref="G7:I7" si="1">$C32*G32</f>
        <v>292500</v>
      </c>
      <c r="H7" s="327">
        <f t="shared" si="1"/>
        <v>337500</v>
      </c>
      <c r="I7" s="327">
        <f t="shared" si="1"/>
        <v>3900000</v>
      </c>
      <c r="J7" s="437">
        <f t="shared" ref="J7:J8" si="2">SUM(G7:I7)</f>
        <v>4530000</v>
      </c>
    </row>
    <row r="8" spans="2:10">
      <c r="B8" s="414" t="s">
        <v>489</v>
      </c>
      <c r="C8" s="444"/>
      <c r="D8" s="471" t="s">
        <v>41</v>
      </c>
      <c r="E8" s="444"/>
      <c r="F8" s="444"/>
      <c r="G8" s="327">
        <f t="shared" ref="G8:I10" si="3">$C33*G33</f>
        <v>0</v>
      </c>
      <c r="H8" s="327">
        <f t="shared" si="3"/>
        <v>670000</v>
      </c>
      <c r="I8" s="327">
        <f t="shared" si="3"/>
        <v>5030000</v>
      </c>
      <c r="J8" s="437">
        <f t="shared" si="2"/>
        <v>5700000</v>
      </c>
    </row>
    <row r="9" spans="2:10">
      <c r="B9" s="415" t="s">
        <v>44</v>
      </c>
      <c r="C9" s="444"/>
      <c r="D9" s="471"/>
      <c r="E9" s="444"/>
      <c r="F9" s="444"/>
      <c r="G9" s="327"/>
      <c r="H9" s="327"/>
      <c r="I9" s="327"/>
      <c r="J9" s="437"/>
    </row>
    <row r="10" spans="2:10">
      <c r="B10" s="414" t="s">
        <v>491</v>
      </c>
      <c r="C10" s="444"/>
      <c r="D10" s="471" t="s">
        <v>43</v>
      </c>
      <c r="E10" s="444"/>
      <c r="F10" s="444"/>
      <c r="G10" s="327">
        <f t="shared" si="3"/>
        <v>3390660</v>
      </c>
      <c r="H10" s="327">
        <f>$C35*H35</f>
        <v>968759.99999999988</v>
      </c>
      <c r="I10" s="327">
        <f t="shared" si="3"/>
        <v>968759.99999999988</v>
      </c>
      <c r="J10" s="437">
        <f t="shared" ref="J10:J21" si="4">SUM(G10:I10)</f>
        <v>5328180</v>
      </c>
    </row>
    <row r="11" spans="2:10">
      <c r="B11" s="414" t="s">
        <v>492</v>
      </c>
      <c r="C11" s="444"/>
      <c r="D11" s="471"/>
      <c r="E11" s="444"/>
      <c r="F11" s="444"/>
      <c r="G11" s="327"/>
      <c r="H11" s="327"/>
      <c r="I11" s="327"/>
      <c r="J11" s="437"/>
    </row>
    <row r="12" spans="2:10">
      <c r="B12" s="416" t="s">
        <v>493</v>
      </c>
      <c r="C12" s="444"/>
      <c r="D12" s="471" t="s">
        <v>41</v>
      </c>
      <c r="E12" s="444"/>
      <c r="F12" s="444"/>
      <c r="G12" s="327">
        <f t="shared" ref="G12:I12" si="5">$C37*G37</f>
        <v>0</v>
      </c>
      <c r="H12" s="327">
        <f t="shared" si="5"/>
        <v>0</v>
      </c>
      <c r="I12" s="327">
        <f t="shared" si="5"/>
        <v>0</v>
      </c>
      <c r="J12" s="437">
        <f t="shared" ref="J12:J14" si="6">SUM(G12:I12)</f>
        <v>0</v>
      </c>
    </row>
    <row r="13" spans="2:10">
      <c r="B13" s="416" t="s">
        <v>494</v>
      </c>
      <c r="C13" s="444"/>
      <c r="D13" s="471" t="s">
        <v>41</v>
      </c>
      <c r="E13" s="444"/>
      <c r="F13" s="444"/>
      <c r="G13" s="327">
        <f t="shared" ref="G13:I13" si="7">$C38*G38</f>
        <v>0</v>
      </c>
      <c r="H13" s="327">
        <f t="shared" si="7"/>
        <v>0</v>
      </c>
      <c r="I13" s="327">
        <f t="shared" si="7"/>
        <v>0</v>
      </c>
      <c r="J13" s="437">
        <f t="shared" si="6"/>
        <v>0</v>
      </c>
    </row>
    <row r="14" spans="2:10">
      <c r="B14" s="416" t="s">
        <v>495</v>
      </c>
      <c r="C14" s="444"/>
      <c r="D14" s="471" t="s">
        <v>41</v>
      </c>
      <c r="E14" s="444"/>
      <c r="F14" s="444"/>
      <c r="G14" s="327">
        <f t="shared" ref="G14:I21" si="8">$C39*G39</f>
        <v>0</v>
      </c>
      <c r="H14" s="327">
        <f t="shared" si="8"/>
        <v>0</v>
      </c>
      <c r="I14" s="327">
        <f t="shared" si="8"/>
        <v>0</v>
      </c>
      <c r="J14" s="437">
        <f t="shared" si="6"/>
        <v>0</v>
      </c>
    </row>
    <row r="15" spans="2:10">
      <c r="B15" s="415" t="s">
        <v>496</v>
      </c>
      <c r="C15" s="444"/>
      <c r="D15" s="471" t="s">
        <v>43</v>
      </c>
      <c r="E15" s="444"/>
      <c r="F15" s="444"/>
      <c r="G15" s="327">
        <f>$C40*G40</f>
        <v>7500545</v>
      </c>
      <c r="H15" s="327">
        <f t="shared" si="8"/>
        <v>0</v>
      </c>
      <c r="I15" s="327">
        <f t="shared" si="8"/>
        <v>0</v>
      </c>
      <c r="J15" s="437">
        <f t="shared" si="4"/>
        <v>7500545</v>
      </c>
    </row>
    <row r="16" spans="2:10">
      <c r="B16" s="415" t="s">
        <v>497</v>
      </c>
      <c r="C16" s="444"/>
      <c r="D16" s="471" t="s">
        <v>43</v>
      </c>
      <c r="E16" s="444"/>
      <c r="F16" s="444"/>
      <c r="G16" s="327">
        <f t="shared" si="8"/>
        <v>225000</v>
      </c>
      <c r="H16" s="327">
        <f t="shared" si="8"/>
        <v>225000</v>
      </c>
      <c r="I16" s="327">
        <f t="shared" si="8"/>
        <v>225000</v>
      </c>
      <c r="J16" s="437">
        <f t="shared" si="4"/>
        <v>675000</v>
      </c>
    </row>
    <row r="17" spans="1:12">
      <c r="A17" s="325"/>
      <c r="B17" s="415" t="s">
        <v>498</v>
      </c>
      <c r="C17" s="444"/>
      <c r="D17" s="471"/>
      <c r="E17" s="444"/>
      <c r="F17" s="444"/>
      <c r="G17" s="327"/>
      <c r="H17" s="327"/>
      <c r="I17" s="327"/>
      <c r="J17" s="437"/>
      <c r="K17" s="325"/>
    </row>
    <row r="18" spans="1:12">
      <c r="B18" s="414" t="s">
        <v>499</v>
      </c>
      <c r="C18" s="444"/>
      <c r="D18" s="471" t="s">
        <v>43</v>
      </c>
      <c r="E18" s="444"/>
      <c r="F18" s="444"/>
      <c r="G18" s="327">
        <f t="shared" si="8"/>
        <v>360000</v>
      </c>
      <c r="H18" s="327">
        <f t="shared" si="8"/>
        <v>540000</v>
      </c>
      <c r="I18" s="327">
        <f t="shared" si="8"/>
        <v>450000</v>
      </c>
      <c r="J18" s="437">
        <f t="shared" si="4"/>
        <v>1350000</v>
      </c>
    </row>
    <row r="19" spans="1:12">
      <c r="B19" s="414" t="s">
        <v>500</v>
      </c>
      <c r="C19" s="444"/>
      <c r="D19" s="471" t="s">
        <v>43</v>
      </c>
      <c r="E19" s="444"/>
      <c r="F19" s="444"/>
      <c r="G19" s="327">
        <f t="shared" si="8"/>
        <v>33975</v>
      </c>
      <c r="H19" s="327">
        <f t="shared" si="8"/>
        <v>18120</v>
      </c>
      <c r="I19" s="327">
        <f t="shared" si="8"/>
        <v>36240</v>
      </c>
      <c r="J19" s="437">
        <f t="shared" si="4"/>
        <v>88335</v>
      </c>
    </row>
    <row r="20" spans="1:12">
      <c r="B20" s="414" t="s">
        <v>501</v>
      </c>
      <c r="C20" s="444"/>
      <c r="D20" s="471" t="s">
        <v>43</v>
      </c>
      <c r="E20" s="444"/>
      <c r="F20" s="444"/>
      <c r="G20" s="327">
        <f t="shared" si="8"/>
        <v>2000000</v>
      </c>
      <c r="H20" s="327">
        <f t="shared" si="8"/>
        <v>1000000</v>
      </c>
      <c r="I20" s="327">
        <f t="shared" si="8"/>
        <v>1000000</v>
      </c>
      <c r="J20" s="437">
        <f t="shared" si="4"/>
        <v>4000000</v>
      </c>
    </row>
    <row r="21" spans="1:12">
      <c r="B21" s="417" t="s">
        <v>520</v>
      </c>
      <c r="C21" s="444"/>
      <c r="D21" s="471" t="s">
        <v>43</v>
      </c>
      <c r="E21" s="444"/>
      <c r="F21" s="444"/>
      <c r="G21" s="327">
        <f t="shared" si="8"/>
        <v>15360</v>
      </c>
      <c r="H21" s="327">
        <f t="shared" si="8"/>
        <v>15360</v>
      </c>
      <c r="I21" s="327">
        <f t="shared" si="8"/>
        <v>15360</v>
      </c>
      <c r="J21" s="437">
        <f t="shared" si="4"/>
        <v>46080</v>
      </c>
    </row>
    <row r="22" spans="1:12">
      <c r="B22" s="418" t="s">
        <v>61</v>
      </c>
      <c r="C22" s="444"/>
      <c r="D22" s="471" t="s">
        <v>43</v>
      </c>
      <c r="E22" s="444"/>
      <c r="F22" s="444"/>
      <c r="G22" s="327">
        <f>SUMIF($E$51:$I$51,"="&amp;G4,E64:I64)</f>
        <v>2825109.0425531915</v>
      </c>
      <c r="H22" s="327">
        <f>SUMIF($E$51:$I$51,"="&amp;H4,E64:I64)</f>
        <v>2810065.4255319149</v>
      </c>
      <c r="I22" s="327">
        <f>SUMIF($E$51:$I$51,"="&amp;I4,E64:I64)</f>
        <v>1160065.4255319149</v>
      </c>
      <c r="J22" s="437">
        <f>SUM(G22:I22)</f>
        <v>6795239.8936170209</v>
      </c>
    </row>
    <row r="23" spans="1:12" ht="15.5">
      <c r="B23" s="419" t="s">
        <v>502</v>
      </c>
      <c r="C23" s="411"/>
      <c r="D23" s="411" t="s">
        <v>43</v>
      </c>
      <c r="E23" s="411"/>
      <c r="F23" s="411"/>
      <c r="G23" s="440">
        <f t="shared" ref="G23:I24" si="9">SUMIF($D$6:$D$22,"="&amp;$D23,G$6:G$22)</f>
        <v>25343149.04255319</v>
      </c>
      <c r="H23" s="440">
        <f t="shared" si="9"/>
        <v>13924805.425531914</v>
      </c>
      <c r="I23" s="440">
        <f t="shared" si="9"/>
        <v>7755425.4255319145</v>
      </c>
      <c r="J23" s="441">
        <f>SUM(G23:I23)</f>
        <v>47023379.893617019</v>
      </c>
    </row>
    <row r="24" spans="1:12" ht="15.5">
      <c r="B24" s="420" t="s">
        <v>503</v>
      </c>
      <c r="C24" s="412"/>
      <c r="D24" s="412" t="s">
        <v>41</v>
      </c>
      <c r="E24" s="412"/>
      <c r="F24" s="412"/>
      <c r="G24" s="442">
        <f t="shared" si="9"/>
        <v>0</v>
      </c>
      <c r="H24" s="442">
        <f t="shared" si="9"/>
        <v>670000</v>
      </c>
      <c r="I24" s="442">
        <f t="shared" si="9"/>
        <v>5030000</v>
      </c>
      <c r="J24" s="443">
        <f>SUM(G24:I24)</f>
        <v>5700000</v>
      </c>
    </row>
    <row r="25" spans="1:12" ht="16.25" thickBot="1">
      <c r="B25" s="421" t="s">
        <v>17</v>
      </c>
      <c r="C25" s="413"/>
      <c r="D25" s="413"/>
      <c r="E25" s="413"/>
      <c r="F25" s="413"/>
      <c r="G25" s="438">
        <f>SUM(G6:G23)</f>
        <v>50686298.08510638</v>
      </c>
      <c r="H25" s="438">
        <f t="shared" ref="H25:J25" si="10">SUM(H6:H22)</f>
        <v>14594805.425531914</v>
      </c>
      <c r="I25" s="438">
        <f t="shared" si="10"/>
        <v>12785425.425531914</v>
      </c>
      <c r="J25" s="439">
        <f t="shared" si="10"/>
        <v>52723379.893617019</v>
      </c>
      <c r="K25" s="424"/>
    </row>
    <row r="26" spans="1:12" ht="15.5">
      <c r="B26" s="425"/>
      <c r="C26" s="409"/>
      <c r="D26" s="409"/>
      <c r="E26" s="409"/>
      <c r="F26" s="409"/>
      <c r="G26" s="426"/>
      <c r="H26" s="426"/>
      <c r="I26" s="426"/>
      <c r="J26" s="426"/>
      <c r="K26" s="424"/>
    </row>
    <row r="27" spans="1:12" ht="16.25" thickBot="1">
      <c r="G27" s="427"/>
      <c r="H27" s="428"/>
    </row>
    <row r="28" spans="1:12" ht="15.5">
      <c r="B28" s="433" t="s">
        <v>522</v>
      </c>
      <c r="C28" s="434"/>
      <c r="D28" s="434"/>
      <c r="E28" s="434"/>
      <c r="F28" s="434"/>
      <c r="G28" s="434"/>
      <c r="H28" s="434"/>
      <c r="I28" s="434"/>
      <c r="J28" s="435"/>
    </row>
    <row r="29" spans="1:12">
      <c r="B29" s="415"/>
      <c r="C29" s="422" t="s">
        <v>504</v>
      </c>
      <c r="D29" s="422" t="s">
        <v>221</v>
      </c>
      <c r="E29" s="422"/>
      <c r="F29" s="422" t="s">
        <v>227</v>
      </c>
      <c r="G29" s="422" t="s">
        <v>193</v>
      </c>
      <c r="H29" s="422" t="s">
        <v>225</v>
      </c>
      <c r="I29" s="422" t="s">
        <v>226</v>
      </c>
      <c r="J29" s="423" t="s">
        <v>17</v>
      </c>
    </row>
    <row r="30" spans="1:12" ht="15.5">
      <c r="B30" s="415" t="s">
        <v>486</v>
      </c>
      <c r="C30" s="422"/>
      <c r="D30" s="422"/>
      <c r="E30" s="422"/>
      <c r="F30" s="422"/>
      <c r="G30" s="422"/>
      <c r="H30" s="422"/>
      <c r="I30" s="422"/>
      <c r="J30" s="423"/>
      <c r="K30" s="408"/>
    </row>
    <row r="31" spans="1:12" ht="15.5">
      <c r="B31" s="414" t="s">
        <v>487</v>
      </c>
      <c r="C31" s="522">
        <v>30</v>
      </c>
      <c r="D31" s="464" t="s">
        <v>505</v>
      </c>
      <c r="E31" s="464"/>
      <c r="F31" s="464"/>
      <c r="G31" s="465">
        <f>290000</f>
        <v>290000</v>
      </c>
      <c r="H31" s="465">
        <f>255000+12000</f>
        <v>267000</v>
      </c>
      <c r="I31" s="465">
        <v>0</v>
      </c>
      <c r="J31" s="518">
        <f>SUM(G31:I31)</f>
        <v>557000</v>
      </c>
      <c r="K31" s="429"/>
    </row>
    <row r="32" spans="1:12" ht="15.5">
      <c r="B32" s="414" t="s">
        <v>488</v>
      </c>
      <c r="C32" s="522">
        <f>25%*C31</f>
        <v>7.5</v>
      </c>
      <c r="D32" s="464" t="s">
        <v>505</v>
      </c>
      <c r="E32" s="464"/>
      <c r="F32" s="464"/>
      <c r="G32" s="465">
        <v>39000</v>
      </c>
      <c r="H32" s="465">
        <v>45000</v>
      </c>
      <c r="I32" s="465">
        <v>520000</v>
      </c>
      <c r="J32" s="518">
        <f t="shared" ref="J32:J45" si="11">SUM(G32:I32)</f>
        <v>604000</v>
      </c>
      <c r="K32" s="429"/>
      <c r="L32" s="528"/>
    </row>
    <row r="33" spans="2:14" ht="15.5">
      <c r="B33" s="414" t="s">
        <v>489</v>
      </c>
      <c r="C33" s="522">
        <v>10</v>
      </c>
      <c r="D33" s="464" t="s">
        <v>505</v>
      </c>
      <c r="E33" s="464"/>
      <c r="F33" s="464"/>
      <c r="G33" s="465"/>
      <c r="H33" s="465">
        <v>67000</v>
      </c>
      <c r="I33" s="465">
        <v>503000</v>
      </c>
      <c r="J33" s="518"/>
      <c r="K33" s="429"/>
      <c r="L33" s="528"/>
    </row>
    <row r="34" spans="2:14" ht="15.5">
      <c r="B34" s="415" t="s">
        <v>490</v>
      </c>
      <c r="C34" s="522"/>
      <c r="D34" s="464"/>
      <c r="E34" s="464"/>
      <c r="F34" s="464"/>
      <c r="G34" s="464"/>
      <c r="H34" s="464"/>
      <c r="I34" s="464"/>
      <c r="J34" s="519"/>
      <c r="K34" s="430"/>
    </row>
    <row r="35" spans="2:14" ht="15.5">
      <c r="B35" s="414" t="s">
        <v>491</v>
      </c>
      <c r="C35" s="522">
        <v>30</v>
      </c>
      <c r="D35" s="464" t="s">
        <v>505</v>
      </c>
      <c r="E35" s="464"/>
      <c r="F35" s="464"/>
      <c r="G35" s="465">
        <f>(4500*10.764)+(12000*10.764*50%)</f>
        <v>113022</v>
      </c>
      <c r="H35" s="465">
        <f>12000*10.764*25%</f>
        <v>32291.999999999996</v>
      </c>
      <c r="I35" s="465">
        <f>(12000*10.764)*25%</f>
        <v>32291.999999999996</v>
      </c>
      <c r="J35" s="518">
        <f t="shared" si="11"/>
        <v>177606</v>
      </c>
      <c r="K35" s="429"/>
    </row>
    <row r="36" spans="2:14" ht="15.5">
      <c r="B36" s="414" t="s">
        <v>492</v>
      </c>
      <c r="C36" s="522"/>
      <c r="D36" s="464"/>
      <c r="E36" s="464"/>
      <c r="F36" s="464"/>
      <c r="G36" s="465"/>
      <c r="H36" s="465"/>
      <c r="I36" s="465"/>
      <c r="J36" s="518"/>
      <c r="K36" s="429"/>
    </row>
    <row r="37" spans="2:14" ht="15.5">
      <c r="B37" s="416" t="s">
        <v>493</v>
      </c>
      <c r="C37" s="522">
        <v>0</v>
      </c>
      <c r="D37" s="464" t="s">
        <v>505</v>
      </c>
      <c r="E37" s="464"/>
      <c r="F37" s="464"/>
      <c r="G37" s="465">
        <v>160000</v>
      </c>
      <c r="H37" s="465"/>
      <c r="I37" s="465"/>
      <c r="J37" s="518">
        <f t="shared" si="11"/>
        <v>160000</v>
      </c>
      <c r="K37" s="429"/>
    </row>
    <row r="38" spans="2:14" ht="15.5">
      <c r="B38" s="416" t="s">
        <v>494</v>
      </c>
      <c r="C38" s="522">
        <v>0</v>
      </c>
      <c r="D38" s="464" t="s">
        <v>505</v>
      </c>
      <c r="E38" s="464"/>
      <c r="F38" s="464"/>
      <c r="G38" s="465">
        <v>50000</v>
      </c>
      <c r="H38" s="465">
        <f>127000+19000</f>
        <v>146000</v>
      </c>
      <c r="I38" s="465"/>
      <c r="J38" s="518">
        <f t="shared" si="11"/>
        <v>196000</v>
      </c>
      <c r="K38" s="429"/>
    </row>
    <row r="39" spans="2:14" ht="15.5">
      <c r="B39" s="416" t="s">
        <v>495</v>
      </c>
      <c r="C39" s="522">
        <v>0</v>
      </c>
      <c r="D39" s="464" t="s">
        <v>505</v>
      </c>
      <c r="E39" s="464"/>
      <c r="F39" s="464"/>
      <c r="G39" s="465">
        <v>0</v>
      </c>
      <c r="H39" s="465">
        <v>33000</v>
      </c>
      <c r="I39" s="465">
        <v>686000</v>
      </c>
      <c r="J39" s="518">
        <f t="shared" si="11"/>
        <v>719000</v>
      </c>
      <c r="K39" s="429"/>
    </row>
    <row r="40" spans="2:14" ht="17.5">
      <c r="B40" s="415" t="s">
        <v>551</v>
      </c>
      <c r="C40" s="522">
        <v>7500545</v>
      </c>
      <c r="D40" s="464"/>
      <c r="E40" s="464"/>
      <c r="F40" s="464"/>
      <c r="G40" s="464">
        <v>1</v>
      </c>
      <c r="H40" s="464"/>
      <c r="I40" s="464">
        <v>0</v>
      </c>
      <c r="J40" s="519">
        <f t="shared" si="11"/>
        <v>1</v>
      </c>
      <c r="K40" s="430"/>
    </row>
    <row r="41" spans="2:14">
      <c r="B41" s="415" t="s">
        <v>497</v>
      </c>
      <c r="C41" s="522">
        <v>45000</v>
      </c>
      <c r="D41" s="464" t="s">
        <v>506</v>
      </c>
      <c r="E41" s="464"/>
      <c r="F41" s="464"/>
      <c r="G41" s="464">
        <v>5</v>
      </c>
      <c r="H41" s="464">
        <v>5</v>
      </c>
      <c r="I41" s="464">
        <v>5</v>
      </c>
      <c r="J41" s="519">
        <f>SUM(G41:I41)</f>
        <v>15</v>
      </c>
    </row>
    <row r="42" spans="2:14">
      <c r="B42" s="415" t="s">
        <v>498</v>
      </c>
      <c r="C42" s="522"/>
      <c r="D42" s="464"/>
      <c r="E42" s="464"/>
      <c r="F42" s="464"/>
      <c r="G42" s="464"/>
      <c r="H42" s="464"/>
      <c r="I42" s="464"/>
      <c r="J42" s="519"/>
    </row>
    <row r="43" spans="2:14">
      <c r="B43" s="414" t="s">
        <v>499</v>
      </c>
      <c r="C43" s="522">
        <v>90000</v>
      </c>
      <c r="D43" s="464"/>
      <c r="E43" s="464"/>
      <c r="F43" s="464"/>
      <c r="G43" s="464">
        <v>4</v>
      </c>
      <c r="H43" s="464">
        <v>6</v>
      </c>
      <c r="I43" s="464">
        <v>5</v>
      </c>
      <c r="J43" s="519">
        <f t="shared" si="11"/>
        <v>15</v>
      </c>
    </row>
    <row r="44" spans="2:14" ht="15.5">
      <c r="B44" s="414" t="s">
        <v>500</v>
      </c>
      <c r="C44" s="522">
        <v>45.3</v>
      </c>
      <c r="D44" s="464" t="s">
        <v>507</v>
      </c>
      <c r="E44" s="464"/>
      <c r="F44" s="464"/>
      <c r="G44" s="464">
        <v>750</v>
      </c>
      <c r="H44" s="464">
        <v>400</v>
      </c>
      <c r="I44" s="464">
        <v>800</v>
      </c>
      <c r="J44" s="519">
        <f t="shared" si="11"/>
        <v>1950</v>
      </c>
      <c r="N44" s="431"/>
    </row>
    <row r="45" spans="2:14">
      <c r="B45" s="414" t="s">
        <v>501</v>
      </c>
      <c r="C45" s="522">
        <v>1000000</v>
      </c>
      <c r="D45" s="464"/>
      <c r="E45" s="464"/>
      <c r="F45" s="464"/>
      <c r="G45" s="464">
        <v>2</v>
      </c>
      <c r="H45" s="464">
        <v>1</v>
      </c>
      <c r="I45" s="464">
        <v>1</v>
      </c>
      <c r="J45" s="519">
        <f t="shared" si="11"/>
        <v>4</v>
      </c>
    </row>
    <row r="46" spans="2:14" ht="16.25" thickBot="1">
      <c r="B46" s="445" t="s">
        <v>521</v>
      </c>
      <c r="C46" s="526">
        <v>25.6</v>
      </c>
      <c r="D46" s="466" t="s">
        <v>507</v>
      </c>
      <c r="E46" s="466"/>
      <c r="F46" s="466"/>
      <c r="G46" s="466">
        <v>600</v>
      </c>
      <c r="H46" s="466">
        <v>600</v>
      </c>
      <c r="I46" s="466">
        <v>600</v>
      </c>
      <c r="J46" s="520">
        <f>SUM(G46:I46)</f>
        <v>1800</v>
      </c>
      <c r="N46" s="431"/>
    </row>
    <row r="47" spans="2:14" ht="15.5">
      <c r="B47" s="521" t="s">
        <v>841</v>
      </c>
      <c r="C47" s="409"/>
      <c r="D47" s="409"/>
      <c r="E47" s="409"/>
      <c r="F47" s="409"/>
      <c r="G47" s="409"/>
      <c r="H47" s="430"/>
      <c r="L47" s="431"/>
    </row>
    <row r="48" spans="2:14" ht="16" thickBot="1"/>
    <row r="49" spans="2:11" ht="15.5">
      <c r="B49" s="959" t="s">
        <v>508</v>
      </c>
      <c r="C49" s="960"/>
      <c r="D49" s="960"/>
      <c r="E49" s="960"/>
      <c r="F49" s="960"/>
      <c r="G49" s="960"/>
      <c r="H49" s="960"/>
      <c r="I49" s="960"/>
      <c r="J49" s="961"/>
    </row>
    <row r="50" spans="2:11">
      <c r="B50" s="446" t="s">
        <v>509</v>
      </c>
      <c r="C50" s="447" t="s">
        <v>37</v>
      </c>
      <c r="D50" s="447" t="s">
        <v>221</v>
      </c>
      <c r="E50" s="447"/>
      <c r="F50" s="447"/>
      <c r="G50" s="447"/>
      <c r="H50" s="447"/>
      <c r="I50" s="462"/>
      <c r="J50" s="448" t="s">
        <v>17</v>
      </c>
    </row>
    <row r="51" spans="2:11">
      <c r="B51" s="446" t="s">
        <v>227</v>
      </c>
      <c r="C51" s="447"/>
      <c r="D51" s="447"/>
      <c r="E51" s="449" t="s">
        <v>193</v>
      </c>
      <c r="F51" s="449" t="s">
        <v>225</v>
      </c>
      <c r="G51" s="449" t="s">
        <v>226</v>
      </c>
      <c r="H51" s="449"/>
      <c r="I51" s="449"/>
      <c r="J51" s="450"/>
    </row>
    <row r="52" spans="2:11">
      <c r="B52" s="446" t="s">
        <v>510</v>
      </c>
      <c r="C52" s="461"/>
      <c r="D52" s="461"/>
      <c r="E52" s="449">
        <f>45000/4</f>
        <v>11250</v>
      </c>
      <c r="F52" s="449">
        <f>27000/4</f>
        <v>6750</v>
      </c>
      <c r="G52" s="449">
        <f>27000/4</f>
        <v>6750</v>
      </c>
      <c r="H52" s="449">
        <v>0</v>
      </c>
      <c r="I52" s="463">
        <v>0</v>
      </c>
      <c r="J52" s="450">
        <f>SUM(E52:I52)</f>
        <v>24750</v>
      </c>
    </row>
    <row r="53" spans="2:11">
      <c r="B53" s="414" t="s">
        <v>511</v>
      </c>
      <c r="C53" s="522">
        <v>120</v>
      </c>
      <c r="D53" s="465" t="s">
        <v>505</v>
      </c>
      <c r="E53" s="449">
        <f>$C53*E$52</f>
        <v>1350000</v>
      </c>
      <c r="F53" s="449">
        <f t="shared" ref="F53:I55" si="12">$C53*F$52</f>
        <v>810000</v>
      </c>
      <c r="G53" s="449">
        <f t="shared" si="12"/>
        <v>810000</v>
      </c>
      <c r="H53" s="449">
        <f t="shared" si="12"/>
        <v>0</v>
      </c>
      <c r="I53" s="449">
        <f t="shared" si="12"/>
        <v>0</v>
      </c>
      <c r="J53" s="450">
        <f t="shared" ref="J53:J55" si="13">SUM(E53:I53)</f>
        <v>2970000</v>
      </c>
    </row>
    <row r="54" spans="2:11">
      <c r="B54" s="414" t="s">
        <v>1204</v>
      </c>
      <c r="C54" s="522">
        <v>50000</v>
      </c>
      <c r="D54" s="465"/>
      <c r="E54" s="449">
        <f>2*$C$54</f>
        <v>100000</v>
      </c>
      <c r="F54" s="449">
        <f>4*$C$54</f>
        <v>200000</v>
      </c>
      <c r="G54" s="449">
        <f>4*$C$54</f>
        <v>200000</v>
      </c>
      <c r="H54" s="449">
        <v>0</v>
      </c>
      <c r="I54" s="449">
        <v>0</v>
      </c>
      <c r="J54" s="450">
        <f t="shared" si="13"/>
        <v>500000</v>
      </c>
    </row>
    <row r="55" spans="2:11">
      <c r="B55" s="414" t="s">
        <v>512</v>
      </c>
      <c r="C55" s="522">
        <f>(579150+1044900*2+465750)/(170*150*2+300*150*2)</f>
        <v>22.23191489361702</v>
      </c>
      <c r="D55" s="465" t="s">
        <v>505</v>
      </c>
      <c r="E55" s="449">
        <f>$C55*E$52</f>
        <v>250109.04255319148</v>
      </c>
      <c r="F55" s="449">
        <f t="shared" si="12"/>
        <v>150065.42553191489</v>
      </c>
      <c r="G55" s="449">
        <f t="shared" si="12"/>
        <v>150065.42553191489</v>
      </c>
      <c r="H55" s="449">
        <f t="shared" si="12"/>
        <v>0</v>
      </c>
      <c r="I55" s="449">
        <f t="shared" si="12"/>
        <v>0</v>
      </c>
      <c r="J55" s="450">
        <f t="shared" si="13"/>
        <v>550239.89361702127</v>
      </c>
    </row>
    <row r="56" spans="2:11">
      <c r="B56" s="452" t="s">
        <v>513</v>
      </c>
      <c r="C56" s="467"/>
      <c r="D56" s="467"/>
      <c r="E56" s="454">
        <f>SUM(E53:E55)</f>
        <v>1700109.0425531915</v>
      </c>
      <c r="F56" s="454">
        <f t="shared" ref="F56:I56" si="14">SUM(F53:F55)</f>
        <v>1160065.4255319149</v>
      </c>
      <c r="G56" s="454">
        <f t="shared" si="14"/>
        <v>1160065.4255319149</v>
      </c>
      <c r="H56" s="454">
        <f t="shared" si="14"/>
        <v>0</v>
      </c>
      <c r="I56" s="454">
        <f t="shared" si="14"/>
        <v>0</v>
      </c>
      <c r="J56" s="455">
        <f>SUM(E56:I56)</f>
        <v>4020239.8936170214</v>
      </c>
    </row>
    <row r="57" spans="2:11">
      <c r="B57" s="415" t="s">
        <v>514</v>
      </c>
      <c r="C57" s="468"/>
      <c r="D57" s="468"/>
      <c r="E57" s="451"/>
      <c r="F57" s="451"/>
      <c r="G57" s="451"/>
      <c r="H57" s="451"/>
      <c r="I57" s="451"/>
      <c r="J57" s="456"/>
    </row>
    <row r="58" spans="2:11">
      <c r="B58" s="446" t="s">
        <v>515</v>
      </c>
      <c r="C58" s="468"/>
      <c r="D58" s="468"/>
      <c r="E58" s="325"/>
      <c r="F58" s="325"/>
      <c r="G58" s="325"/>
      <c r="H58" s="325"/>
      <c r="I58" s="325"/>
      <c r="J58" s="450"/>
    </row>
    <row r="59" spans="2:11">
      <c r="B59" s="414" t="s">
        <v>516</v>
      </c>
      <c r="C59" s="693">
        <v>50</v>
      </c>
      <c r="D59" s="465" t="s">
        <v>526</v>
      </c>
      <c r="E59" s="451"/>
      <c r="F59" s="451"/>
      <c r="G59" s="451"/>
      <c r="H59" s="451"/>
      <c r="I59" s="451"/>
      <c r="J59" s="450"/>
    </row>
    <row r="60" spans="2:11">
      <c r="B60" s="414" t="s">
        <v>517</v>
      </c>
      <c r="C60" s="693">
        <v>3</v>
      </c>
      <c r="D60" s="465" t="s">
        <v>526</v>
      </c>
      <c r="E60" s="325"/>
      <c r="F60" s="325"/>
      <c r="G60" s="325"/>
      <c r="H60" s="325"/>
      <c r="I60" s="325"/>
      <c r="J60" s="432"/>
    </row>
    <row r="61" spans="2:11">
      <c r="B61" s="414" t="s">
        <v>518</v>
      </c>
      <c r="C61" s="530"/>
      <c r="D61" s="468" t="s">
        <v>507</v>
      </c>
      <c r="E61" s="463">
        <v>75</v>
      </c>
      <c r="F61" s="463">
        <v>110</v>
      </c>
      <c r="G61" s="463">
        <v>0</v>
      </c>
      <c r="H61" s="463">
        <v>110</v>
      </c>
      <c r="I61" s="463">
        <v>0</v>
      </c>
      <c r="J61" s="450">
        <f>SUM(E61:I61)</f>
        <v>295</v>
      </c>
    </row>
    <row r="62" spans="2:11" ht="15.5">
      <c r="B62" s="414" t="s">
        <v>519</v>
      </c>
      <c r="C62" s="530">
        <v>100</v>
      </c>
      <c r="D62" s="469" t="s">
        <v>527</v>
      </c>
      <c r="E62" s="449">
        <f>$C$62*E61*$C$60*$C$59</f>
        <v>1125000</v>
      </c>
      <c r="F62" s="449">
        <f t="shared" ref="F62:I62" si="15">$C$62*F61*$C$60*$C$59</f>
        <v>1650000</v>
      </c>
      <c r="G62" s="449">
        <f t="shared" si="15"/>
        <v>0</v>
      </c>
      <c r="H62" s="449">
        <f t="shared" si="15"/>
        <v>1650000</v>
      </c>
      <c r="I62" s="449">
        <f t="shared" si="15"/>
        <v>0</v>
      </c>
      <c r="J62" s="450">
        <f>SUM(E62:I62)</f>
        <v>4425000</v>
      </c>
      <c r="K62" s="431"/>
    </row>
    <row r="63" spans="2:11">
      <c r="B63" s="452" t="s">
        <v>513</v>
      </c>
      <c r="C63" s="453"/>
      <c r="D63" s="453"/>
      <c r="E63" s="454">
        <f t="shared" ref="E63:J63" si="16">E62</f>
        <v>1125000</v>
      </c>
      <c r="F63" s="454">
        <f t="shared" si="16"/>
        <v>1650000</v>
      </c>
      <c r="G63" s="454">
        <f t="shared" si="16"/>
        <v>0</v>
      </c>
      <c r="H63" s="454">
        <f t="shared" si="16"/>
        <v>1650000</v>
      </c>
      <c r="I63" s="454">
        <f t="shared" si="16"/>
        <v>0</v>
      </c>
      <c r="J63" s="455">
        <f t="shared" si="16"/>
        <v>4425000</v>
      </c>
    </row>
    <row r="64" spans="2:11" ht="16" thickBot="1">
      <c r="B64" s="457" t="s">
        <v>17</v>
      </c>
      <c r="C64" s="458"/>
      <c r="D64" s="458"/>
      <c r="E64" s="459">
        <f t="shared" ref="E64:J64" si="17">E63+E56</f>
        <v>2825109.0425531915</v>
      </c>
      <c r="F64" s="459">
        <f t="shared" si="17"/>
        <v>2810065.4255319149</v>
      </c>
      <c r="G64" s="459">
        <f t="shared" si="17"/>
        <v>1160065.4255319149</v>
      </c>
      <c r="H64" s="459">
        <f t="shared" si="17"/>
        <v>1650000</v>
      </c>
      <c r="I64" s="459">
        <f t="shared" si="17"/>
        <v>0</v>
      </c>
      <c r="J64" s="460">
        <f t="shared" si="17"/>
        <v>8445239.8936170209</v>
      </c>
    </row>
  </sheetData>
  <mergeCells count="1">
    <mergeCell ref="B49:J49"/>
  </mergeCells>
  <phoneticPr fontId="79" type="noConversion"/>
  <hyperlinks>
    <hyperlink ref="T21" r:id="rId1" display="https://www.michigan.gov/documents/Vol2-28UIP1Foundations-Frames_121070_7.pdf" xr:uid="{00000000-0004-0000-0600-000000000000}"/>
  </hyperlinks>
  <pageMargins left="0.7" right="0.7" top="0.75" bottom="0.75" header="0.3" footer="0.3"/>
  <pageSetup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C1:H75"/>
  <sheetViews>
    <sheetView zoomScale="85" zoomScaleNormal="85" workbookViewId="0">
      <selection activeCell="F4" sqref="F4"/>
    </sheetView>
  </sheetViews>
  <sheetFormatPr defaultColWidth="10.81640625" defaultRowHeight="15.25"/>
  <cols>
    <col min="1" max="2" width="10.81640625" style="207"/>
    <col min="3" max="3" width="38.6328125" style="207" customWidth="1"/>
    <col min="4" max="6" width="29.453125" style="207" customWidth="1"/>
    <col min="7" max="7" width="20.1796875" style="207" bestFit="1" customWidth="1"/>
    <col min="8" max="8" width="23.453125" style="207" customWidth="1"/>
    <col min="9" max="9" width="10.81640625" style="207"/>
    <col min="10" max="10" width="13" style="207" bestFit="1" customWidth="1"/>
    <col min="11" max="11" width="12.453125" style="207" bestFit="1" customWidth="1"/>
    <col min="12" max="16384" width="10.81640625" style="207"/>
  </cols>
  <sheetData>
    <row r="1" spans="3:7" ht="16" thickBot="1"/>
    <row r="2" spans="3:7" ht="15.5">
      <c r="C2" s="965" t="s">
        <v>550</v>
      </c>
      <c r="D2" s="966"/>
      <c r="E2" s="967"/>
    </row>
    <row r="3" spans="3:7" ht="15.5">
      <c r="C3" s="485" t="s">
        <v>528</v>
      </c>
      <c r="D3" s="511" t="s">
        <v>227</v>
      </c>
      <c r="E3" s="512"/>
    </row>
    <row r="4" spans="3:7">
      <c r="C4" s="796" t="s">
        <v>1186</v>
      </c>
      <c r="D4" s="729" t="s">
        <v>193</v>
      </c>
      <c r="E4" s="730">
        <f>SUM(Parcels!M5:M16)</f>
        <v>12893655</v>
      </c>
    </row>
    <row r="5" spans="3:7">
      <c r="C5" s="470" t="s">
        <v>1187</v>
      </c>
      <c r="D5" s="471" t="s">
        <v>193</v>
      </c>
      <c r="E5" s="515">
        <f>F19</f>
        <v>6428010.3615617966</v>
      </c>
    </row>
    <row r="6" spans="3:7">
      <c r="C6" s="470" t="s">
        <v>1192</v>
      </c>
      <c r="D6" s="471" t="s">
        <v>225</v>
      </c>
      <c r="E6" s="515">
        <f>SUM(Parcels!M34:M78)</f>
        <v>81611947</v>
      </c>
    </row>
    <row r="7" spans="3:7">
      <c r="C7" s="470" t="s">
        <v>1194</v>
      </c>
      <c r="D7" s="471" t="s">
        <v>226</v>
      </c>
      <c r="E7" s="515">
        <f>G19</f>
        <v>58166088.88800668</v>
      </c>
    </row>
    <row r="8" spans="3:7">
      <c r="C8" s="470" t="s">
        <v>1199</v>
      </c>
      <c r="D8" s="471" t="s">
        <v>193</v>
      </c>
      <c r="E8" s="515">
        <f>D55+E55</f>
        <v>3928860</v>
      </c>
    </row>
    <row r="9" spans="3:7">
      <c r="C9" s="474"/>
      <c r="D9" s="471"/>
      <c r="E9" s="515"/>
    </row>
    <row r="10" spans="3:7">
      <c r="C10" s="474"/>
      <c r="D10" s="471"/>
      <c r="E10" s="515"/>
    </row>
    <row r="11" spans="3:7" ht="16.25" thickBot="1">
      <c r="C11" s="513" t="s">
        <v>17</v>
      </c>
      <c r="D11" s="514"/>
      <c r="E11" s="516">
        <f>SUM(E4:E10)</f>
        <v>163028561.24956849</v>
      </c>
    </row>
    <row r="12" spans="3:7">
      <c r="C12" s="731" t="s">
        <v>692</v>
      </c>
    </row>
    <row r="13" spans="3:7" ht="16" thickBot="1">
      <c r="C13" s="521"/>
    </row>
    <row r="14" spans="3:7" ht="15.5">
      <c r="C14" s="965" t="s">
        <v>1188</v>
      </c>
      <c r="D14" s="966"/>
      <c r="E14" s="966"/>
      <c r="F14" s="966"/>
      <c r="G14" s="967"/>
    </row>
    <row r="15" spans="3:7" ht="15.5">
      <c r="C15" s="470" t="s">
        <v>528</v>
      </c>
      <c r="D15" s="503"/>
      <c r="E15" s="970" t="s">
        <v>1190</v>
      </c>
      <c r="F15" s="971"/>
      <c r="G15" s="806" t="s">
        <v>1194</v>
      </c>
    </row>
    <row r="16" spans="3:7">
      <c r="C16" s="470" t="s">
        <v>1193</v>
      </c>
      <c r="D16" s="325"/>
      <c r="E16" s="487" t="s">
        <v>1189</v>
      </c>
      <c r="F16" s="471" t="s">
        <v>43</v>
      </c>
      <c r="G16" s="807" t="s">
        <v>43</v>
      </c>
    </row>
    <row r="17" spans="3:7">
      <c r="C17" s="473" t="s">
        <v>529</v>
      </c>
      <c r="D17" s="498"/>
      <c r="E17" s="505">
        <f>1-F17</f>
        <v>0.76452859137509344</v>
      </c>
      <c r="F17" s="805">
        <f>(Assumptions!F50*Assumptions!F51)/Assumptions!M34</f>
        <v>0.23547140862490656</v>
      </c>
      <c r="G17" s="808">
        <v>1</v>
      </c>
    </row>
    <row r="18" spans="3:7">
      <c r="C18" s="474" t="s">
        <v>1191</v>
      </c>
      <c r="D18" s="499"/>
      <c r="E18" s="974">
        <f>SUM(Parcels!M17:M32)</f>
        <v>27298475</v>
      </c>
      <c r="F18" s="975"/>
      <c r="G18" s="810">
        <f>Parcels!O86*25000*10.764</f>
        <v>58166088.88800668</v>
      </c>
    </row>
    <row r="19" spans="3:7" ht="15.5">
      <c r="C19" s="486" t="s">
        <v>530</v>
      </c>
      <c r="D19" s="500"/>
      <c r="E19" s="491">
        <f>E17*$E$18</f>
        <v>20870464.638438202</v>
      </c>
      <c r="F19" s="491">
        <f>F17*$E$18</f>
        <v>6428010.3615617966</v>
      </c>
      <c r="G19" s="809">
        <f>G17*G18</f>
        <v>58166088.88800668</v>
      </c>
    </row>
    <row r="20" spans="3:7" hidden="1">
      <c r="C20" s="470" t="s">
        <v>549</v>
      </c>
      <c r="D20" s="325"/>
      <c r="E20" s="487"/>
      <c r="F20" s="488"/>
      <c r="G20" s="472"/>
    </row>
    <row r="21" spans="3:7" hidden="1">
      <c r="C21" s="475">
        <v>1</v>
      </c>
      <c r="D21" s="501"/>
      <c r="E21" s="968">
        <v>1700000</v>
      </c>
      <c r="F21" s="969"/>
      <c r="G21" s="481">
        <v>2500000</v>
      </c>
    </row>
    <row r="22" spans="3:7" hidden="1">
      <c r="C22" s="475">
        <f>C21+1</f>
        <v>2</v>
      </c>
      <c r="D22" s="501"/>
      <c r="E22" s="968">
        <f>E21-100000</f>
        <v>1600000</v>
      </c>
      <c r="F22" s="969"/>
      <c r="G22" s="481">
        <f>G21</f>
        <v>2500000</v>
      </c>
    </row>
    <row r="23" spans="3:7" hidden="1">
      <c r="C23" s="475">
        <f t="shared" ref="C23:C30" si="0">C22+1</f>
        <v>3</v>
      </c>
      <c r="D23" s="501"/>
      <c r="E23" s="968">
        <f t="shared" ref="E23:E29" si="1">E22-100000</f>
        <v>1500000</v>
      </c>
      <c r="F23" s="969"/>
      <c r="G23" s="481">
        <f t="shared" ref="G23:G30" si="2">G22</f>
        <v>2500000</v>
      </c>
    </row>
    <row r="24" spans="3:7" hidden="1">
      <c r="C24" s="475">
        <f t="shared" si="0"/>
        <v>4</v>
      </c>
      <c r="D24" s="501"/>
      <c r="E24" s="968">
        <f t="shared" si="1"/>
        <v>1400000</v>
      </c>
      <c r="F24" s="969"/>
      <c r="G24" s="481">
        <f t="shared" si="2"/>
        <v>2500000</v>
      </c>
    </row>
    <row r="25" spans="3:7" hidden="1">
      <c r="C25" s="475">
        <f t="shared" si="0"/>
        <v>5</v>
      </c>
      <c r="D25" s="501"/>
      <c r="E25" s="968">
        <f t="shared" si="1"/>
        <v>1300000</v>
      </c>
      <c r="F25" s="969"/>
      <c r="G25" s="481">
        <f t="shared" si="2"/>
        <v>2500000</v>
      </c>
    </row>
    <row r="26" spans="3:7" hidden="1">
      <c r="C26" s="475">
        <f t="shared" si="0"/>
        <v>6</v>
      </c>
      <c r="D26" s="501"/>
      <c r="E26" s="968">
        <f t="shared" si="1"/>
        <v>1200000</v>
      </c>
      <c r="F26" s="969"/>
      <c r="G26" s="481">
        <f t="shared" si="2"/>
        <v>2500000</v>
      </c>
    </row>
    <row r="27" spans="3:7" hidden="1">
      <c r="C27" s="475">
        <f t="shared" si="0"/>
        <v>7</v>
      </c>
      <c r="D27" s="501"/>
      <c r="E27" s="968">
        <f t="shared" si="1"/>
        <v>1100000</v>
      </c>
      <c r="F27" s="969"/>
      <c r="G27" s="481">
        <f t="shared" si="2"/>
        <v>2500000</v>
      </c>
    </row>
    <row r="28" spans="3:7" hidden="1">
      <c r="C28" s="475">
        <f t="shared" si="0"/>
        <v>8</v>
      </c>
      <c r="D28" s="501"/>
      <c r="E28" s="968">
        <f t="shared" si="1"/>
        <v>1000000</v>
      </c>
      <c r="F28" s="969"/>
      <c r="G28" s="481">
        <f t="shared" si="2"/>
        <v>2500000</v>
      </c>
    </row>
    <row r="29" spans="3:7" hidden="1">
      <c r="C29" s="475">
        <f t="shared" si="0"/>
        <v>9</v>
      </c>
      <c r="D29" s="501"/>
      <c r="E29" s="968">
        <f t="shared" si="1"/>
        <v>900000</v>
      </c>
      <c r="F29" s="969"/>
      <c r="G29" s="481">
        <f t="shared" si="2"/>
        <v>2500000</v>
      </c>
    </row>
    <row r="30" spans="3:7" hidden="1">
      <c r="C30" s="475">
        <f t="shared" si="0"/>
        <v>10</v>
      </c>
      <c r="D30" s="501"/>
      <c r="E30" s="968"/>
      <c r="F30" s="969"/>
      <c r="G30" s="481">
        <f t="shared" si="2"/>
        <v>2500000</v>
      </c>
    </row>
    <row r="31" spans="3:7" hidden="1">
      <c r="C31" s="475" t="s">
        <v>548</v>
      </c>
      <c r="D31" s="501"/>
      <c r="E31" s="968">
        <v>0</v>
      </c>
      <c r="F31" s="969"/>
      <c r="G31" s="481">
        <v>1</v>
      </c>
    </row>
    <row r="32" spans="3:7" ht="16" hidden="1" thickBot="1">
      <c r="C32" s="476" t="s">
        <v>531</v>
      </c>
      <c r="D32" s="502"/>
      <c r="E32" s="976">
        <f>SUM(E21:E30)</f>
        <v>11700000</v>
      </c>
      <c r="F32" s="977"/>
      <c r="G32" s="492">
        <f>SUM(G21:G30)+1*25</f>
        <v>25000025</v>
      </c>
    </row>
    <row r="33" spans="3:8" s="325" customFormat="1" ht="15.5">
      <c r="D33" s="477"/>
      <c r="E33" s="477"/>
      <c r="F33" s="477"/>
    </row>
    <row r="34" spans="3:8" ht="16" hidden="1" thickBot="1"/>
    <row r="35" spans="3:8" ht="15.5" hidden="1">
      <c r="C35" s="959" t="s">
        <v>555</v>
      </c>
      <c r="D35" s="960"/>
      <c r="E35" s="960"/>
      <c r="F35" s="960"/>
      <c r="G35" s="961"/>
    </row>
    <row r="36" spans="3:8" hidden="1">
      <c r="C36" s="470" t="s">
        <v>528</v>
      </c>
      <c r="D36" s="972" t="s">
        <v>532</v>
      </c>
      <c r="E36" s="973"/>
      <c r="F36" s="471" t="s">
        <v>533</v>
      </c>
      <c r="G36" s="472" t="s">
        <v>534</v>
      </c>
    </row>
    <row r="37" spans="3:8" hidden="1">
      <c r="C37" s="470" t="s">
        <v>535</v>
      </c>
      <c r="D37" s="487" t="s">
        <v>536</v>
      </c>
      <c r="E37" s="488" t="s">
        <v>537</v>
      </c>
      <c r="F37" s="471" t="s">
        <v>538</v>
      </c>
      <c r="G37" s="472" t="s">
        <v>539</v>
      </c>
    </row>
    <row r="38" spans="3:8" hidden="1">
      <c r="C38" s="470" t="s">
        <v>540</v>
      </c>
      <c r="D38" s="504">
        <v>120</v>
      </c>
      <c r="E38" s="507">
        <v>80</v>
      </c>
      <c r="F38" s="464">
        <v>300</v>
      </c>
      <c r="G38" s="493">
        <f>ROUND(903*0.3,0)</f>
        <v>271</v>
      </c>
    </row>
    <row r="39" spans="3:8" hidden="1">
      <c r="C39" s="470" t="s">
        <v>553</v>
      </c>
      <c r="D39" s="523">
        <v>165</v>
      </c>
      <c r="E39" s="524">
        <v>165</v>
      </c>
      <c r="F39" s="522">
        <v>195</v>
      </c>
      <c r="G39" s="525">
        <v>60</v>
      </c>
    </row>
    <row r="40" spans="3:8" hidden="1">
      <c r="C40" s="470" t="s">
        <v>541</v>
      </c>
      <c r="D40" s="487" t="s">
        <v>542</v>
      </c>
      <c r="E40" s="488" t="s">
        <v>542</v>
      </c>
      <c r="F40" s="471" t="s">
        <v>542</v>
      </c>
      <c r="G40" s="472" t="s">
        <v>28</v>
      </c>
    </row>
    <row r="41" spans="3:8" hidden="1">
      <c r="C41" s="470" t="s">
        <v>552</v>
      </c>
      <c r="D41" s="505">
        <v>0.85</v>
      </c>
      <c r="E41" s="508">
        <f>$D41</f>
        <v>0.85</v>
      </c>
      <c r="F41" s="478">
        <f t="shared" ref="F41:G43" si="3">$D41</f>
        <v>0.85</v>
      </c>
      <c r="G41" s="479">
        <f t="shared" si="3"/>
        <v>0.85</v>
      </c>
    </row>
    <row r="42" spans="3:8" hidden="1">
      <c r="C42" s="470" t="s">
        <v>543</v>
      </c>
      <c r="D42" s="505">
        <v>0.3</v>
      </c>
      <c r="E42" s="508">
        <f t="shared" ref="E42:E43" si="4">$D42</f>
        <v>0.3</v>
      </c>
      <c r="F42" s="478">
        <f t="shared" si="3"/>
        <v>0.3</v>
      </c>
      <c r="G42" s="479">
        <f t="shared" si="3"/>
        <v>0.3</v>
      </c>
    </row>
    <row r="43" spans="3:8" hidden="1">
      <c r="C43" s="470" t="s">
        <v>544</v>
      </c>
      <c r="D43" s="505">
        <v>0.55000000000000004</v>
      </c>
      <c r="E43" s="508">
        <f t="shared" si="4"/>
        <v>0.55000000000000004</v>
      </c>
      <c r="F43" s="478">
        <f t="shared" si="3"/>
        <v>0.55000000000000004</v>
      </c>
      <c r="G43" s="479">
        <f t="shared" si="3"/>
        <v>0.55000000000000004</v>
      </c>
    </row>
    <row r="44" spans="3:8" hidden="1">
      <c r="C44" s="470" t="s">
        <v>545</v>
      </c>
      <c r="D44" s="489">
        <f>D38*D39*D41*(1-D42)*D43*12</f>
        <v>77754.600000000006</v>
      </c>
      <c r="E44" s="490">
        <f t="shared" ref="E44:G44" si="5">E38*E39*E41*(1-E42)*E43*12</f>
        <v>51836.399999999994</v>
      </c>
      <c r="F44" s="480">
        <f t="shared" si="5"/>
        <v>229729.5</v>
      </c>
      <c r="G44" s="481">
        <f t="shared" si="5"/>
        <v>63853.020000000004</v>
      </c>
    </row>
    <row r="45" spans="3:8" hidden="1">
      <c r="C45" s="470" t="s">
        <v>546</v>
      </c>
      <c r="D45" s="527">
        <v>7.0000000000000007E-2</v>
      </c>
      <c r="E45" s="509">
        <f>+$D$45</f>
        <v>7.0000000000000007E-2</v>
      </c>
      <c r="F45" s="496">
        <f>+$D$45</f>
        <v>7.0000000000000007E-2</v>
      </c>
      <c r="G45" s="497">
        <f>+$D$45</f>
        <v>7.0000000000000007E-2</v>
      </c>
    </row>
    <row r="46" spans="3:8" ht="16.25" hidden="1" thickBot="1">
      <c r="C46" s="482" t="s">
        <v>530</v>
      </c>
      <c r="D46" s="506">
        <f>D44/D45</f>
        <v>1110780</v>
      </c>
      <c r="E46" s="510">
        <f t="shared" ref="E46:G46" si="6">E44/E45</f>
        <v>740519.99999999988</v>
      </c>
      <c r="F46" s="494">
        <f t="shared" si="6"/>
        <v>3281849.9999999995</v>
      </c>
      <c r="G46" s="495">
        <f t="shared" si="6"/>
        <v>912186</v>
      </c>
      <c r="H46" s="424"/>
    </row>
    <row r="47" spans="3:8" ht="15.5">
      <c r="D47" s="431"/>
      <c r="E47" s="431"/>
      <c r="F47" s="431"/>
      <c r="G47" s="431"/>
    </row>
    <row r="48" spans="3:8" ht="16" thickBot="1"/>
    <row r="49" spans="3:7" ht="15.5">
      <c r="C49" s="959" t="s">
        <v>1198</v>
      </c>
      <c r="D49" s="960"/>
      <c r="E49" s="960"/>
      <c r="F49" s="960"/>
      <c r="G49" s="961"/>
    </row>
    <row r="50" spans="3:7">
      <c r="C50" s="470" t="s">
        <v>528</v>
      </c>
      <c r="D50" s="471" t="s">
        <v>1195</v>
      </c>
      <c r="E50" s="471" t="s">
        <v>1196</v>
      </c>
      <c r="F50" s="325"/>
      <c r="G50" s="432"/>
    </row>
    <row r="51" spans="3:7">
      <c r="C51" s="470" t="s">
        <v>535</v>
      </c>
      <c r="D51" s="471" t="s">
        <v>1012</v>
      </c>
      <c r="E51" s="471" t="s">
        <v>873</v>
      </c>
      <c r="F51" s="325"/>
      <c r="G51" s="432"/>
    </row>
    <row r="52" spans="3:7">
      <c r="C52" s="470" t="s">
        <v>547</v>
      </c>
      <c r="D52" s="471" t="s">
        <v>1197</v>
      </c>
      <c r="E52" s="471" t="s">
        <v>1197</v>
      </c>
      <c r="F52" s="325"/>
      <c r="G52" s="432"/>
    </row>
    <row r="53" spans="3:7">
      <c r="C53" s="470" t="s">
        <v>554</v>
      </c>
      <c r="D53" s="465">
        <f>4900*10.764</f>
        <v>52743.6</v>
      </c>
      <c r="E53" s="465">
        <f>2400*10.764</f>
        <v>25833.599999999999</v>
      </c>
      <c r="F53" s="325"/>
      <c r="G53" s="432"/>
    </row>
    <row r="54" spans="3:7">
      <c r="C54" s="470" t="s">
        <v>37</v>
      </c>
      <c r="D54" s="522">
        <v>50</v>
      </c>
      <c r="E54" s="522">
        <v>50</v>
      </c>
      <c r="F54" s="325"/>
      <c r="G54" s="432"/>
    </row>
    <row r="55" spans="3:7" ht="16.25" thickBot="1">
      <c r="C55" s="482" t="s">
        <v>530</v>
      </c>
      <c r="D55" s="494">
        <f>D53*D54</f>
        <v>2637180</v>
      </c>
      <c r="E55" s="494">
        <f>+E53*E54</f>
        <v>1291680</v>
      </c>
      <c r="F55" s="483"/>
      <c r="G55" s="484"/>
    </row>
    <row r="56" spans="3:7" ht="15.5">
      <c r="D56" s="431"/>
      <c r="E56" s="540"/>
    </row>
    <row r="58" spans="3:7" ht="15.5">
      <c r="C58" s="962" t="s">
        <v>1205</v>
      </c>
      <c r="D58" s="963"/>
      <c r="E58" s="963"/>
      <c r="F58" s="963"/>
      <c r="G58" s="964"/>
    </row>
    <row r="59" spans="3:7">
      <c r="C59" s="821" t="s">
        <v>1210</v>
      </c>
      <c r="D59" s="471">
        <f>SUM(Parcels!K34:K58)</f>
        <v>150089</v>
      </c>
      <c r="E59" s="471"/>
      <c r="F59" s="825"/>
      <c r="G59" s="826"/>
    </row>
    <row r="60" spans="3:7">
      <c r="C60" s="821" t="s">
        <v>1211</v>
      </c>
      <c r="D60" s="831">
        <f>SUM(Parcels!M34:M58)</f>
        <v>38682397</v>
      </c>
      <c r="E60" s="471"/>
      <c r="F60" s="736"/>
      <c r="G60" s="737"/>
    </row>
    <row r="61" spans="3:7">
      <c r="C61" s="821" t="s">
        <v>1215</v>
      </c>
      <c r="D61" s="831">
        <f>D60/D59</f>
        <v>257.72972702862967</v>
      </c>
      <c r="E61" s="471"/>
      <c r="F61" s="736"/>
      <c r="G61" s="737"/>
    </row>
    <row r="62" spans="3:7">
      <c r="C62" s="821" t="s">
        <v>1213</v>
      </c>
      <c r="D62" s="832">
        <f>Infra!J25/Parcels!K85</f>
        <v>63.524792592097235</v>
      </c>
      <c r="E62" s="471"/>
      <c r="F62" s="736"/>
      <c r="G62" s="737"/>
    </row>
    <row r="63" spans="3:7">
      <c r="C63" s="821" t="s">
        <v>1212</v>
      </c>
      <c r="D63" s="820">
        <v>1.3</v>
      </c>
      <c r="E63" s="820">
        <v>1.35</v>
      </c>
      <c r="F63" s="736"/>
      <c r="G63" s="737"/>
    </row>
    <row r="64" spans="3:7">
      <c r="C64" s="821" t="s">
        <v>645</v>
      </c>
      <c r="D64" s="471" t="s">
        <v>1220</v>
      </c>
      <c r="E64" s="471" t="s">
        <v>1221</v>
      </c>
      <c r="F64" s="736"/>
      <c r="G64" s="737"/>
    </row>
    <row r="65" spans="3:7">
      <c r="C65" s="821" t="s">
        <v>1208</v>
      </c>
      <c r="D65" s="471" t="s">
        <v>1207</v>
      </c>
      <c r="E65" s="471" t="s">
        <v>1206</v>
      </c>
      <c r="F65" s="736" t="s">
        <v>1218</v>
      </c>
      <c r="G65" s="737"/>
    </row>
    <row r="66" spans="3:7">
      <c r="C66" s="821" t="s">
        <v>1209</v>
      </c>
      <c r="D66" s="833">
        <f>8260*10.765</f>
        <v>88918.900000000009</v>
      </c>
      <c r="E66" s="833">
        <f>6305*10.764</f>
        <v>67867.01999999999</v>
      </c>
      <c r="F66" s="736"/>
      <c r="G66" s="737"/>
    </row>
    <row r="67" spans="3:7">
      <c r="C67" s="821" t="s">
        <v>1216</v>
      </c>
      <c r="D67" s="834">
        <f>(D61+D62)*D63</f>
        <v>417.63087550694502</v>
      </c>
      <c r="E67" s="834">
        <f>(D61+D62)*E63</f>
        <v>433.69360148798137</v>
      </c>
      <c r="F67" s="736"/>
      <c r="G67" s="737"/>
    </row>
    <row r="68" spans="3:7">
      <c r="C68" s="821" t="s">
        <v>1217</v>
      </c>
      <c r="D68" s="835">
        <f>D66*D67</f>
        <v>37135278.056114495</v>
      </c>
      <c r="E68" s="834">
        <f>E66*E67</f>
        <v>29433492.326056857</v>
      </c>
      <c r="F68" s="823">
        <f>SUM(D68:E68)</f>
        <v>66568770.382171348</v>
      </c>
      <c r="G68" s="737"/>
    </row>
    <row r="69" spans="3:7">
      <c r="C69" s="821" t="s">
        <v>1222</v>
      </c>
      <c r="D69" s="830">
        <v>0.02</v>
      </c>
      <c r="E69" s="834"/>
      <c r="F69" s="823"/>
      <c r="G69" s="737"/>
    </row>
    <row r="70" spans="3:7">
      <c r="C70" s="821" t="s">
        <v>1219</v>
      </c>
      <c r="D70" s="824">
        <v>45657</v>
      </c>
      <c r="E70" s="834"/>
      <c r="F70" s="823"/>
      <c r="G70" s="737"/>
    </row>
    <row r="71" spans="3:7">
      <c r="C71" s="822"/>
      <c r="D71" s="836"/>
      <c r="E71" s="836"/>
      <c r="F71" s="827"/>
      <c r="G71" s="828"/>
    </row>
    <row r="72" spans="3:7">
      <c r="F72" s="325"/>
      <c r="G72" s="325"/>
    </row>
    <row r="73" spans="3:7">
      <c r="F73" s="325"/>
      <c r="G73" s="325"/>
    </row>
    <row r="74" spans="3:7">
      <c r="F74" s="325"/>
      <c r="G74" s="325"/>
    </row>
    <row r="75" spans="3:7">
      <c r="F75" s="325"/>
      <c r="G75" s="325"/>
    </row>
  </sheetData>
  <mergeCells count="20">
    <mergeCell ref="E21:F21"/>
    <mergeCell ref="E32:F32"/>
    <mergeCell ref="E26:F26"/>
    <mergeCell ref="E27:F27"/>
    <mergeCell ref="C58:G58"/>
    <mergeCell ref="C2:E2"/>
    <mergeCell ref="E28:F28"/>
    <mergeCell ref="E29:F29"/>
    <mergeCell ref="E30:F30"/>
    <mergeCell ref="E31:F31"/>
    <mergeCell ref="C14:G14"/>
    <mergeCell ref="E22:F22"/>
    <mergeCell ref="E23:F23"/>
    <mergeCell ref="E24:F24"/>
    <mergeCell ref="E25:F25"/>
    <mergeCell ref="E15:F15"/>
    <mergeCell ref="C35:G35"/>
    <mergeCell ref="D36:E36"/>
    <mergeCell ref="C49:G49"/>
    <mergeCell ref="E18:F18"/>
  </mergeCells>
  <phoneticPr fontId="79"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sheetPr>
  <dimension ref="A2:AU48"/>
  <sheetViews>
    <sheetView showGridLines="0" topLeftCell="U8" zoomScale="44" zoomScaleNormal="55" workbookViewId="0">
      <selection activeCell="AR19" sqref="AR12:AR19"/>
    </sheetView>
  </sheetViews>
  <sheetFormatPr defaultColWidth="14.453125" defaultRowHeight="16" customHeight="1"/>
  <cols>
    <col min="1" max="1" width="8.453125" style="41" customWidth="1"/>
    <col min="2" max="2" width="16.453125" style="41" bestFit="1" customWidth="1"/>
    <col min="3" max="3" width="16.453125" style="41" customWidth="1"/>
    <col min="4" max="4" width="15.453125" style="41" bestFit="1" customWidth="1"/>
    <col min="5" max="7" width="16.453125" style="41" customWidth="1"/>
    <col min="8" max="8" width="15.453125" style="41" bestFit="1" customWidth="1"/>
    <col min="9" max="10" width="14.453125" style="41" customWidth="1"/>
    <col min="11" max="11" width="16" style="41" bestFit="1" customWidth="1"/>
    <col min="12" max="14" width="14.453125" style="41" customWidth="1"/>
    <col min="15" max="15" width="18.26953125" style="41" customWidth="1"/>
    <col min="16" max="21" width="14.453125" style="41" customWidth="1"/>
    <col min="22" max="22" width="15.81640625" style="41" customWidth="1"/>
    <col min="23" max="23" width="14.453125" style="41" customWidth="1"/>
    <col min="24" max="36" width="14.453125" style="41"/>
    <col min="37" max="37" width="16" style="41" customWidth="1"/>
    <col min="38" max="16384" width="14.453125" style="41"/>
  </cols>
  <sheetData>
    <row r="2" spans="1:47" ht="16" customHeight="1">
      <c r="B2" s="41" t="s">
        <v>7</v>
      </c>
      <c r="D2" s="44">
        <v>0.02</v>
      </c>
      <c r="E2" s="44"/>
      <c r="F2" s="41" t="s">
        <v>174</v>
      </c>
      <c r="H2" s="112">
        <v>96.515600000000006</v>
      </c>
    </row>
    <row r="3" spans="1:47" ht="16" customHeight="1">
      <c r="B3" s="41" t="s">
        <v>181</v>
      </c>
      <c r="D3" s="109">
        <v>3</v>
      </c>
      <c r="E3" s="109"/>
      <c r="F3" s="41" t="s">
        <v>182</v>
      </c>
      <c r="H3" s="44">
        <v>0.35</v>
      </c>
    </row>
    <row r="4" spans="1:47" ht="16" customHeight="1">
      <c r="B4" s="41" t="s">
        <v>187</v>
      </c>
      <c r="D4" s="114">
        <f>+Assumptions!$N$167</f>
        <v>1.3</v>
      </c>
      <c r="E4" s="114"/>
      <c r="F4" s="41" t="s">
        <v>185</v>
      </c>
      <c r="H4" s="44">
        <v>0.25</v>
      </c>
    </row>
    <row r="5" spans="1:47" ht="16" customHeight="1">
      <c r="B5" s="41" t="s">
        <v>156</v>
      </c>
      <c r="D5" s="113">
        <f>+Assumptions!$N$169</f>
        <v>30</v>
      </c>
      <c r="E5" s="113"/>
      <c r="F5" s="41" t="s">
        <v>347</v>
      </c>
      <c r="H5" s="170">
        <v>9.5000000000000001E-2</v>
      </c>
    </row>
    <row r="6" spans="1:47" ht="16" customHeight="1">
      <c r="B6" s="41" t="s">
        <v>149</v>
      </c>
      <c r="D6" s="115">
        <f>+Assumptions!$N$168</f>
        <v>6.5000000000000002E-2</v>
      </c>
      <c r="E6" s="115"/>
      <c r="F6" s="205" t="s">
        <v>348</v>
      </c>
      <c r="G6" s="205"/>
      <c r="H6" s="205"/>
    </row>
    <row r="8" spans="1:47" ht="16" customHeight="1">
      <c r="B8" s="31" t="s">
        <v>193</v>
      </c>
      <c r="C8" s="31"/>
      <c r="D8" s="32"/>
      <c r="E8" s="32"/>
      <c r="F8" s="38"/>
      <c r="G8" s="38"/>
      <c r="H8" s="32"/>
      <c r="I8" s="31"/>
      <c r="J8" s="46"/>
      <c r="K8" s="46"/>
      <c r="L8" s="46"/>
      <c r="M8" s="46"/>
      <c r="N8" s="46"/>
      <c r="O8" s="46"/>
      <c r="P8" s="46"/>
      <c r="R8" s="31" t="s">
        <v>225</v>
      </c>
      <c r="S8" s="31"/>
      <c r="T8" s="32"/>
      <c r="U8" s="32"/>
      <c r="V8" s="38"/>
      <c r="W8" s="38"/>
      <c r="X8" s="32"/>
      <c r="Y8" s="31"/>
      <c r="Z8" s="46"/>
      <c r="AA8" s="46"/>
      <c r="AB8" s="46"/>
      <c r="AC8" s="46"/>
      <c r="AD8" s="46"/>
      <c r="AE8" s="46"/>
      <c r="AG8" s="31" t="s">
        <v>226</v>
      </c>
      <c r="AH8" s="31"/>
      <c r="AI8" s="32"/>
      <c r="AJ8" s="32"/>
      <c r="AK8" s="38"/>
      <c r="AL8" s="38"/>
      <c r="AM8" s="32"/>
      <c r="AN8" s="31"/>
      <c r="AO8" s="46"/>
      <c r="AP8" s="46"/>
      <c r="AQ8" s="46"/>
      <c r="AR8" s="46"/>
      <c r="AS8" s="46"/>
      <c r="AT8" s="46"/>
    </row>
    <row r="9" spans="1:47" ht="16" customHeight="1">
      <c r="B9" s="119" t="s">
        <v>194</v>
      </c>
      <c r="C9" s="125">
        <f>+INDEX(Assumptions!$F$24:$H$24,1,MATCH('Taxes and TIF'!B8,Assumptions!$F$21:$H$21,0))</f>
        <v>44926</v>
      </c>
      <c r="F9" s="119" t="s">
        <v>192</v>
      </c>
      <c r="H9" s="125">
        <f>+INDEX(Assumptions!$F$26:$H$26,1,MATCH('Taxes and TIF'!B8,Assumptions!$F$21:$H$21,0))</f>
        <v>45657</v>
      </c>
      <c r="J9" s="119" t="s">
        <v>179</v>
      </c>
      <c r="K9" s="34">
        <f ca="1">+SUM('Loan Sizing'!$F$15:$F$20,'Loan Sizing'!$F$36,'Loan Sizing'!$F$52)/'Taxes and TIF'!$H$5</f>
        <v>359604954.59157175</v>
      </c>
      <c r="L9" s="34"/>
      <c r="M9" s="34"/>
      <c r="R9" s="119" t="s">
        <v>194</v>
      </c>
      <c r="S9" s="125">
        <f>+INDEX(Assumptions!$F$24:$H$24,1,MATCH('Taxes and TIF'!R8,Assumptions!$F$21:$H$21,0))</f>
        <v>45657</v>
      </c>
      <c r="V9" s="119" t="s">
        <v>192</v>
      </c>
      <c r="X9" s="125">
        <f>+INDEX(Assumptions!$F$26:$H$26,1,MATCH('Taxes and TIF'!R8,Assumptions!$F$21:$H$21,0))</f>
        <v>46387</v>
      </c>
      <c r="Z9" s="119" t="s">
        <v>179</v>
      </c>
      <c r="AA9" s="34">
        <f ca="1">+SUM('Loan Sizing'!$G$15:$G$20,'Loan Sizing'!$G$36,'Loan Sizing'!$G$52)/'Taxes and TIF'!$H$5</f>
        <v>144519192.37079716</v>
      </c>
      <c r="AB9" s="34"/>
      <c r="AC9" s="34"/>
      <c r="AG9" s="119" t="s">
        <v>194</v>
      </c>
      <c r="AH9" s="125">
        <f>+INDEX(Assumptions!$F$24:$H$24,1,MATCH('Taxes and TIF'!AG8,Assumptions!$F$21:$H$21,0))</f>
        <v>46387</v>
      </c>
      <c r="AK9" s="119" t="s">
        <v>192</v>
      </c>
      <c r="AM9" s="125">
        <f>+INDEX(Assumptions!$F$26:$H$26,1,MATCH('Taxes and TIF'!AG8,Assumptions!$F$21:$H$21,0))</f>
        <v>47483</v>
      </c>
      <c r="AO9" s="119" t="s">
        <v>179</v>
      </c>
      <c r="AP9" s="34">
        <f ca="1">+SUM('Loan Sizing'!$H$15:$H$20,'Loan Sizing'!$I$36,'Loan Sizing'!$I$52)/'Taxes and TIF'!$H$5</f>
        <v>380299489.08232009</v>
      </c>
      <c r="AQ9" s="34"/>
      <c r="AR9" s="34"/>
    </row>
    <row r="10" spans="1:47" ht="42.75" customHeight="1" thickBot="1">
      <c r="B10" s="111" t="s">
        <v>178</v>
      </c>
      <c r="C10" s="111" t="s">
        <v>190</v>
      </c>
      <c r="D10" s="111" t="s">
        <v>180</v>
      </c>
      <c r="E10" s="111" t="s">
        <v>7</v>
      </c>
      <c r="F10" s="111" t="s">
        <v>179</v>
      </c>
      <c r="G10" s="111" t="s">
        <v>182</v>
      </c>
      <c r="H10" s="111" t="s">
        <v>183</v>
      </c>
      <c r="I10" s="111" t="s">
        <v>174</v>
      </c>
      <c r="J10" s="111" t="s">
        <v>184</v>
      </c>
      <c r="K10" s="111" t="s">
        <v>185</v>
      </c>
      <c r="L10" s="111" t="s">
        <v>302</v>
      </c>
      <c r="M10" s="111" t="s">
        <v>301</v>
      </c>
      <c r="N10" s="111" t="s">
        <v>186</v>
      </c>
      <c r="O10" s="111" t="s">
        <v>300</v>
      </c>
      <c r="P10" s="164"/>
      <c r="R10" s="111" t="s">
        <v>178</v>
      </c>
      <c r="S10" s="111" t="s">
        <v>190</v>
      </c>
      <c r="T10" s="111" t="s">
        <v>180</v>
      </c>
      <c r="U10" s="111" t="s">
        <v>7</v>
      </c>
      <c r="V10" s="111" t="s">
        <v>179</v>
      </c>
      <c r="W10" s="111" t="s">
        <v>182</v>
      </c>
      <c r="X10" s="111" t="s">
        <v>183</v>
      </c>
      <c r="Y10" s="111" t="s">
        <v>174</v>
      </c>
      <c r="Z10" s="111" t="s">
        <v>184</v>
      </c>
      <c r="AA10" s="111" t="s">
        <v>185</v>
      </c>
      <c r="AB10" s="111" t="s">
        <v>302</v>
      </c>
      <c r="AC10" s="111" t="s">
        <v>301</v>
      </c>
      <c r="AD10" s="111" t="s">
        <v>186</v>
      </c>
      <c r="AE10" s="111" t="s">
        <v>188</v>
      </c>
      <c r="AG10" s="111" t="s">
        <v>178</v>
      </c>
      <c r="AH10" s="111" t="s">
        <v>190</v>
      </c>
      <c r="AI10" s="111" t="s">
        <v>180</v>
      </c>
      <c r="AJ10" s="111" t="s">
        <v>7</v>
      </c>
      <c r="AK10" s="111" t="s">
        <v>179</v>
      </c>
      <c r="AL10" s="111" t="s">
        <v>182</v>
      </c>
      <c r="AM10" s="111" t="s">
        <v>183</v>
      </c>
      <c r="AN10" s="111" t="s">
        <v>174</v>
      </c>
      <c r="AO10" s="111" t="s">
        <v>184</v>
      </c>
      <c r="AP10" s="111" t="s">
        <v>185</v>
      </c>
      <c r="AQ10" s="111" t="s">
        <v>302</v>
      </c>
      <c r="AR10" s="111" t="s">
        <v>301</v>
      </c>
      <c r="AS10" s="111" t="s">
        <v>186</v>
      </c>
      <c r="AT10" s="111" t="s">
        <v>188</v>
      </c>
    </row>
    <row r="11" spans="1:47" ht="16" customHeight="1">
      <c r="A11" s="110">
        <v>0</v>
      </c>
      <c r="B11" s="124">
        <f>+C9</f>
        <v>44926</v>
      </c>
      <c r="C11" s="117">
        <v>0</v>
      </c>
      <c r="D11" s="198">
        <f>+INDEX(Budget!$H$23:$J$23,1,MATCH('Taxes and TIF'!B8,Budget!$H$22:$J$22,0))</f>
        <v>23250525.361561798</v>
      </c>
      <c r="E11" s="107">
        <v>1</v>
      </c>
      <c r="F11" s="34">
        <f>+IF(B11&gt;=H$9,K$9,0)*E11</f>
        <v>0</v>
      </c>
      <c r="G11" s="108">
        <f>+$H$3</f>
        <v>0.35</v>
      </c>
      <c r="H11" s="34">
        <f t="shared" ref="H11:H45" si="0">+F11*G11</f>
        <v>0</v>
      </c>
      <c r="I11" s="49">
        <f>+$H$2</f>
        <v>96.515600000000006</v>
      </c>
      <c r="J11" s="34">
        <f>+MAX(I11*H11/1000-L11,0)</f>
        <v>0</v>
      </c>
      <c r="K11" s="108">
        <f>+$H$4</f>
        <v>0.25</v>
      </c>
      <c r="L11" s="34">
        <f t="shared" ref="L11:L45" si="1">+D11*G11*I11/1000</f>
        <v>785413.4419552238</v>
      </c>
      <c r="M11" s="34">
        <f>+L11+J11</f>
        <v>785413.4419552238</v>
      </c>
      <c r="N11" s="34">
        <f t="shared" ref="N11:N12" si="2">+J11*(1-K11)</f>
        <v>0</v>
      </c>
      <c r="O11" s="34">
        <f t="shared" ref="O11:O12" si="3">+N11/$D$4</f>
        <v>0</v>
      </c>
      <c r="P11" s="404" t="str">
        <f>+IF(O11=0,"",O11)</f>
        <v/>
      </c>
      <c r="R11" s="124">
        <f>+S9</f>
        <v>45657</v>
      </c>
      <c r="S11" s="117">
        <v>0</v>
      </c>
      <c r="T11" s="198">
        <f>+INDEX(Budget!$H$23:$J$23,1,MATCH('Taxes and TIF'!R8,Budget!$H$22:$J$22,0))</f>
        <v>81611947</v>
      </c>
      <c r="U11" s="107">
        <v>1</v>
      </c>
      <c r="V11" s="34">
        <f>+IF(R11&gt;=X$9,AA$9,0)*U11</f>
        <v>0</v>
      </c>
      <c r="W11" s="108">
        <f>+$H$3</f>
        <v>0.35</v>
      </c>
      <c r="X11" s="34">
        <f>+V11*W11</f>
        <v>0</v>
      </c>
      <c r="Y11" s="49">
        <f>+$H$2</f>
        <v>96.515600000000006</v>
      </c>
      <c r="Z11" s="34">
        <f>+MAX(Y11*X11/1000-AB11,0)</f>
        <v>0</v>
      </c>
      <c r="AA11" s="108">
        <f>+$H$4</f>
        <v>0.25</v>
      </c>
      <c r="AB11" s="34">
        <f>+T11*W11*Y11/1000</f>
        <v>2756889.1111556203</v>
      </c>
      <c r="AC11" s="34">
        <f>+AB11+Z11</f>
        <v>2756889.1111556203</v>
      </c>
      <c r="AD11" s="34">
        <f>+Z11*(1-AA11)</f>
        <v>0</v>
      </c>
      <c r="AE11" s="34">
        <f t="shared" ref="AE11:AE12" si="4">+AD11/$D$4</f>
        <v>0</v>
      </c>
      <c r="AF11" s="404" t="str">
        <f>+IF(AE11=0,"",AE11)</f>
        <v/>
      </c>
      <c r="AG11" s="124">
        <f>+AH9</f>
        <v>46387</v>
      </c>
      <c r="AH11" s="117">
        <v>0</v>
      </c>
      <c r="AI11" s="198">
        <f>+INDEX(Budget!$H$23:$J$23,1,MATCH('Taxes and TIF'!AG8,Budget!$H$22:$J$22,0))</f>
        <v>58166088.88800668</v>
      </c>
      <c r="AJ11" s="107">
        <v>1</v>
      </c>
      <c r="AK11" s="34">
        <f>+IF(AG11&gt;=AM$9,AP$9,0)*AJ11</f>
        <v>0</v>
      </c>
      <c r="AL11" s="108">
        <f>+$H$3</f>
        <v>0.35</v>
      </c>
      <c r="AM11" s="34">
        <f>+AK11*AL11</f>
        <v>0</v>
      </c>
      <c r="AN11" s="49">
        <f>+$H$2</f>
        <v>96.515600000000006</v>
      </c>
      <c r="AO11" s="34">
        <f>+MAX(AN11*AM11/1000-AQ11,0)</f>
        <v>0</v>
      </c>
      <c r="AP11" s="108">
        <f>+$H$4</f>
        <v>0.25</v>
      </c>
      <c r="AQ11" s="34">
        <f>+AI11*AL11*AN11/1000</f>
        <v>1964877.2390377542</v>
      </c>
      <c r="AR11" s="34">
        <f>+AQ11+AO11</f>
        <v>1964877.2390377542</v>
      </c>
      <c r="AS11" s="34">
        <f>+AO11*(1-AP11)</f>
        <v>0</v>
      </c>
      <c r="AT11" s="34">
        <f t="shared" ref="AT11:AT12" si="5">+AS11/$D$4</f>
        <v>0</v>
      </c>
      <c r="AU11" s="404" t="str">
        <f>+IF(AT11=0,"",AT11)</f>
        <v/>
      </c>
    </row>
    <row r="12" spans="1:47" ht="16" customHeight="1">
      <c r="A12" s="110">
        <f t="shared" ref="A12:A17" si="6">+MOD(A11+1,$D$3)</f>
        <v>1</v>
      </c>
      <c r="B12" s="124">
        <f>+EOMONTH(B11,12)</f>
        <v>45291</v>
      </c>
      <c r="C12" s="117">
        <f>+IF(B12&gt;=H$9,'Taxes and TIF'!C11+1,'Taxes and TIF'!C11)</f>
        <v>0</v>
      </c>
      <c r="D12" s="42">
        <f>+$D$11*E12</f>
        <v>23250525.361561798</v>
      </c>
      <c r="E12" s="116">
        <f>+E11*(1+IF($A12=0,$D$2,0))</f>
        <v>1</v>
      </c>
      <c r="F12" s="42">
        <f t="shared" ref="F12:F45" si="7">+IF(B12&gt;=H$9,K$9,0)*E12</f>
        <v>0</v>
      </c>
      <c r="G12" s="108">
        <f>+G11</f>
        <v>0.35</v>
      </c>
      <c r="H12" s="42">
        <f t="shared" si="0"/>
        <v>0</v>
      </c>
      <c r="I12" s="49">
        <f>+I11</f>
        <v>96.515600000000006</v>
      </c>
      <c r="J12" s="42">
        <f>+MAX(I12*H12/1000-L12,0)</f>
        <v>0</v>
      </c>
      <c r="K12" s="108">
        <f>+K11</f>
        <v>0.25</v>
      </c>
      <c r="L12" s="42">
        <f t="shared" si="1"/>
        <v>785413.4419552238</v>
      </c>
      <c r="M12" s="42">
        <f t="shared" ref="M12" si="8">+L12+J12</f>
        <v>785413.4419552238</v>
      </c>
      <c r="N12" s="42">
        <f t="shared" si="2"/>
        <v>0</v>
      </c>
      <c r="O12" s="42">
        <f t="shared" si="3"/>
        <v>0</v>
      </c>
      <c r="P12" s="404" t="str">
        <f t="shared" ref="P12:P45" si="9">+IF(O12=0,"",O12)</f>
        <v/>
      </c>
      <c r="R12" s="124">
        <f>+EOMONTH(R11,12)</f>
        <v>46022</v>
      </c>
      <c r="S12" s="117">
        <f>+IF(R12&gt;=X$9,'Taxes and TIF'!S11+1,'Taxes and TIF'!S11)</f>
        <v>0</v>
      </c>
      <c r="T12" s="42">
        <f>+T11</f>
        <v>81611947</v>
      </c>
      <c r="U12" s="116">
        <f>+U11*(1+IF($A12=0,$D$2,0))</f>
        <v>1</v>
      </c>
      <c r="V12" s="42">
        <f t="shared" ref="V12" si="10">+IF(R12&gt;=X$9,AA$9,0)*U12</f>
        <v>0</v>
      </c>
      <c r="W12" s="108">
        <f>+W11</f>
        <v>0.35</v>
      </c>
      <c r="X12" s="42">
        <f t="shared" ref="X12" si="11">+V12*W12</f>
        <v>0</v>
      </c>
      <c r="Y12" s="49">
        <f>+Y11</f>
        <v>96.515600000000006</v>
      </c>
      <c r="Z12" s="42">
        <f t="shared" ref="Z12" si="12">+MAX(Y12*X12/1000-AB12,0)</f>
        <v>0</v>
      </c>
      <c r="AA12" s="108">
        <f>+AA11</f>
        <v>0.25</v>
      </c>
      <c r="AB12" s="42">
        <f>AB11</f>
        <v>2756889.1111556203</v>
      </c>
      <c r="AC12" s="812">
        <f>AC11</f>
        <v>2756889.1111556203</v>
      </c>
      <c r="AD12" s="42">
        <f t="shared" ref="AD12" si="13">+Z12*(1-AA12)</f>
        <v>0</v>
      </c>
      <c r="AE12" s="42">
        <f t="shared" si="4"/>
        <v>0</v>
      </c>
      <c r="AF12" s="404" t="str">
        <f t="shared" ref="AF12:AF45" si="14">+IF(AE12=0,"",AE12)</f>
        <v/>
      </c>
      <c r="AG12" s="124">
        <f>+EOMONTH(AG11,12)</f>
        <v>46752</v>
      </c>
      <c r="AH12" s="117">
        <f>+IF(AG12&gt;=AM$9,'Taxes and TIF'!AH11+1,'Taxes and TIF'!AH11)</f>
        <v>0</v>
      </c>
      <c r="AI12" s="42">
        <f>+AI11</f>
        <v>58166088.88800668</v>
      </c>
      <c r="AJ12" s="116">
        <f>+AJ11*(1+IF($A12=0,$D$2,0))</f>
        <v>1</v>
      </c>
      <c r="AK12" s="42">
        <f t="shared" ref="AK12" si="15">+IF(AG12&gt;=AM$9,AP$9,0)*AJ12</f>
        <v>0</v>
      </c>
      <c r="AL12" s="108">
        <f>+AL11</f>
        <v>0.35</v>
      </c>
      <c r="AM12" s="42">
        <f t="shared" ref="AM12" si="16">+AK12*AL12</f>
        <v>0</v>
      </c>
      <c r="AN12" s="49">
        <f>+AN11</f>
        <v>96.515600000000006</v>
      </c>
      <c r="AO12" s="42">
        <f t="shared" ref="AO12:AO22" si="17">+MAX(AN12*AM12/1000-AQ12,0)</f>
        <v>0</v>
      </c>
      <c r="AP12" s="108">
        <f>+AP11</f>
        <v>0.25</v>
      </c>
      <c r="AQ12" s="812">
        <f t="shared" ref="AQ12:AQ15" si="18">+AI12*AL12*AN12/1000</f>
        <v>1964877.2390377542</v>
      </c>
      <c r="AR12" s="42">
        <f t="shared" ref="AR12:AR22" si="19">+AQ12+AO12</f>
        <v>1964877.2390377542</v>
      </c>
      <c r="AS12" s="42">
        <f t="shared" ref="AS12" si="20">+AO12*(1-AP12)</f>
        <v>0</v>
      </c>
      <c r="AT12" s="42">
        <f t="shared" si="5"/>
        <v>0</v>
      </c>
      <c r="AU12" s="404" t="str">
        <f t="shared" ref="AU12:AU45" si="21">+IF(AT12=0,"",AT12)</f>
        <v/>
      </c>
    </row>
    <row r="13" spans="1:47" ht="16" customHeight="1">
      <c r="A13" s="110">
        <f t="shared" si="6"/>
        <v>2</v>
      </c>
      <c r="B13" s="124">
        <f t="shared" ref="B13:B22" si="22">+EOMONTH(B12,12)</f>
        <v>45657</v>
      </c>
      <c r="C13" s="117">
        <f>+IF(B13&gt;=H$9,'Taxes and TIF'!C12+1,'Taxes and TIF'!C12)</f>
        <v>1</v>
      </c>
      <c r="D13" s="42">
        <f t="shared" ref="D13:D45" si="23">+$D$11*E13</f>
        <v>23250525.361561798</v>
      </c>
      <c r="E13" s="116">
        <f t="shared" ref="E13:E22" si="24">+E12*(1+IF($A13=0,$D$2,0))</f>
        <v>1</v>
      </c>
      <c r="F13" s="42">
        <f t="shared" ca="1" si="7"/>
        <v>359604954.59157175</v>
      </c>
      <c r="G13" s="108">
        <f t="shared" ref="G13:G22" si="25">+G12</f>
        <v>0.35</v>
      </c>
      <c r="H13" s="42">
        <f t="shared" ca="1" si="0"/>
        <v>125861734.10705011</v>
      </c>
      <c r="I13" s="49">
        <f t="shared" ref="I13:I22" si="26">+I12</f>
        <v>96.515600000000006</v>
      </c>
      <c r="J13" s="42">
        <f t="shared" ref="J13:J22" ca="1" si="27">+MAX(I13*H13/1000-L13,0)</f>
        <v>11362207.342427183</v>
      </c>
      <c r="K13" s="108">
        <f t="shared" ref="K13:K22" si="28">+K12</f>
        <v>0.25</v>
      </c>
      <c r="L13" s="42">
        <f t="shared" si="1"/>
        <v>785413.4419552238</v>
      </c>
      <c r="M13" s="42">
        <f t="shared" ref="M13:M22" ca="1" si="29">+L13+J13</f>
        <v>12147620.784382407</v>
      </c>
      <c r="N13" s="42">
        <f t="shared" ref="N13:N22" ca="1" si="30">+J13*(1-K13)</f>
        <v>8521655.5068203881</v>
      </c>
      <c r="O13" s="42">
        <f t="shared" ref="O13:O22" ca="1" si="31">+N13/$D$4</f>
        <v>6555119.620631068</v>
      </c>
      <c r="P13" s="404">
        <f t="shared" ca="1" si="9"/>
        <v>6555119.620631068</v>
      </c>
      <c r="R13" s="124">
        <f t="shared" ref="R13:R22" si="32">+EOMONTH(R12,12)</f>
        <v>46387</v>
      </c>
      <c r="S13" s="117">
        <f>+IF(R13&gt;=X$9,'Taxes and TIF'!S12+1,'Taxes and TIF'!S12)</f>
        <v>1</v>
      </c>
      <c r="T13" s="42">
        <f>+T12</f>
        <v>81611947</v>
      </c>
      <c r="U13" s="116">
        <f t="shared" ref="U13:U22" si="33">+U12*(1+IF($A13=0,$D$2,0))</f>
        <v>1</v>
      </c>
      <c r="V13" s="42">
        <f ca="1">+IF(R13&gt;=X$9,AA$9,0)*U13</f>
        <v>144519192.37079716</v>
      </c>
      <c r="W13" s="108">
        <f t="shared" ref="W13:W22" si="34">+W12</f>
        <v>0.35</v>
      </c>
      <c r="X13" s="42">
        <f t="shared" ref="X13:X22" ca="1" si="35">+V13*W13</f>
        <v>50581717.329778999</v>
      </c>
      <c r="Y13" s="49">
        <f t="shared" ref="Y13:Y22" si="36">+Y12</f>
        <v>96.515600000000006</v>
      </c>
      <c r="Z13" s="42">
        <f t="shared" ref="Z13:Z22" ca="1" si="37">+MAX(Y13*X13/1000-AB13,0)</f>
        <v>2125035.685958398</v>
      </c>
      <c r="AA13" s="108">
        <f t="shared" ref="AA13:AA22" si="38">+AA12</f>
        <v>0.25</v>
      </c>
      <c r="AB13" s="42">
        <f t="shared" ref="AB13:AB15" si="39">AB12</f>
        <v>2756889.1111556203</v>
      </c>
      <c r="AC13" s="42">
        <f>AC12</f>
        <v>2756889.1111556203</v>
      </c>
      <c r="AD13" s="42">
        <f t="shared" ref="AD13:AD22" ca="1" si="40">+Z13*(1-AA13)</f>
        <v>1593776.7644687984</v>
      </c>
      <c r="AE13" s="42">
        <f t="shared" ref="AE13:AE22" ca="1" si="41">+AD13/$D$4</f>
        <v>1225982.1265144602</v>
      </c>
      <c r="AF13" s="404">
        <f t="shared" ca="1" si="14"/>
        <v>1225982.1265144602</v>
      </c>
      <c r="AG13" s="124">
        <f t="shared" ref="AG13:AG22" si="42">+EOMONTH(AG12,12)</f>
        <v>47118</v>
      </c>
      <c r="AH13" s="117">
        <f>+IF(AG13&gt;=AM$9,'Taxes and TIF'!AH12+1,'Taxes and TIF'!AH12)</f>
        <v>0</v>
      </c>
      <c r="AI13" s="42">
        <f t="shared" ref="AI13:AI22" si="43">+AI12</f>
        <v>58166088.88800668</v>
      </c>
      <c r="AJ13" s="116">
        <f t="shared" ref="AJ13:AJ22" si="44">+AJ12*(1+IF($A13=0,$D$2,0))</f>
        <v>1</v>
      </c>
      <c r="AK13" s="42">
        <f t="shared" ref="AK13:AK22" si="45">+IF(AG13&gt;=AM$9,AP$9,0)*AJ13</f>
        <v>0</v>
      </c>
      <c r="AL13" s="108">
        <f t="shared" ref="AL13:AL22" si="46">+AL12</f>
        <v>0.35</v>
      </c>
      <c r="AM13" s="42">
        <f t="shared" ref="AM13:AM22" si="47">+AK13*AL13</f>
        <v>0</v>
      </c>
      <c r="AN13" s="49">
        <f t="shared" ref="AN13:AN22" si="48">+AN12</f>
        <v>96.515600000000006</v>
      </c>
      <c r="AO13" s="42">
        <f t="shared" si="17"/>
        <v>0</v>
      </c>
      <c r="AP13" s="108">
        <f t="shared" ref="AP13:AP22" si="49">+AP12</f>
        <v>0.25</v>
      </c>
      <c r="AQ13" s="42">
        <f t="shared" si="18"/>
        <v>1964877.2390377542</v>
      </c>
      <c r="AR13" s="42">
        <f t="shared" si="19"/>
        <v>1964877.2390377542</v>
      </c>
      <c r="AS13" s="42">
        <f t="shared" ref="AS13:AS22" si="50">+AO13*(1-AP13)</f>
        <v>0</v>
      </c>
      <c r="AT13" s="42">
        <f t="shared" ref="AT13:AT22" si="51">+AS13/$D$4</f>
        <v>0</v>
      </c>
      <c r="AU13" s="404" t="str">
        <f t="shared" si="21"/>
        <v/>
      </c>
    </row>
    <row r="14" spans="1:47" ht="16" customHeight="1">
      <c r="A14" s="110">
        <f t="shared" si="6"/>
        <v>0</v>
      </c>
      <c r="B14" s="124">
        <f t="shared" si="22"/>
        <v>46022</v>
      </c>
      <c r="C14" s="117">
        <f>+IF(B14&gt;=H$9,'Taxes and TIF'!C13+1,'Taxes and TIF'!C13)</f>
        <v>2</v>
      </c>
      <c r="D14" s="42">
        <f t="shared" si="23"/>
        <v>23715535.868793033</v>
      </c>
      <c r="E14" s="116">
        <f t="shared" si="24"/>
        <v>1.02</v>
      </c>
      <c r="F14" s="42">
        <f ca="1">+IF(B14&gt;=H$9,K$9,0)*E14</f>
        <v>366797053.68340319</v>
      </c>
      <c r="G14" s="108">
        <f t="shared" si="25"/>
        <v>0.35</v>
      </c>
      <c r="H14" s="42">
        <f ca="1">+F14*G14</f>
        <v>128378968.78919111</v>
      </c>
      <c r="I14" s="49">
        <f t="shared" si="26"/>
        <v>96.515600000000006</v>
      </c>
      <c r="J14" s="42">
        <f t="shared" ca="1" si="27"/>
        <v>11589451.489275727</v>
      </c>
      <c r="K14" s="108">
        <f t="shared" si="28"/>
        <v>0.25</v>
      </c>
      <c r="L14" s="42">
        <f t="shared" si="1"/>
        <v>801121.71079432836</v>
      </c>
      <c r="M14" s="42">
        <f t="shared" ca="1" si="29"/>
        <v>12390573.200070055</v>
      </c>
      <c r="N14" s="42">
        <f t="shared" ca="1" si="30"/>
        <v>8692088.6169567965</v>
      </c>
      <c r="O14" s="42">
        <f t="shared" ca="1" si="31"/>
        <v>6686222.0130436895</v>
      </c>
      <c r="P14" s="404">
        <f t="shared" ca="1" si="9"/>
        <v>6686222.0130436895</v>
      </c>
      <c r="R14" s="124">
        <f t="shared" si="32"/>
        <v>46752</v>
      </c>
      <c r="S14" s="117">
        <f>+IF(R14&gt;=X$9,'Taxes and TIF'!S13+1,'Taxes and TIF'!S13)</f>
        <v>2</v>
      </c>
      <c r="T14" s="42">
        <f>+T13</f>
        <v>81611947</v>
      </c>
      <c r="U14" s="116">
        <f t="shared" si="33"/>
        <v>1.02</v>
      </c>
      <c r="V14" s="42">
        <f ca="1">+IF(R14&gt;=X$9,AA$9,0)*U14</f>
        <v>147409576.21821311</v>
      </c>
      <c r="W14" s="108">
        <f t="shared" si="34"/>
        <v>0.35</v>
      </c>
      <c r="X14" s="42">
        <f t="shared" ca="1" si="35"/>
        <v>51593351.676374584</v>
      </c>
      <c r="Y14" s="49">
        <f t="shared" si="36"/>
        <v>96.515600000000006</v>
      </c>
      <c r="Z14" s="42">
        <f t="shared" ca="1" si="37"/>
        <v>2222674.1819006787</v>
      </c>
      <c r="AA14" s="108">
        <f t="shared" si="38"/>
        <v>0.25</v>
      </c>
      <c r="AB14" s="42">
        <f t="shared" si="39"/>
        <v>2756889.1111556203</v>
      </c>
      <c r="AC14" s="42">
        <f>AC13</f>
        <v>2756889.1111556203</v>
      </c>
      <c r="AD14" s="42">
        <f t="shared" ca="1" si="40"/>
        <v>1667005.6364255091</v>
      </c>
      <c r="AE14" s="42">
        <f t="shared" ca="1" si="41"/>
        <v>1282312.0280196224</v>
      </c>
      <c r="AF14" s="404">
        <f t="shared" ca="1" si="14"/>
        <v>1282312.0280196224</v>
      </c>
      <c r="AG14" s="124">
        <f t="shared" si="42"/>
        <v>47483</v>
      </c>
      <c r="AH14" s="117">
        <f>+IF(AG14&gt;=AM$9,'Taxes and TIF'!AH13+1,'Taxes and TIF'!AH13)</f>
        <v>1</v>
      </c>
      <c r="AI14" s="42">
        <f t="shared" si="43"/>
        <v>58166088.88800668</v>
      </c>
      <c r="AJ14" s="116">
        <f t="shared" si="44"/>
        <v>1.02</v>
      </c>
      <c r="AK14" s="42">
        <f ca="1">+IF(AG14&gt;=AM$9,AP$9,0)*AJ14</f>
        <v>387905478.86396652</v>
      </c>
      <c r="AL14" s="108">
        <f t="shared" si="46"/>
        <v>0.35</v>
      </c>
      <c r="AM14" s="42">
        <f t="shared" ca="1" si="47"/>
        <v>135766917.60238826</v>
      </c>
      <c r="AN14" s="49">
        <f t="shared" si="48"/>
        <v>96.515600000000006</v>
      </c>
      <c r="AO14" s="42">
        <f t="shared" ca="1" si="17"/>
        <v>11138748.27350731</v>
      </c>
      <c r="AP14" s="108">
        <f t="shared" si="49"/>
        <v>0.25</v>
      </c>
      <c r="AQ14" s="42">
        <f t="shared" si="18"/>
        <v>1964877.2390377542</v>
      </c>
      <c r="AR14" s="42">
        <f t="shared" ca="1" si="19"/>
        <v>13103625.512545064</v>
      </c>
      <c r="AS14" s="42">
        <f t="shared" ca="1" si="50"/>
        <v>8354061.2051304821</v>
      </c>
      <c r="AT14" s="42">
        <f t="shared" ca="1" si="51"/>
        <v>6426200.9270234471</v>
      </c>
      <c r="AU14" s="404">
        <f t="shared" ca="1" si="21"/>
        <v>6426200.9270234471</v>
      </c>
    </row>
    <row r="15" spans="1:47" ht="16" customHeight="1">
      <c r="A15" s="110">
        <f t="shared" si="6"/>
        <v>1</v>
      </c>
      <c r="B15" s="124">
        <f t="shared" si="22"/>
        <v>46387</v>
      </c>
      <c r="C15" s="117">
        <f>+IF(B15&gt;=H$9,'Taxes and TIF'!C14+1,'Taxes and TIF'!C14)</f>
        <v>3</v>
      </c>
      <c r="D15" s="42">
        <f t="shared" si="23"/>
        <v>23715535.868793033</v>
      </c>
      <c r="E15" s="116">
        <f t="shared" si="24"/>
        <v>1.02</v>
      </c>
      <c r="F15" s="42">
        <f t="shared" ca="1" si="7"/>
        <v>366797053.68340319</v>
      </c>
      <c r="G15" s="108">
        <f t="shared" si="25"/>
        <v>0.35</v>
      </c>
      <c r="H15" s="42">
        <f t="shared" ca="1" si="0"/>
        <v>128378968.78919111</v>
      </c>
      <c r="I15" s="49">
        <f t="shared" si="26"/>
        <v>96.515600000000006</v>
      </c>
      <c r="J15" s="42">
        <f t="shared" ca="1" si="27"/>
        <v>11589451.489275727</v>
      </c>
      <c r="K15" s="108">
        <f t="shared" si="28"/>
        <v>0.25</v>
      </c>
      <c r="L15" s="42">
        <f t="shared" si="1"/>
        <v>801121.71079432836</v>
      </c>
      <c r="M15" s="42">
        <f t="shared" ca="1" si="29"/>
        <v>12390573.200070055</v>
      </c>
      <c r="N15" s="42">
        <f t="shared" ca="1" si="30"/>
        <v>8692088.6169567965</v>
      </c>
      <c r="O15" s="42">
        <f t="shared" ca="1" si="31"/>
        <v>6686222.0130436895</v>
      </c>
      <c r="P15" s="404">
        <f t="shared" ca="1" si="9"/>
        <v>6686222.0130436895</v>
      </c>
      <c r="R15" s="124">
        <f t="shared" si="32"/>
        <v>47118</v>
      </c>
      <c r="S15" s="117">
        <f>+IF(R15&gt;=X$9,'Taxes and TIF'!S14+1,'Taxes and TIF'!S14)</f>
        <v>3</v>
      </c>
      <c r="T15" s="42">
        <f>+T14</f>
        <v>81611947</v>
      </c>
      <c r="U15" s="116">
        <f>+U14*(1+IF($A15=0,$D$2,0))</f>
        <v>1.02</v>
      </c>
      <c r="V15" s="42">
        <f ca="1">+IF(R15&gt;=X$9,AA$9,0)*U15</f>
        <v>147409576.21821311</v>
      </c>
      <c r="W15" s="108">
        <f>+W14</f>
        <v>0.35</v>
      </c>
      <c r="X15" s="42">
        <f ca="1">+V15*W15</f>
        <v>51593351.676374584</v>
      </c>
      <c r="Y15" s="49">
        <f t="shared" si="36"/>
        <v>96.515600000000006</v>
      </c>
      <c r="Z15" s="42">
        <f ca="1">+MAX(Y15*X15/1000-AB15,0)</f>
        <v>2222674.1819006787</v>
      </c>
      <c r="AA15" s="108">
        <f t="shared" si="38"/>
        <v>0.25</v>
      </c>
      <c r="AB15" s="42">
        <f t="shared" si="39"/>
        <v>2756889.1111556203</v>
      </c>
      <c r="AC15" s="42">
        <f t="shared" ref="AC15:AC45" si="52">AC14</f>
        <v>2756889.1111556203</v>
      </c>
      <c r="AD15" s="42">
        <f t="shared" ca="1" si="40"/>
        <v>1667005.6364255091</v>
      </c>
      <c r="AE15" s="42">
        <f t="shared" ca="1" si="41"/>
        <v>1282312.0280196224</v>
      </c>
      <c r="AF15" s="404">
        <f t="shared" ca="1" si="14"/>
        <v>1282312.0280196224</v>
      </c>
      <c r="AG15" s="124">
        <f t="shared" si="42"/>
        <v>47848</v>
      </c>
      <c r="AH15" s="117">
        <f>+IF(AG15&gt;=AM$9,'Taxes and TIF'!AH14+1,'Taxes and TIF'!AH14)</f>
        <v>2</v>
      </c>
      <c r="AI15" s="42">
        <f t="shared" si="43"/>
        <v>58166088.88800668</v>
      </c>
      <c r="AJ15" s="116">
        <f t="shared" si="44"/>
        <v>1.02</v>
      </c>
      <c r="AK15" s="42">
        <f t="shared" ca="1" si="45"/>
        <v>387905478.86396652</v>
      </c>
      <c r="AL15" s="108">
        <f t="shared" si="46"/>
        <v>0.35</v>
      </c>
      <c r="AM15" s="42">
        <f t="shared" ca="1" si="47"/>
        <v>135766917.60238826</v>
      </c>
      <c r="AN15" s="49">
        <f t="shared" si="48"/>
        <v>96.515600000000006</v>
      </c>
      <c r="AO15" s="42">
        <f t="shared" ca="1" si="17"/>
        <v>11138748.27350731</v>
      </c>
      <c r="AP15" s="108">
        <f t="shared" si="49"/>
        <v>0.25</v>
      </c>
      <c r="AQ15" s="42">
        <f t="shared" si="18"/>
        <v>1964877.2390377542</v>
      </c>
      <c r="AR15" s="42">
        <f t="shared" ca="1" si="19"/>
        <v>13103625.512545064</v>
      </c>
      <c r="AS15" s="42">
        <f t="shared" ca="1" si="50"/>
        <v>8354061.2051304821</v>
      </c>
      <c r="AT15" s="42">
        <f t="shared" ca="1" si="51"/>
        <v>6426200.9270234471</v>
      </c>
      <c r="AU15" s="404">
        <f t="shared" ca="1" si="21"/>
        <v>6426200.9270234471</v>
      </c>
    </row>
    <row r="16" spans="1:47" ht="53.25" customHeight="1">
      <c r="A16" s="110">
        <f t="shared" si="6"/>
        <v>2</v>
      </c>
      <c r="B16" s="124">
        <f t="shared" si="22"/>
        <v>46752</v>
      </c>
      <c r="C16" s="117">
        <f>+IF(B16&gt;=H$9,'Taxes and TIF'!C15+1,'Taxes and TIF'!C15)</f>
        <v>4</v>
      </c>
      <c r="D16" s="42">
        <f t="shared" si="23"/>
        <v>23715535.868793033</v>
      </c>
      <c r="E16" s="116">
        <f t="shared" si="24"/>
        <v>1.02</v>
      </c>
      <c r="F16" s="42">
        <f t="shared" ca="1" si="7"/>
        <v>366797053.68340319</v>
      </c>
      <c r="G16" s="108">
        <f t="shared" si="25"/>
        <v>0.35</v>
      </c>
      <c r="H16" s="42">
        <f t="shared" ca="1" si="0"/>
        <v>128378968.78919111</v>
      </c>
      <c r="I16" s="49">
        <f t="shared" si="26"/>
        <v>96.515600000000006</v>
      </c>
      <c r="J16" s="42">
        <f t="shared" ca="1" si="27"/>
        <v>11589451.489275727</v>
      </c>
      <c r="K16" s="108">
        <f t="shared" si="28"/>
        <v>0.25</v>
      </c>
      <c r="L16" s="42">
        <f t="shared" si="1"/>
        <v>801121.71079432836</v>
      </c>
      <c r="M16" s="42">
        <f t="shared" ca="1" si="29"/>
        <v>12390573.200070055</v>
      </c>
      <c r="N16" s="42">
        <f t="shared" ca="1" si="30"/>
        <v>8692088.6169567965</v>
      </c>
      <c r="O16" s="42">
        <f t="shared" ca="1" si="31"/>
        <v>6686222.0130436895</v>
      </c>
      <c r="P16" s="404">
        <f t="shared" ca="1" si="9"/>
        <v>6686222.0130436895</v>
      </c>
      <c r="R16" s="124">
        <f t="shared" si="32"/>
        <v>47483</v>
      </c>
      <c r="S16" s="117">
        <f>+IF(R16&gt;=X$9,'Taxes and TIF'!S15+1,'Taxes and TIF'!S15)</f>
        <v>4</v>
      </c>
      <c r="T16" s="42">
        <f t="shared" ref="T16:T22" si="53">+T15</f>
        <v>81611947</v>
      </c>
      <c r="U16" s="116">
        <f t="shared" si="33"/>
        <v>1.02</v>
      </c>
      <c r="V16" s="42">
        <f t="shared" ref="V16:V22" ca="1" si="54">+IF(R16&gt;=X$9,AA$9,0)*U16</f>
        <v>147409576.21821311</v>
      </c>
      <c r="W16" s="108">
        <f t="shared" si="34"/>
        <v>0.35</v>
      </c>
      <c r="X16" s="42">
        <f t="shared" ca="1" si="35"/>
        <v>51593351.676374584</v>
      </c>
      <c r="Y16" s="49">
        <f t="shared" si="36"/>
        <v>96.515600000000006</v>
      </c>
      <c r="Z16" s="42">
        <f t="shared" ca="1" si="37"/>
        <v>2222674.1819006787</v>
      </c>
      <c r="AA16" s="108">
        <f t="shared" si="38"/>
        <v>0.25</v>
      </c>
      <c r="AB16" s="42">
        <f t="shared" ref="AB16:AB22" si="55">+T16*W16*Y16/1000</f>
        <v>2756889.1111556203</v>
      </c>
      <c r="AC16" s="42">
        <f t="shared" si="52"/>
        <v>2756889.1111556203</v>
      </c>
      <c r="AD16" s="42">
        <f t="shared" ca="1" si="40"/>
        <v>1667005.6364255091</v>
      </c>
      <c r="AE16" s="42">
        <f t="shared" ca="1" si="41"/>
        <v>1282312.0280196224</v>
      </c>
      <c r="AF16" s="404">
        <f t="shared" ca="1" si="14"/>
        <v>1282312.0280196224</v>
      </c>
      <c r="AG16" s="124">
        <f t="shared" si="42"/>
        <v>48213</v>
      </c>
      <c r="AH16" s="117">
        <f>+IF(AG16&gt;=AM$9,'Taxes and TIF'!AH15+1,'Taxes and TIF'!AH15)</f>
        <v>3</v>
      </c>
      <c r="AI16" s="42">
        <f t="shared" si="43"/>
        <v>58166088.88800668</v>
      </c>
      <c r="AJ16" s="116">
        <f t="shared" si="44"/>
        <v>1.02</v>
      </c>
      <c r="AK16" s="42">
        <f t="shared" ca="1" si="45"/>
        <v>387905478.86396652</v>
      </c>
      <c r="AL16" s="108">
        <f t="shared" si="46"/>
        <v>0.35</v>
      </c>
      <c r="AM16" s="42">
        <f t="shared" ca="1" si="47"/>
        <v>135766917.60238826</v>
      </c>
      <c r="AN16" s="49">
        <f t="shared" si="48"/>
        <v>96.515600000000006</v>
      </c>
      <c r="AO16" s="42">
        <f t="shared" ca="1" si="17"/>
        <v>11138748.27350731</v>
      </c>
      <c r="AP16" s="108">
        <f t="shared" si="49"/>
        <v>0.25</v>
      </c>
      <c r="AQ16" s="42">
        <f>AQ15</f>
        <v>1964877.2390377542</v>
      </c>
      <c r="AR16" s="42">
        <f t="shared" ca="1" si="19"/>
        <v>13103625.512545064</v>
      </c>
      <c r="AS16" s="42">
        <f t="shared" ca="1" si="50"/>
        <v>8354061.2051304821</v>
      </c>
      <c r="AT16" s="42">
        <f t="shared" ca="1" si="51"/>
        <v>6426200.9270234471</v>
      </c>
      <c r="AU16" s="404">
        <f t="shared" ca="1" si="21"/>
        <v>6426200.9270234471</v>
      </c>
    </row>
    <row r="17" spans="1:47" s="207" customFormat="1" ht="16" customHeight="1">
      <c r="A17" s="110">
        <f t="shared" si="6"/>
        <v>0</v>
      </c>
      <c r="B17" s="124">
        <f t="shared" si="22"/>
        <v>47118</v>
      </c>
      <c r="C17" s="117">
        <f>+IF(B17&gt;=H$9,'Taxes and TIF'!C16+1,'Taxes and TIF'!C16)</f>
        <v>5</v>
      </c>
      <c r="D17" s="42">
        <f t="shared" si="23"/>
        <v>24189846.586168893</v>
      </c>
      <c r="E17" s="116">
        <f t="shared" si="24"/>
        <v>1.0404</v>
      </c>
      <c r="F17" s="42">
        <f t="shared" ca="1" si="7"/>
        <v>374132994.75707126</v>
      </c>
      <c r="G17" s="108">
        <f t="shared" si="25"/>
        <v>0.35</v>
      </c>
      <c r="H17" s="42">
        <f t="shared" ca="1" si="0"/>
        <v>130946548.16497493</v>
      </c>
      <c r="I17" s="49">
        <f t="shared" si="26"/>
        <v>96.515600000000006</v>
      </c>
      <c r="J17" s="42">
        <f t="shared" ca="1" si="27"/>
        <v>11821240.519061241</v>
      </c>
      <c r="K17" s="108">
        <f t="shared" si="28"/>
        <v>0.25</v>
      </c>
      <c r="L17" s="42">
        <f t="shared" si="1"/>
        <v>817144.14501021488</v>
      </c>
      <c r="M17" s="42">
        <f t="shared" ca="1" si="29"/>
        <v>12638384.664071456</v>
      </c>
      <c r="N17" s="42">
        <f t="shared" ca="1" si="30"/>
        <v>8865930.3892959319</v>
      </c>
      <c r="O17" s="42">
        <f t="shared" ca="1" si="31"/>
        <v>6819946.4533045627</v>
      </c>
      <c r="P17" s="404">
        <f t="shared" ca="1" si="9"/>
        <v>6819946.4533045627</v>
      </c>
      <c r="Q17" s="41"/>
      <c r="R17" s="124">
        <f t="shared" si="32"/>
        <v>47848</v>
      </c>
      <c r="S17" s="117">
        <f>+IF(R17&gt;=X$9,'Taxes and TIF'!S16+1,'Taxes and TIF'!S16)</f>
        <v>5</v>
      </c>
      <c r="T17" s="42">
        <f t="shared" si="53"/>
        <v>81611947</v>
      </c>
      <c r="U17" s="116">
        <f t="shared" si="33"/>
        <v>1.0404</v>
      </c>
      <c r="V17" s="42">
        <f t="shared" ca="1" si="54"/>
        <v>150357767.74257737</v>
      </c>
      <c r="W17" s="108">
        <f t="shared" si="34"/>
        <v>0.35</v>
      </c>
      <c r="X17" s="42">
        <f t="shared" ca="1" si="35"/>
        <v>52625218.709902078</v>
      </c>
      <c r="Y17" s="49">
        <f t="shared" si="36"/>
        <v>96.515600000000006</v>
      </c>
      <c r="Z17" s="42">
        <f t="shared" ca="1" si="37"/>
        <v>2322265.4477618053</v>
      </c>
      <c r="AA17" s="108">
        <f t="shared" si="38"/>
        <v>0.25</v>
      </c>
      <c r="AB17" s="42">
        <f t="shared" si="55"/>
        <v>2756889.1111556203</v>
      </c>
      <c r="AC17" s="42">
        <f t="shared" si="52"/>
        <v>2756889.1111556203</v>
      </c>
      <c r="AD17" s="42">
        <f t="shared" ca="1" si="40"/>
        <v>1741699.0858213538</v>
      </c>
      <c r="AE17" s="42">
        <f t="shared" ca="1" si="41"/>
        <v>1339768.5275548876</v>
      </c>
      <c r="AF17" s="404">
        <f t="shared" ca="1" si="14"/>
        <v>1339768.5275548876</v>
      </c>
      <c r="AG17" s="124">
        <f t="shared" si="42"/>
        <v>48579</v>
      </c>
      <c r="AH17" s="117">
        <f>+IF(AG17&gt;=AM$9,'Taxes and TIF'!AH16+1,'Taxes and TIF'!AH16)</f>
        <v>4</v>
      </c>
      <c r="AI17" s="42">
        <f t="shared" si="43"/>
        <v>58166088.88800668</v>
      </c>
      <c r="AJ17" s="116">
        <f t="shared" si="44"/>
        <v>1.0404</v>
      </c>
      <c r="AK17" s="42">
        <f t="shared" ca="1" si="45"/>
        <v>395663588.44124579</v>
      </c>
      <c r="AL17" s="108">
        <f t="shared" si="46"/>
        <v>0.35</v>
      </c>
      <c r="AM17" s="42">
        <f t="shared" ca="1" si="47"/>
        <v>138482255.95443603</v>
      </c>
      <c r="AN17" s="49">
        <f t="shared" si="48"/>
        <v>96.515600000000006</v>
      </c>
      <c r="AO17" s="42">
        <f t="shared" ca="1" si="17"/>
        <v>11400820.783758214</v>
      </c>
      <c r="AP17" s="108">
        <f t="shared" si="49"/>
        <v>0.25</v>
      </c>
      <c r="AQ17" s="42">
        <f t="shared" ref="AQ17:AQ45" si="56">AQ16</f>
        <v>1964877.2390377542</v>
      </c>
      <c r="AR17" s="42">
        <f t="shared" ca="1" si="19"/>
        <v>13365698.022795968</v>
      </c>
      <c r="AS17" s="42">
        <f t="shared" ca="1" si="50"/>
        <v>8550615.5878186598</v>
      </c>
      <c r="AT17" s="42">
        <f t="shared" ca="1" si="51"/>
        <v>6577396.6060143532</v>
      </c>
      <c r="AU17" s="404">
        <f t="shared" ca="1" si="21"/>
        <v>6577396.6060143532</v>
      </c>
    </row>
    <row r="18" spans="1:47" ht="16" customHeight="1">
      <c r="A18" s="110">
        <f t="shared" ref="A18:A45" si="57">+MOD(A17+1,$D$3)</f>
        <v>1</v>
      </c>
      <c r="B18" s="124">
        <f t="shared" si="22"/>
        <v>47483</v>
      </c>
      <c r="C18" s="117">
        <f>+IF(B18&gt;=H$9,'Taxes and TIF'!C17+1,'Taxes and TIF'!C17)</f>
        <v>6</v>
      </c>
      <c r="D18" s="42">
        <f t="shared" si="23"/>
        <v>24189846.586168893</v>
      </c>
      <c r="E18" s="116">
        <f t="shared" si="24"/>
        <v>1.0404</v>
      </c>
      <c r="F18" s="42">
        <f t="shared" ca="1" si="7"/>
        <v>374132994.75707126</v>
      </c>
      <c r="G18" s="108">
        <f t="shared" si="25"/>
        <v>0.35</v>
      </c>
      <c r="H18" s="42">
        <f t="shared" ca="1" si="0"/>
        <v>130946548.16497493</v>
      </c>
      <c r="I18" s="49">
        <f t="shared" si="26"/>
        <v>96.515600000000006</v>
      </c>
      <c r="J18" s="42">
        <f t="shared" ca="1" si="27"/>
        <v>11821240.519061241</v>
      </c>
      <c r="K18" s="108">
        <f t="shared" si="28"/>
        <v>0.25</v>
      </c>
      <c r="L18" s="42">
        <f t="shared" si="1"/>
        <v>817144.14501021488</v>
      </c>
      <c r="M18" s="42">
        <f t="shared" ca="1" si="29"/>
        <v>12638384.664071456</v>
      </c>
      <c r="N18" s="42">
        <f t="shared" ca="1" si="30"/>
        <v>8865930.3892959319</v>
      </c>
      <c r="O18" s="42">
        <f t="shared" ca="1" si="31"/>
        <v>6819946.4533045627</v>
      </c>
      <c r="P18" s="404">
        <f t="shared" ca="1" si="9"/>
        <v>6819946.4533045627</v>
      </c>
      <c r="R18" s="124">
        <f t="shared" si="32"/>
        <v>48213</v>
      </c>
      <c r="S18" s="117">
        <f>+IF(R18&gt;=X$9,'Taxes and TIF'!S17+1,'Taxes and TIF'!S17)</f>
        <v>6</v>
      </c>
      <c r="T18" s="42">
        <f t="shared" si="53"/>
        <v>81611947</v>
      </c>
      <c r="U18" s="116">
        <f t="shared" si="33"/>
        <v>1.0404</v>
      </c>
      <c r="V18" s="42">
        <f t="shared" ca="1" si="54"/>
        <v>150357767.74257737</v>
      </c>
      <c r="W18" s="108">
        <f t="shared" si="34"/>
        <v>0.35</v>
      </c>
      <c r="X18" s="42">
        <f t="shared" ca="1" si="35"/>
        <v>52625218.709902078</v>
      </c>
      <c r="Y18" s="49">
        <f t="shared" si="36"/>
        <v>96.515600000000006</v>
      </c>
      <c r="Z18" s="42">
        <f t="shared" ca="1" si="37"/>
        <v>2322265.4477618053</v>
      </c>
      <c r="AA18" s="108">
        <f t="shared" si="38"/>
        <v>0.25</v>
      </c>
      <c r="AB18" s="42">
        <f t="shared" si="55"/>
        <v>2756889.1111556203</v>
      </c>
      <c r="AC18" s="42">
        <f t="shared" si="52"/>
        <v>2756889.1111556203</v>
      </c>
      <c r="AD18" s="42">
        <f t="shared" ca="1" si="40"/>
        <v>1741699.0858213538</v>
      </c>
      <c r="AE18" s="42">
        <f t="shared" ca="1" si="41"/>
        <v>1339768.5275548876</v>
      </c>
      <c r="AF18" s="404">
        <f t="shared" ca="1" si="14"/>
        <v>1339768.5275548876</v>
      </c>
      <c r="AG18" s="124">
        <f t="shared" si="42"/>
        <v>48944</v>
      </c>
      <c r="AH18" s="117">
        <f>+IF(AG18&gt;=AM$9,'Taxes and TIF'!AH17+1,'Taxes and TIF'!AH17)</f>
        <v>5</v>
      </c>
      <c r="AI18" s="42">
        <f t="shared" si="43"/>
        <v>58166088.88800668</v>
      </c>
      <c r="AJ18" s="116">
        <f t="shared" si="44"/>
        <v>1.0404</v>
      </c>
      <c r="AK18" s="42">
        <f t="shared" ca="1" si="45"/>
        <v>395663588.44124579</v>
      </c>
      <c r="AL18" s="108">
        <f t="shared" si="46"/>
        <v>0.35</v>
      </c>
      <c r="AM18" s="42">
        <f t="shared" ca="1" si="47"/>
        <v>138482255.95443603</v>
      </c>
      <c r="AN18" s="49">
        <f t="shared" si="48"/>
        <v>96.515600000000006</v>
      </c>
      <c r="AO18" s="42">
        <f t="shared" ca="1" si="17"/>
        <v>11400820.783758214</v>
      </c>
      <c r="AP18" s="108">
        <f t="shared" si="49"/>
        <v>0.25</v>
      </c>
      <c r="AQ18" s="42">
        <f t="shared" si="56"/>
        <v>1964877.2390377542</v>
      </c>
      <c r="AR18" s="42">
        <f t="shared" ca="1" si="19"/>
        <v>13365698.022795968</v>
      </c>
      <c r="AS18" s="42">
        <f t="shared" ca="1" si="50"/>
        <v>8550615.5878186598</v>
      </c>
      <c r="AT18" s="42">
        <f t="shared" ca="1" si="51"/>
        <v>6577396.6060143532</v>
      </c>
      <c r="AU18" s="404">
        <f t="shared" ca="1" si="21"/>
        <v>6577396.6060143532</v>
      </c>
    </row>
    <row r="19" spans="1:47" ht="16" customHeight="1">
      <c r="A19" s="110">
        <f t="shared" si="57"/>
        <v>2</v>
      </c>
      <c r="B19" s="124">
        <f t="shared" si="22"/>
        <v>47848</v>
      </c>
      <c r="C19" s="117">
        <f>+IF(B19&gt;=H$9,'Taxes and TIF'!C18+1,'Taxes and TIF'!C18)</f>
        <v>7</v>
      </c>
      <c r="D19" s="42">
        <f t="shared" si="23"/>
        <v>24189846.586168893</v>
      </c>
      <c r="E19" s="116">
        <f t="shared" si="24"/>
        <v>1.0404</v>
      </c>
      <c r="F19" s="42">
        <f t="shared" ca="1" si="7"/>
        <v>374132994.75707126</v>
      </c>
      <c r="G19" s="108">
        <f t="shared" si="25"/>
        <v>0.35</v>
      </c>
      <c r="H19" s="42">
        <f t="shared" ca="1" si="0"/>
        <v>130946548.16497493</v>
      </c>
      <c r="I19" s="49">
        <f t="shared" si="26"/>
        <v>96.515600000000006</v>
      </c>
      <c r="J19" s="42">
        <f t="shared" ca="1" si="27"/>
        <v>11821240.519061241</v>
      </c>
      <c r="K19" s="108">
        <f t="shared" si="28"/>
        <v>0.25</v>
      </c>
      <c r="L19" s="42">
        <f t="shared" si="1"/>
        <v>817144.14501021488</v>
      </c>
      <c r="M19" s="42">
        <f t="shared" ca="1" si="29"/>
        <v>12638384.664071456</v>
      </c>
      <c r="N19" s="42">
        <f t="shared" ca="1" si="30"/>
        <v>8865930.3892959319</v>
      </c>
      <c r="O19" s="42">
        <f t="shared" ca="1" si="31"/>
        <v>6819946.4533045627</v>
      </c>
      <c r="P19" s="404">
        <f t="shared" ca="1" si="9"/>
        <v>6819946.4533045627</v>
      </c>
      <c r="R19" s="124">
        <f t="shared" si="32"/>
        <v>48579</v>
      </c>
      <c r="S19" s="117">
        <f>+IF(R19&gt;=X$9,'Taxes and TIF'!S18+1,'Taxes and TIF'!S18)</f>
        <v>7</v>
      </c>
      <c r="T19" s="42">
        <f t="shared" si="53"/>
        <v>81611947</v>
      </c>
      <c r="U19" s="116">
        <f t="shared" si="33"/>
        <v>1.0404</v>
      </c>
      <c r="V19" s="42">
        <f t="shared" ca="1" si="54"/>
        <v>150357767.74257737</v>
      </c>
      <c r="W19" s="108">
        <f t="shared" si="34"/>
        <v>0.35</v>
      </c>
      <c r="X19" s="42">
        <f t="shared" ca="1" si="35"/>
        <v>52625218.709902078</v>
      </c>
      <c r="Y19" s="49">
        <f t="shared" si="36"/>
        <v>96.515600000000006</v>
      </c>
      <c r="Z19" s="42">
        <f t="shared" ca="1" si="37"/>
        <v>2322265.4477618053</v>
      </c>
      <c r="AA19" s="108">
        <f t="shared" si="38"/>
        <v>0.25</v>
      </c>
      <c r="AB19" s="42">
        <f t="shared" si="55"/>
        <v>2756889.1111556203</v>
      </c>
      <c r="AC19" s="42">
        <f t="shared" si="52"/>
        <v>2756889.1111556203</v>
      </c>
      <c r="AD19" s="42">
        <f t="shared" ca="1" si="40"/>
        <v>1741699.0858213538</v>
      </c>
      <c r="AE19" s="42">
        <f t="shared" ca="1" si="41"/>
        <v>1339768.5275548876</v>
      </c>
      <c r="AF19" s="404">
        <f t="shared" ca="1" si="14"/>
        <v>1339768.5275548876</v>
      </c>
      <c r="AG19" s="124">
        <f t="shared" si="42"/>
        <v>49309</v>
      </c>
      <c r="AH19" s="117">
        <f>+IF(AG19&gt;=AM$9,'Taxes and TIF'!AH18+1,'Taxes and TIF'!AH18)</f>
        <v>6</v>
      </c>
      <c r="AI19" s="42">
        <f t="shared" si="43"/>
        <v>58166088.88800668</v>
      </c>
      <c r="AJ19" s="116">
        <f t="shared" si="44"/>
        <v>1.0404</v>
      </c>
      <c r="AK19" s="42">
        <f t="shared" ca="1" si="45"/>
        <v>395663588.44124579</v>
      </c>
      <c r="AL19" s="108">
        <f t="shared" si="46"/>
        <v>0.35</v>
      </c>
      <c r="AM19" s="42">
        <f t="shared" ca="1" si="47"/>
        <v>138482255.95443603</v>
      </c>
      <c r="AN19" s="49">
        <f t="shared" si="48"/>
        <v>96.515600000000006</v>
      </c>
      <c r="AO19" s="42">
        <f t="shared" ca="1" si="17"/>
        <v>11400820.783758214</v>
      </c>
      <c r="AP19" s="108">
        <f t="shared" si="49"/>
        <v>0.25</v>
      </c>
      <c r="AQ19" s="42">
        <f t="shared" si="56"/>
        <v>1964877.2390377542</v>
      </c>
      <c r="AR19" s="42">
        <f t="shared" ca="1" si="19"/>
        <v>13365698.022795968</v>
      </c>
      <c r="AS19" s="42">
        <f t="shared" ca="1" si="50"/>
        <v>8550615.5878186598</v>
      </c>
      <c r="AT19" s="42">
        <f t="shared" ca="1" si="51"/>
        <v>6577396.6060143532</v>
      </c>
      <c r="AU19" s="404">
        <f t="shared" ca="1" si="21"/>
        <v>6577396.6060143532</v>
      </c>
    </row>
    <row r="20" spans="1:47" ht="16" customHeight="1">
      <c r="A20" s="110">
        <f t="shared" si="57"/>
        <v>0</v>
      </c>
      <c r="B20" s="124">
        <f t="shared" si="22"/>
        <v>48213</v>
      </c>
      <c r="C20" s="117">
        <f>+IF(B20&gt;=H$9,'Taxes and TIF'!C19+1,'Taxes and TIF'!C19)</f>
        <v>8</v>
      </c>
      <c r="D20" s="42">
        <f t="shared" si="23"/>
        <v>24673643.517892271</v>
      </c>
      <c r="E20" s="116">
        <f t="shared" si="24"/>
        <v>1.0612079999999999</v>
      </c>
      <c r="F20" s="42">
        <f t="shared" ca="1" si="7"/>
        <v>381615654.65221262</v>
      </c>
      <c r="G20" s="108">
        <f t="shared" si="25"/>
        <v>0.35</v>
      </c>
      <c r="H20" s="42">
        <f t="shared" ca="1" si="0"/>
        <v>133565479.12827441</v>
      </c>
      <c r="I20" s="49">
        <f t="shared" si="26"/>
        <v>96.515600000000006</v>
      </c>
      <c r="J20" s="42">
        <f t="shared" ca="1" si="27"/>
        <v>12057665.329442464</v>
      </c>
      <c r="K20" s="108">
        <f t="shared" si="28"/>
        <v>0.25</v>
      </c>
      <c r="L20" s="42">
        <f t="shared" si="1"/>
        <v>833487.02791041927</v>
      </c>
      <c r="M20" s="42">
        <f t="shared" ca="1" si="29"/>
        <v>12891152.357352883</v>
      </c>
      <c r="N20" s="42">
        <f t="shared" ca="1" si="30"/>
        <v>9043248.9970818479</v>
      </c>
      <c r="O20" s="42">
        <f t="shared" ca="1" si="31"/>
        <v>6956345.3823706517</v>
      </c>
      <c r="P20" s="404">
        <f t="shared" ca="1" si="9"/>
        <v>6956345.3823706517</v>
      </c>
      <c r="R20" s="124">
        <f t="shared" si="32"/>
        <v>48944</v>
      </c>
      <c r="S20" s="117">
        <f>+IF(R20&gt;=X$9,'Taxes and TIF'!S19+1,'Taxes and TIF'!S19)</f>
        <v>8</v>
      </c>
      <c r="T20" s="42">
        <f t="shared" si="53"/>
        <v>81611947</v>
      </c>
      <c r="U20" s="116">
        <f t="shared" si="33"/>
        <v>1.0612079999999999</v>
      </c>
      <c r="V20" s="42">
        <f t="shared" ca="1" si="54"/>
        <v>153364923.09742889</v>
      </c>
      <c r="W20" s="108">
        <f t="shared" si="34"/>
        <v>0.35</v>
      </c>
      <c r="X20" s="42">
        <f t="shared" ca="1" si="35"/>
        <v>53677723.084100105</v>
      </c>
      <c r="Y20" s="49">
        <f t="shared" si="36"/>
        <v>96.515600000000006</v>
      </c>
      <c r="Z20" s="42">
        <f t="shared" ca="1" si="37"/>
        <v>2423848.5389401526</v>
      </c>
      <c r="AA20" s="108">
        <f t="shared" si="38"/>
        <v>0.25</v>
      </c>
      <c r="AB20" s="42">
        <f t="shared" si="55"/>
        <v>2756889.1111556203</v>
      </c>
      <c r="AC20" s="42">
        <f t="shared" si="52"/>
        <v>2756889.1111556203</v>
      </c>
      <c r="AD20" s="42">
        <f t="shared" ca="1" si="40"/>
        <v>1817886.4042051146</v>
      </c>
      <c r="AE20" s="42">
        <f t="shared" ca="1" si="41"/>
        <v>1398374.1570808573</v>
      </c>
      <c r="AF20" s="404">
        <f t="shared" ca="1" si="14"/>
        <v>1398374.1570808573</v>
      </c>
      <c r="AG20" s="124">
        <f t="shared" si="42"/>
        <v>49674</v>
      </c>
      <c r="AH20" s="117">
        <f>+IF(AG20&gt;=AM$9,'Taxes and TIF'!AH19+1,'Taxes and TIF'!AH19)</f>
        <v>7</v>
      </c>
      <c r="AI20" s="42">
        <f t="shared" si="43"/>
        <v>58166088.88800668</v>
      </c>
      <c r="AJ20" s="116">
        <f t="shared" si="44"/>
        <v>1.0612079999999999</v>
      </c>
      <c r="AK20" s="42">
        <f t="shared" ca="1" si="45"/>
        <v>403576860.21007073</v>
      </c>
      <c r="AL20" s="108">
        <f t="shared" si="46"/>
        <v>0.35</v>
      </c>
      <c r="AM20" s="42">
        <f t="shared" ca="1" si="47"/>
        <v>141251901.07352474</v>
      </c>
      <c r="AN20" s="49">
        <f t="shared" si="48"/>
        <v>96.515600000000006</v>
      </c>
      <c r="AO20" s="42">
        <f t="shared" ca="1" si="17"/>
        <v>11668134.744214132</v>
      </c>
      <c r="AP20" s="108">
        <f t="shared" si="49"/>
        <v>0.25</v>
      </c>
      <c r="AQ20" s="42">
        <f t="shared" si="56"/>
        <v>1964877.2390377542</v>
      </c>
      <c r="AR20" s="42">
        <f t="shared" ca="1" si="19"/>
        <v>13633011.983251886</v>
      </c>
      <c r="AS20" s="42">
        <f t="shared" ca="1" si="50"/>
        <v>8751101.0581605993</v>
      </c>
      <c r="AT20" s="42">
        <f t="shared" ca="1" si="51"/>
        <v>6731616.1985850763</v>
      </c>
      <c r="AU20" s="404">
        <f t="shared" ca="1" si="21"/>
        <v>6731616.1985850763</v>
      </c>
    </row>
    <row r="21" spans="1:47" ht="16" customHeight="1">
      <c r="A21" s="110">
        <f t="shared" si="57"/>
        <v>1</v>
      </c>
      <c r="B21" s="124">
        <f t="shared" si="22"/>
        <v>48579</v>
      </c>
      <c r="C21" s="117">
        <f>+IF(B21&gt;=H$9,'Taxes and TIF'!C20+1,'Taxes and TIF'!C20)</f>
        <v>9</v>
      </c>
      <c r="D21" s="42">
        <f t="shared" si="23"/>
        <v>24673643.517892271</v>
      </c>
      <c r="E21" s="116">
        <f t="shared" si="24"/>
        <v>1.0612079999999999</v>
      </c>
      <c r="F21" s="42">
        <f t="shared" ca="1" si="7"/>
        <v>381615654.65221262</v>
      </c>
      <c r="G21" s="108">
        <f t="shared" si="25"/>
        <v>0.35</v>
      </c>
      <c r="H21" s="42">
        <f t="shared" ca="1" si="0"/>
        <v>133565479.12827441</v>
      </c>
      <c r="I21" s="49">
        <f t="shared" si="26"/>
        <v>96.515600000000006</v>
      </c>
      <c r="J21" s="42">
        <f t="shared" ca="1" si="27"/>
        <v>12057665.329442464</v>
      </c>
      <c r="K21" s="108">
        <f t="shared" si="28"/>
        <v>0.25</v>
      </c>
      <c r="L21" s="42">
        <f t="shared" si="1"/>
        <v>833487.02791041927</v>
      </c>
      <c r="M21" s="42">
        <f t="shared" ca="1" si="29"/>
        <v>12891152.357352883</v>
      </c>
      <c r="N21" s="42">
        <f t="shared" ca="1" si="30"/>
        <v>9043248.9970818479</v>
      </c>
      <c r="O21" s="42">
        <f t="shared" ca="1" si="31"/>
        <v>6956345.3823706517</v>
      </c>
      <c r="P21" s="404">
        <f t="shared" ca="1" si="9"/>
        <v>6956345.3823706517</v>
      </c>
      <c r="R21" s="124">
        <f t="shared" si="32"/>
        <v>49309</v>
      </c>
      <c r="S21" s="117">
        <f>+IF(R21&gt;=X$9,'Taxes and TIF'!S20+1,'Taxes and TIF'!S20)</f>
        <v>9</v>
      </c>
      <c r="T21" s="42">
        <f t="shared" si="53"/>
        <v>81611947</v>
      </c>
      <c r="U21" s="116">
        <f t="shared" si="33"/>
        <v>1.0612079999999999</v>
      </c>
      <c r="V21" s="42">
        <f t="shared" ca="1" si="54"/>
        <v>153364923.09742889</v>
      </c>
      <c r="W21" s="108">
        <f t="shared" si="34"/>
        <v>0.35</v>
      </c>
      <c r="X21" s="42">
        <f t="shared" ca="1" si="35"/>
        <v>53677723.084100105</v>
      </c>
      <c r="Y21" s="49">
        <f t="shared" si="36"/>
        <v>96.515600000000006</v>
      </c>
      <c r="Z21" s="42">
        <f t="shared" ca="1" si="37"/>
        <v>2423848.5389401526</v>
      </c>
      <c r="AA21" s="108">
        <f t="shared" si="38"/>
        <v>0.25</v>
      </c>
      <c r="AB21" s="42">
        <f t="shared" si="55"/>
        <v>2756889.1111556203</v>
      </c>
      <c r="AC21" s="42">
        <f t="shared" si="52"/>
        <v>2756889.1111556203</v>
      </c>
      <c r="AD21" s="42">
        <f t="shared" ca="1" si="40"/>
        <v>1817886.4042051146</v>
      </c>
      <c r="AE21" s="42">
        <f t="shared" ca="1" si="41"/>
        <v>1398374.1570808573</v>
      </c>
      <c r="AF21" s="404">
        <f t="shared" ca="1" si="14"/>
        <v>1398374.1570808573</v>
      </c>
      <c r="AG21" s="124">
        <f t="shared" si="42"/>
        <v>50040</v>
      </c>
      <c r="AH21" s="117">
        <f>+IF(AG21&gt;=AM$9,'Taxes and TIF'!AH20+1,'Taxes and TIF'!AH20)</f>
        <v>8</v>
      </c>
      <c r="AI21" s="42">
        <f t="shared" si="43"/>
        <v>58166088.88800668</v>
      </c>
      <c r="AJ21" s="116">
        <f t="shared" si="44"/>
        <v>1.0612079999999999</v>
      </c>
      <c r="AK21" s="42">
        <f t="shared" ca="1" si="45"/>
        <v>403576860.21007073</v>
      </c>
      <c r="AL21" s="108">
        <f t="shared" si="46"/>
        <v>0.35</v>
      </c>
      <c r="AM21" s="42">
        <f t="shared" ca="1" si="47"/>
        <v>141251901.07352474</v>
      </c>
      <c r="AN21" s="49">
        <f t="shared" si="48"/>
        <v>96.515600000000006</v>
      </c>
      <c r="AO21" s="42">
        <f t="shared" ca="1" si="17"/>
        <v>11668134.744214132</v>
      </c>
      <c r="AP21" s="108">
        <f t="shared" si="49"/>
        <v>0.25</v>
      </c>
      <c r="AQ21" s="42">
        <f t="shared" si="56"/>
        <v>1964877.2390377542</v>
      </c>
      <c r="AR21" s="42">
        <f t="shared" ca="1" si="19"/>
        <v>13633011.983251886</v>
      </c>
      <c r="AS21" s="42">
        <f t="shared" ca="1" si="50"/>
        <v>8751101.0581605993</v>
      </c>
      <c r="AT21" s="42">
        <f t="shared" ca="1" si="51"/>
        <v>6731616.1985850763</v>
      </c>
      <c r="AU21" s="404">
        <f t="shared" ca="1" si="21"/>
        <v>6731616.1985850763</v>
      </c>
    </row>
    <row r="22" spans="1:47" ht="16" customHeight="1">
      <c r="A22" s="110">
        <f t="shared" si="57"/>
        <v>2</v>
      </c>
      <c r="B22" s="124">
        <f t="shared" si="22"/>
        <v>48944</v>
      </c>
      <c r="C22" s="117">
        <f>+IF(B22&gt;=H$9,'Taxes and TIF'!C21+1,'Taxes and TIF'!C21)</f>
        <v>10</v>
      </c>
      <c r="D22" s="42">
        <f t="shared" si="23"/>
        <v>24673643.517892271</v>
      </c>
      <c r="E22" s="116">
        <f t="shared" si="24"/>
        <v>1.0612079999999999</v>
      </c>
      <c r="F22" s="42">
        <f t="shared" ca="1" si="7"/>
        <v>381615654.65221262</v>
      </c>
      <c r="G22" s="108">
        <f t="shared" si="25"/>
        <v>0.35</v>
      </c>
      <c r="H22" s="42">
        <f t="shared" ca="1" si="0"/>
        <v>133565479.12827441</v>
      </c>
      <c r="I22" s="49">
        <f t="shared" si="26"/>
        <v>96.515600000000006</v>
      </c>
      <c r="J22" s="42">
        <f t="shared" ca="1" si="27"/>
        <v>12057665.329442464</v>
      </c>
      <c r="K22" s="108">
        <f t="shared" si="28"/>
        <v>0.25</v>
      </c>
      <c r="L22" s="42">
        <f t="shared" si="1"/>
        <v>833487.02791041927</v>
      </c>
      <c r="M22" s="42">
        <f t="shared" ca="1" si="29"/>
        <v>12891152.357352883</v>
      </c>
      <c r="N22" s="42">
        <f t="shared" ca="1" si="30"/>
        <v>9043248.9970818479</v>
      </c>
      <c r="O22" s="42">
        <f t="shared" ca="1" si="31"/>
        <v>6956345.3823706517</v>
      </c>
      <c r="P22" s="404">
        <f t="shared" ca="1" si="9"/>
        <v>6956345.3823706517</v>
      </c>
      <c r="R22" s="124">
        <f t="shared" si="32"/>
        <v>49674</v>
      </c>
      <c r="S22" s="117">
        <f>+IF(R22&gt;=X$9,'Taxes and TIF'!S21+1,'Taxes and TIF'!S21)</f>
        <v>10</v>
      </c>
      <c r="T22" s="42">
        <f t="shared" si="53"/>
        <v>81611947</v>
      </c>
      <c r="U22" s="116">
        <f t="shared" si="33"/>
        <v>1.0612079999999999</v>
      </c>
      <c r="V22" s="42">
        <f t="shared" ca="1" si="54"/>
        <v>153364923.09742889</v>
      </c>
      <c r="W22" s="108">
        <f t="shared" si="34"/>
        <v>0.35</v>
      </c>
      <c r="X22" s="42">
        <f t="shared" ca="1" si="35"/>
        <v>53677723.084100105</v>
      </c>
      <c r="Y22" s="49">
        <f t="shared" si="36"/>
        <v>96.515600000000006</v>
      </c>
      <c r="Z22" s="42">
        <f t="shared" ca="1" si="37"/>
        <v>2423848.5389401526</v>
      </c>
      <c r="AA22" s="108">
        <f t="shared" si="38"/>
        <v>0.25</v>
      </c>
      <c r="AB22" s="42">
        <f t="shared" si="55"/>
        <v>2756889.1111556203</v>
      </c>
      <c r="AC22" s="42">
        <f t="shared" si="52"/>
        <v>2756889.1111556203</v>
      </c>
      <c r="AD22" s="42">
        <f t="shared" ca="1" si="40"/>
        <v>1817886.4042051146</v>
      </c>
      <c r="AE22" s="42">
        <f t="shared" ca="1" si="41"/>
        <v>1398374.1570808573</v>
      </c>
      <c r="AF22" s="404">
        <f t="shared" ca="1" si="14"/>
        <v>1398374.1570808573</v>
      </c>
      <c r="AG22" s="124">
        <f t="shared" si="42"/>
        <v>50405</v>
      </c>
      <c r="AH22" s="117">
        <f>+IF(AG22&gt;=AM$9,'Taxes and TIF'!AH21+1,'Taxes and TIF'!AH21)</f>
        <v>9</v>
      </c>
      <c r="AI22" s="42">
        <f t="shared" si="43"/>
        <v>58166088.88800668</v>
      </c>
      <c r="AJ22" s="116">
        <f t="shared" si="44"/>
        <v>1.0612079999999999</v>
      </c>
      <c r="AK22" s="42">
        <f t="shared" ca="1" si="45"/>
        <v>403576860.21007073</v>
      </c>
      <c r="AL22" s="108">
        <f t="shared" si="46"/>
        <v>0.35</v>
      </c>
      <c r="AM22" s="42">
        <f t="shared" ca="1" si="47"/>
        <v>141251901.07352474</v>
      </c>
      <c r="AN22" s="49">
        <f t="shared" si="48"/>
        <v>96.515600000000006</v>
      </c>
      <c r="AO22" s="42">
        <f t="shared" ca="1" si="17"/>
        <v>11668134.744214132</v>
      </c>
      <c r="AP22" s="108">
        <f t="shared" si="49"/>
        <v>0.25</v>
      </c>
      <c r="AQ22" s="42">
        <f t="shared" si="56"/>
        <v>1964877.2390377542</v>
      </c>
      <c r="AR22" s="42">
        <f t="shared" ca="1" si="19"/>
        <v>13633011.983251886</v>
      </c>
      <c r="AS22" s="42">
        <f t="shared" ca="1" si="50"/>
        <v>8751101.0581605993</v>
      </c>
      <c r="AT22" s="42">
        <f t="shared" ca="1" si="51"/>
        <v>6731616.1985850763</v>
      </c>
      <c r="AU22" s="404">
        <f t="shared" ca="1" si="21"/>
        <v>6731616.1985850763</v>
      </c>
    </row>
    <row r="23" spans="1:47" ht="16" customHeight="1">
      <c r="A23" s="110">
        <f t="shared" si="57"/>
        <v>0</v>
      </c>
      <c r="B23" s="124">
        <f t="shared" ref="B23:B45" si="58">+EOMONTH(B22,12)</f>
        <v>49309</v>
      </c>
      <c r="C23" s="117">
        <f>+IF(B23&gt;=H$9,'Taxes and TIF'!C22+1,'Taxes and TIF'!C22)</f>
        <v>11</v>
      </c>
      <c r="D23" s="42">
        <f t="shared" si="23"/>
        <v>25167116.388250116</v>
      </c>
      <c r="E23" s="116">
        <f t="shared" ref="E23:E45" si="59">+E22*(1+IF($A23=0,$D$2,0))</f>
        <v>1.08243216</v>
      </c>
      <c r="F23" s="42">
        <f t="shared" ca="1" si="7"/>
        <v>389247967.7452569</v>
      </c>
      <c r="G23" s="108">
        <f t="shared" ref="G23:G45" si="60">+G22</f>
        <v>0.35</v>
      </c>
      <c r="H23" s="42">
        <f t="shared" ca="1" si="0"/>
        <v>136236788.7108399</v>
      </c>
      <c r="I23" s="49">
        <f t="shared" ref="I23:I45" si="61">+I22</f>
        <v>96.515600000000006</v>
      </c>
      <c r="J23" s="42">
        <f t="shared" ref="J23:J45" ca="1" si="62">+MAX(I23*H23/1000-L23,0)</f>
        <v>12298818.636031313</v>
      </c>
      <c r="K23" s="108">
        <f t="shared" ref="K23:K45" si="63">+K22</f>
        <v>0.25</v>
      </c>
      <c r="L23" s="42">
        <f t="shared" si="1"/>
        <v>850156.76846862759</v>
      </c>
      <c r="M23" s="42">
        <f t="shared" ref="M23:M45" ca="1" si="64">+L23+J23</f>
        <v>13148975.404499941</v>
      </c>
      <c r="N23" s="42">
        <f t="shared" ref="N23:N45" ca="1" si="65">+J23*(1-K23)</f>
        <v>9224113.9770234842</v>
      </c>
      <c r="O23" s="42">
        <f t="shared" ref="O23:O45" ca="1" si="66">+N23/$D$4</f>
        <v>7095472.2900180649</v>
      </c>
      <c r="P23" s="404">
        <f t="shared" ca="1" si="9"/>
        <v>7095472.2900180649</v>
      </c>
      <c r="R23" s="124">
        <f t="shared" ref="R23:R45" si="67">+EOMONTH(R22,12)</f>
        <v>50040</v>
      </c>
      <c r="S23" s="117">
        <f>+IF(R23&gt;=X$9,'Taxes and TIF'!S22+1,'Taxes and TIF'!S22)</f>
        <v>11</v>
      </c>
      <c r="T23" s="42">
        <f t="shared" ref="T23:T45" si="68">+T22</f>
        <v>81611947</v>
      </c>
      <c r="U23" s="116">
        <f t="shared" ref="U23:U45" si="69">+U22*(1+IF($A23=0,$D$2,0))</f>
        <v>1.08243216</v>
      </c>
      <c r="V23" s="42">
        <f t="shared" ref="V23:V45" ca="1" si="70">+IF(R23&gt;=X$9,AA$9,0)*U23</f>
        <v>156432221.55937749</v>
      </c>
      <c r="W23" s="108">
        <f t="shared" ref="W23:W45" si="71">+W22</f>
        <v>0.35</v>
      </c>
      <c r="X23" s="42">
        <f t="shared" ref="X23:X45" ca="1" si="72">+V23*W23</f>
        <v>54751277.545782119</v>
      </c>
      <c r="Y23" s="49">
        <f t="shared" ref="Y23:Y45" si="73">+Y22</f>
        <v>96.515600000000006</v>
      </c>
      <c r="Z23" s="42">
        <f t="shared" ref="Z23:Z45" ca="1" si="74">+MAX(Y23*X23/1000-AB23,0)</f>
        <v>2527463.2919420679</v>
      </c>
      <c r="AA23" s="108">
        <f t="shared" ref="AA23:AA45" si="75">+AA22</f>
        <v>0.25</v>
      </c>
      <c r="AB23" s="42">
        <f t="shared" ref="AB23:AB45" si="76">+T23*W23*Y23/1000</f>
        <v>2756889.1111556203</v>
      </c>
      <c r="AC23" s="42">
        <f t="shared" si="52"/>
        <v>2756889.1111556203</v>
      </c>
      <c r="AD23" s="42">
        <f t="shared" ref="AD23:AD45" ca="1" si="77">+Z23*(1-AA23)</f>
        <v>1895597.468956551</v>
      </c>
      <c r="AE23" s="42">
        <f t="shared" ref="AE23:AE45" ca="1" si="78">+AD23/$D$4</f>
        <v>1458151.899197347</v>
      </c>
      <c r="AF23" s="404">
        <f t="shared" ca="1" si="14"/>
        <v>1458151.899197347</v>
      </c>
      <c r="AG23" s="124">
        <f t="shared" ref="AG23:AG45" si="79">+EOMONTH(AG22,12)</f>
        <v>50770</v>
      </c>
      <c r="AH23" s="117">
        <f>+IF(AG23&gt;=AM$9,'Taxes and TIF'!AH22+1,'Taxes and TIF'!AH22)</f>
        <v>10</v>
      </c>
      <c r="AI23" s="42">
        <f t="shared" ref="AI23:AI45" si="80">+AI22</f>
        <v>58166088.88800668</v>
      </c>
      <c r="AJ23" s="116">
        <f t="shared" ref="AJ23:AJ45" si="81">+AJ22*(1+IF($A23=0,$D$2,0))</f>
        <v>1.08243216</v>
      </c>
      <c r="AK23" s="42">
        <f t="shared" ref="AK23:AK45" ca="1" si="82">+IF(AG23&gt;=AM$9,AP$9,0)*AJ23</f>
        <v>411648397.41427213</v>
      </c>
      <c r="AL23" s="108">
        <f t="shared" ref="AL23:AL45" si="83">+AL22</f>
        <v>0.35</v>
      </c>
      <c r="AM23" s="42">
        <f t="shared" ref="AM23:AM45" ca="1" si="84">+AK23*AL23</f>
        <v>144076939.09499523</v>
      </c>
      <c r="AN23" s="49">
        <f t="shared" ref="AN23:AN45" si="85">+AN22</f>
        <v>96.515600000000006</v>
      </c>
      <c r="AO23" s="42">
        <f t="shared" ref="AO23:AO45" ca="1" si="86">+MAX(AN23*AM23/1000-AQ23,0)</f>
        <v>11940794.983879168</v>
      </c>
      <c r="AP23" s="108">
        <f t="shared" ref="AP23:AP45" si="87">+AP22</f>
        <v>0.25</v>
      </c>
      <c r="AQ23" s="42">
        <f t="shared" si="56"/>
        <v>1964877.2390377542</v>
      </c>
      <c r="AR23" s="42">
        <f t="shared" ref="AR23:AR45" ca="1" si="88">+AQ23+AO23</f>
        <v>13905672.222916922</v>
      </c>
      <c r="AS23" s="42">
        <f t="shared" ref="AS23:AS45" ca="1" si="89">+AO23*(1-AP23)</f>
        <v>8955596.2379093766</v>
      </c>
      <c r="AT23" s="42">
        <f t="shared" ref="AT23:AT45" ca="1" si="90">+AS23/$D$4</f>
        <v>6888920.1830072124</v>
      </c>
      <c r="AU23" s="404">
        <f t="shared" ca="1" si="21"/>
        <v>6888920.1830072124</v>
      </c>
    </row>
    <row r="24" spans="1:47" ht="16" customHeight="1">
      <c r="A24" s="110">
        <f t="shared" si="57"/>
        <v>1</v>
      </c>
      <c r="B24" s="124">
        <f t="shared" si="58"/>
        <v>49674</v>
      </c>
      <c r="C24" s="117">
        <f>+IF(B24&gt;=H$9,'Taxes and TIF'!C23+1,'Taxes and TIF'!C23)</f>
        <v>12</v>
      </c>
      <c r="D24" s="42">
        <f t="shared" si="23"/>
        <v>25167116.388250116</v>
      </c>
      <c r="E24" s="116">
        <f t="shared" si="59"/>
        <v>1.08243216</v>
      </c>
      <c r="F24" s="42">
        <f t="shared" ca="1" si="7"/>
        <v>389247967.7452569</v>
      </c>
      <c r="G24" s="108">
        <f t="shared" si="60"/>
        <v>0.35</v>
      </c>
      <c r="H24" s="42">
        <f t="shared" ca="1" si="0"/>
        <v>136236788.7108399</v>
      </c>
      <c r="I24" s="49">
        <f t="shared" si="61"/>
        <v>96.515600000000006</v>
      </c>
      <c r="J24" s="42">
        <f t="shared" ca="1" si="62"/>
        <v>12298818.636031313</v>
      </c>
      <c r="K24" s="108">
        <f t="shared" si="63"/>
        <v>0.25</v>
      </c>
      <c r="L24" s="42">
        <f t="shared" si="1"/>
        <v>850156.76846862759</v>
      </c>
      <c r="M24" s="42">
        <f t="shared" ca="1" si="64"/>
        <v>13148975.404499941</v>
      </c>
      <c r="N24" s="42">
        <f t="shared" ca="1" si="65"/>
        <v>9224113.9770234842</v>
      </c>
      <c r="O24" s="42">
        <f t="shared" ca="1" si="66"/>
        <v>7095472.2900180649</v>
      </c>
      <c r="P24" s="404">
        <f t="shared" ca="1" si="9"/>
        <v>7095472.2900180649</v>
      </c>
      <c r="R24" s="124">
        <f t="shared" si="67"/>
        <v>50405</v>
      </c>
      <c r="S24" s="117">
        <f>+IF(R24&gt;=X$9,'Taxes and TIF'!S23+1,'Taxes and TIF'!S23)</f>
        <v>12</v>
      </c>
      <c r="T24" s="42">
        <f t="shared" si="68"/>
        <v>81611947</v>
      </c>
      <c r="U24" s="116">
        <f t="shared" si="69"/>
        <v>1.08243216</v>
      </c>
      <c r="V24" s="42">
        <f t="shared" ca="1" si="70"/>
        <v>156432221.55937749</v>
      </c>
      <c r="W24" s="108">
        <f t="shared" si="71"/>
        <v>0.35</v>
      </c>
      <c r="X24" s="42">
        <f t="shared" ca="1" si="72"/>
        <v>54751277.545782119</v>
      </c>
      <c r="Y24" s="49">
        <f t="shared" si="73"/>
        <v>96.515600000000006</v>
      </c>
      <c r="Z24" s="42">
        <f t="shared" ca="1" si="74"/>
        <v>2527463.2919420679</v>
      </c>
      <c r="AA24" s="108">
        <f t="shared" si="75"/>
        <v>0.25</v>
      </c>
      <c r="AB24" s="42">
        <f t="shared" si="76"/>
        <v>2756889.1111556203</v>
      </c>
      <c r="AC24" s="42">
        <f t="shared" si="52"/>
        <v>2756889.1111556203</v>
      </c>
      <c r="AD24" s="42">
        <f t="shared" ca="1" si="77"/>
        <v>1895597.468956551</v>
      </c>
      <c r="AE24" s="42">
        <f t="shared" ca="1" si="78"/>
        <v>1458151.899197347</v>
      </c>
      <c r="AF24" s="404">
        <f t="shared" ca="1" si="14"/>
        <v>1458151.899197347</v>
      </c>
      <c r="AG24" s="124">
        <f t="shared" si="79"/>
        <v>51135</v>
      </c>
      <c r="AH24" s="117">
        <f>+IF(AG24&gt;=AM$9,'Taxes and TIF'!AH23+1,'Taxes and TIF'!AH23)</f>
        <v>11</v>
      </c>
      <c r="AI24" s="42">
        <f t="shared" si="80"/>
        <v>58166088.88800668</v>
      </c>
      <c r="AJ24" s="116">
        <f t="shared" si="81"/>
        <v>1.08243216</v>
      </c>
      <c r="AK24" s="42">
        <f t="shared" ca="1" si="82"/>
        <v>411648397.41427213</v>
      </c>
      <c r="AL24" s="108">
        <f t="shared" si="83"/>
        <v>0.35</v>
      </c>
      <c r="AM24" s="42">
        <f t="shared" ca="1" si="84"/>
        <v>144076939.09499523</v>
      </c>
      <c r="AN24" s="49">
        <f t="shared" si="85"/>
        <v>96.515600000000006</v>
      </c>
      <c r="AO24" s="42">
        <f t="shared" ca="1" si="86"/>
        <v>11940794.983879168</v>
      </c>
      <c r="AP24" s="108">
        <f t="shared" si="87"/>
        <v>0.25</v>
      </c>
      <c r="AQ24" s="42">
        <f t="shared" si="56"/>
        <v>1964877.2390377542</v>
      </c>
      <c r="AR24" s="42">
        <f t="shared" ca="1" si="88"/>
        <v>13905672.222916922</v>
      </c>
      <c r="AS24" s="42">
        <f t="shared" ca="1" si="89"/>
        <v>8955596.2379093766</v>
      </c>
      <c r="AT24" s="42">
        <f t="shared" ca="1" si="90"/>
        <v>6888920.1830072124</v>
      </c>
      <c r="AU24" s="404">
        <f t="shared" ca="1" si="21"/>
        <v>6888920.1830072124</v>
      </c>
    </row>
    <row r="25" spans="1:47" ht="16" customHeight="1">
      <c r="A25" s="110">
        <f t="shared" si="57"/>
        <v>2</v>
      </c>
      <c r="B25" s="124">
        <f t="shared" si="58"/>
        <v>50040</v>
      </c>
      <c r="C25" s="117">
        <f>+IF(B25&gt;=H$9,'Taxes and TIF'!C24+1,'Taxes and TIF'!C24)</f>
        <v>13</v>
      </c>
      <c r="D25" s="42">
        <f t="shared" si="23"/>
        <v>25167116.388250116</v>
      </c>
      <c r="E25" s="116">
        <f t="shared" si="59"/>
        <v>1.08243216</v>
      </c>
      <c r="F25" s="42">
        <f t="shared" ca="1" si="7"/>
        <v>389247967.7452569</v>
      </c>
      <c r="G25" s="108">
        <f t="shared" si="60"/>
        <v>0.35</v>
      </c>
      <c r="H25" s="42">
        <f t="shared" ca="1" si="0"/>
        <v>136236788.7108399</v>
      </c>
      <c r="I25" s="49">
        <f t="shared" si="61"/>
        <v>96.515600000000006</v>
      </c>
      <c r="J25" s="42">
        <f t="shared" ca="1" si="62"/>
        <v>12298818.636031313</v>
      </c>
      <c r="K25" s="108">
        <f t="shared" si="63"/>
        <v>0.25</v>
      </c>
      <c r="L25" s="42">
        <f t="shared" si="1"/>
        <v>850156.76846862759</v>
      </c>
      <c r="M25" s="42">
        <f t="shared" ca="1" si="64"/>
        <v>13148975.404499941</v>
      </c>
      <c r="N25" s="42">
        <f t="shared" ca="1" si="65"/>
        <v>9224113.9770234842</v>
      </c>
      <c r="O25" s="42">
        <f t="shared" ca="1" si="66"/>
        <v>7095472.2900180649</v>
      </c>
      <c r="P25" s="404">
        <f t="shared" ca="1" si="9"/>
        <v>7095472.2900180649</v>
      </c>
      <c r="R25" s="124">
        <f t="shared" si="67"/>
        <v>50770</v>
      </c>
      <c r="S25" s="117">
        <f>+IF(R25&gt;=X$9,'Taxes and TIF'!S24+1,'Taxes and TIF'!S24)</f>
        <v>13</v>
      </c>
      <c r="T25" s="42">
        <f t="shared" si="68"/>
        <v>81611947</v>
      </c>
      <c r="U25" s="116">
        <f t="shared" si="69"/>
        <v>1.08243216</v>
      </c>
      <c r="V25" s="42">
        <f t="shared" ca="1" si="70"/>
        <v>156432221.55937749</v>
      </c>
      <c r="W25" s="108">
        <f t="shared" si="71"/>
        <v>0.35</v>
      </c>
      <c r="X25" s="42">
        <f t="shared" ca="1" si="72"/>
        <v>54751277.545782119</v>
      </c>
      <c r="Y25" s="49">
        <f t="shared" si="73"/>
        <v>96.515600000000006</v>
      </c>
      <c r="Z25" s="42">
        <f t="shared" ca="1" si="74"/>
        <v>2527463.2919420679</v>
      </c>
      <c r="AA25" s="108">
        <f t="shared" si="75"/>
        <v>0.25</v>
      </c>
      <c r="AB25" s="42">
        <f t="shared" si="76"/>
        <v>2756889.1111556203</v>
      </c>
      <c r="AC25" s="42">
        <f t="shared" si="52"/>
        <v>2756889.1111556203</v>
      </c>
      <c r="AD25" s="42">
        <f t="shared" ca="1" si="77"/>
        <v>1895597.468956551</v>
      </c>
      <c r="AE25" s="42">
        <f t="shared" ca="1" si="78"/>
        <v>1458151.899197347</v>
      </c>
      <c r="AF25" s="404">
        <f t="shared" ca="1" si="14"/>
        <v>1458151.899197347</v>
      </c>
      <c r="AG25" s="124">
        <f t="shared" si="79"/>
        <v>51501</v>
      </c>
      <c r="AH25" s="117">
        <f>+IF(AG25&gt;=AM$9,'Taxes and TIF'!AH24+1,'Taxes and TIF'!AH24)</f>
        <v>12</v>
      </c>
      <c r="AI25" s="42">
        <f t="shared" si="80"/>
        <v>58166088.88800668</v>
      </c>
      <c r="AJ25" s="116">
        <f t="shared" si="81"/>
        <v>1.08243216</v>
      </c>
      <c r="AK25" s="42">
        <f t="shared" ca="1" si="82"/>
        <v>411648397.41427213</v>
      </c>
      <c r="AL25" s="108">
        <f t="shared" si="83"/>
        <v>0.35</v>
      </c>
      <c r="AM25" s="42">
        <f t="shared" ca="1" si="84"/>
        <v>144076939.09499523</v>
      </c>
      <c r="AN25" s="49">
        <f t="shared" si="85"/>
        <v>96.515600000000006</v>
      </c>
      <c r="AO25" s="42">
        <f t="shared" ca="1" si="86"/>
        <v>11940794.983879168</v>
      </c>
      <c r="AP25" s="108">
        <f t="shared" si="87"/>
        <v>0.25</v>
      </c>
      <c r="AQ25" s="42">
        <f t="shared" si="56"/>
        <v>1964877.2390377542</v>
      </c>
      <c r="AR25" s="42">
        <f t="shared" ca="1" si="88"/>
        <v>13905672.222916922</v>
      </c>
      <c r="AS25" s="42">
        <f t="shared" ca="1" si="89"/>
        <v>8955596.2379093766</v>
      </c>
      <c r="AT25" s="42">
        <f t="shared" ca="1" si="90"/>
        <v>6888920.1830072124</v>
      </c>
      <c r="AU25" s="404">
        <f t="shared" ca="1" si="21"/>
        <v>6888920.1830072124</v>
      </c>
    </row>
    <row r="26" spans="1:47" ht="16" customHeight="1">
      <c r="A26" s="110">
        <f t="shared" si="57"/>
        <v>0</v>
      </c>
      <c r="B26" s="124">
        <f t="shared" si="58"/>
        <v>50405</v>
      </c>
      <c r="C26" s="117">
        <f>+IF(B26&gt;=H$9,'Taxes and TIF'!C25+1,'Taxes and TIF'!C25)</f>
        <v>14</v>
      </c>
      <c r="D26" s="42">
        <f t="shared" si="23"/>
        <v>25670458.716015119</v>
      </c>
      <c r="E26" s="116">
        <f t="shared" si="59"/>
        <v>1.1040808032</v>
      </c>
      <c r="F26" s="42">
        <f t="shared" ca="1" si="7"/>
        <v>397032927.10016209</v>
      </c>
      <c r="G26" s="108">
        <f t="shared" si="60"/>
        <v>0.35</v>
      </c>
      <c r="H26" s="42">
        <f t="shared" ca="1" si="0"/>
        <v>138961524.48505673</v>
      </c>
      <c r="I26" s="49">
        <f t="shared" si="61"/>
        <v>96.515600000000006</v>
      </c>
      <c r="J26" s="42">
        <f t="shared" ca="1" si="62"/>
        <v>12544795.008751944</v>
      </c>
      <c r="K26" s="108">
        <f t="shared" si="63"/>
        <v>0.25</v>
      </c>
      <c r="L26" s="42">
        <f t="shared" si="1"/>
        <v>867159.90383800014</v>
      </c>
      <c r="M26" s="42">
        <f t="shared" ca="1" si="64"/>
        <v>13411954.912589943</v>
      </c>
      <c r="N26" s="42">
        <f t="shared" ca="1" si="65"/>
        <v>9408596.2565639578</v>
      </c>
      <c r="O26" s="42">
        <f t="shared" ca="1" si="66"/>
        <v>7237381.7358184289</v>
      </c>
      <c r="P26" s="404">
        <f t="shared" ca="1" si="9"/>
        <v>7237381.7358184289</v>
      </c>
      <c r="R26" s="124">
        <f t="shared" si="67"/>
        <v>51135</v>
      </c>
      <c r="S26" s="117">
        <f>+IF(R26&gt;=X$9,'Taxes and TIF'!S25+1,'Taxes and TIF'!S25)</f>
        <v>14</v>
      </c>
      <c r="T26" s="42">
        <f t="shared" si="68"/>
        <v>81611947</v>
      </c>
      <c r="U26" s="116">
        <f t="shared" si="69"/>
        <v>1.1040808032</v>
      </c>
      <c r="V26" s="42">
        <f t="shared" ca="1" si="70"/>
        <v>159560865.99056503</v>
      </c>
      <c r="W26" s="108">
        <f t="shared" si="71"/>
        <v>0.35</v>
      </c>
      <c r="X26" s="42">
        <f t="shared" ca="1" si="72"/>
        <v>55846303.096697755</v>
      </c>
      <c r="Y26" s="49">
        <f t="shared" si="73"/>
        <v>96.515600000000006</v>
      </c>
      <c r="Z26" s="42">
        <f t="shared" ca="1" si="74"/>
        <v>2633150.3400040218</v>
      </c>
      <c r="AA26" s="108">
        <f t="shared" si="75"/>
        <v>0.25</v>
      </c>
      <c r="AB26" s="42">
        <f t="shared" si="76"/>
        <v>2756889.1111556203</v>
      </c>
      <c r="AC26" s="42">
        <f t="shared" si="52"/>
        <v>2756889.1111556203</v>
      </c>
      <c r="AD26" s="42">
        <f t="shared" ca="1" si="77"/>
        <v>1974862.7550030164</v>
      </c>
      <c r="AE26" s="42">
        <f t="shared" ca="1" si="78"/>
        <v>1519125.1961561665</v>
      </c>
      <c r="AF26" s="404">
        <f t="shared" ca="1" si="14"/>
        <v>1519125.1961561665</v>
      </c>
      <c r="AG26" s="124">
        <f t="shared" si="79"/>
        <v>51866</v>
      </c>
      <c r="AH26" s="117">
        <f>+IF(AG26&gt;=AM$9,'Taxes and TIF'!AH25+1,'Taxes and TIF'!AH25)</f>
        <v>13</v>
      </c>
      <c r="AI26" s="42">
        <f t="shared" si="80"/>
        <v>58166088.88800668</v>
      </c>
      <c r="AJ26" s="116">
        <f t="shared" si="81"/>
        <v>1.1040808032</v>
      </c>
      <c r="AK26" s="42">
        <f t="shared" ca="1" si="82"/>
        <v>419881365.36255759</v>
      </c>
      <c r="AL26" s="108">
        <f t="shared" si="83"/>
        <v>0.35</v>
      </c>
      <c r="AM26" s="42">
        <f t="shared" ca="1" si="84"/>
        <v>146958477.87689516</v>
      </c>
      <c r="AN26" s="49">
        <f t="shared" si="85"/>
        <v>96.515600000000006</v>
      </c>
      <c r="AO26" s="42">
        <f t="shared" ca="1" si="86"/>
        <v>12218908.428337509</v>
      </c>
      <c r="AP26" s="108">
        <f t="shared" si="87"/>
        <v>0.25</v>
      </c>
      <c r="AQ26" s="42">
        <f t="shared" si="56"/>
        <v>1964877.2390377542</v>
      </c>
      <c r="AR26" s="42">
        <f t="shared" ca="1" si="88"/>
        <v>14183785.667375263</v>
      </c>
      <c r="AS26" s="42">
        <f t="shared" ca="1" si="89"/>
        <v>9164181.3212531321</v>
      </c>
      <c r="AT26" s="42">
        <f t="shared" ca="1" si="90"/>
        <v>7049370.2471177941</v>
      </c>
      <c r="AU26" s="404">
        <f t="shared" ca="1" si="21"/>
        <v>7049370.2471177941</v>
      </c>
    </row>
    <row r="27" spans="1:47" ht="16" customHeight="1">
      <c r="A27" s="110">
        <f t="shared" si="57"/>
        <v>1</v>
      </c>
      <c r="B27" s="124">
        <f t="shared" si="58"/>
        <v>50770</v>
      </c>
      <c r="C27" s="117">
        <f>+IF(B27&gt;=H$9,'Taxes and TIF'!C26+1,'Taxes and TIF'!C26)</f>
        <v>15</v>
      </c>
      <c r="D27" s="42">
        <f t="shared" si="23"/>
        <v>25670458.716015119</v>
      </c>
      <c r="E27" s="116">
        <f t="shared" si="59"/>
        <v>1.1040808032</v>
      </c>
      <c r="F27" s="42">
        <f t="shared" ca="1" si="7"/>
        <v>397032927.10016209</v>
      </c>
      <c r="G27" s="108">
        <f t="shared" si="60"/>
        <v>0.35</v>
      </c>
      <c r="H27" s="42">
        <f t="shared" ca="1" si="0"/>
        <v>138961524.48505673</v>
      </c>
      <c r="I27" s="49">
        <f t="shared" si="61"/>
        <v>96.515600000000006</v>
      </c>
      <c r="J27" s="42">
        <f t="shared" ca="1" si="62"/>
        <v>12544795.008751944</v>
      </c>
      <c r="K27" s="108">
        <f t="shared" si="63"/>
        <v>0.25</v>
      </c>
      <c r="L27" s="42">
        <f t="shared" si="1"/>
        <v>867159.90383800014</v>
      </c>
      <c r="M27" s="42">
        <f t="shared" ca="1" si="64"/>
        <v>13411954.912589943</v>
      </c>
      <c r="N27" s="42">
        <f t="shared" ca="1" si="65"/>
        <v>9408596.2565639578</v>
      </c>
      <c r="O27" s="42">
        <f t="shared" ca="1" si="66"/>
        <v>7237381.7358184289</v>
      </c>
      <c r="P27" s="404">
        <f t="shared" ca="1" si="9"/>
        <v>7237381.7358184289</v>
      </c>
      <c r="R27" s="124">
        <f t="shared" si="67"/>
        <v>51501</v>
      </c>
      <c r="S27" s="117">
        <f>+IF(R27&gt;=X$9,'Taxes and TIF'!S26+1,'Taxes and TIF'!S26)</f>
        <v>15</v>
      </c>
      <c r="T27" s="42">
        <f t="shared" si="68"/>
        <v>81611947</v>
      </c>
      <c r="U27" s="116">
        <f t="shared" si="69"/>
        <v>1.1040808032</v>
      </c>
      <c r="V27" s="42">
        <f t="shared" ca="1" si="70"/>
        <v>159560865.99056503</v>
      </c>
      <c r="W27" s="108">
        <f t="shared" si="71"/>
        <v>0.35</v>
      </c>
      <c r="X27" s="42">
        <f t="shared" ca="1" si="72"/>
        <v>55846303.096697755</v>
      </c>
      <c r="Y27" s="49">
        <f t="shared" si="73"/>
        <v>96.515600000000006</v>
      </c>
      <c r="Z27" s="42">
        <f t="shared" ca="1" si="74"/>
        <v>2633150.3400040218</v>
      </c>
      <c r="AA27" s="108">
        <f t="shared" si="75"/>
        <v>0.25</v>
      </c>
      <c r="AB27" s="42">
        <f t="shared" si="76"/>
        <v>2756889.1111556203</v>
      </c>
      <c r="AC27" s="42">
        <f t="shared" si="52"/>
        <v>2756889.1111556203</v>
      </c>
      <c r="AD27" s="42">
        <f t="shared" ca="1" si="77"/>
        <v>1974862.7550030164</v>
      </c>
      <c r="AE27" s="42">
        <f t="shared" ca="1" si="78"/>
        <v>1519125.1961561665</v>
      </c>
      <c r="AF27" s="404">
        <f t="shared" ca="1" si="14"/>
        <v>1519125.1961561665</v>
      </c>
      <c r="AG27" s="124">
        <f t="shared" si="79"/>
        <v>52231</v>
      </c>
      <c r="AH27" s="117">
        <f>+IF(AG27&gt;=AM$9,'Taxes and TIF'!AH26+1,'Taxes and TIF'!AH26)</f>
        <v>14</v>
      </c>
      <c r="AI27" s="42">
        <f t="shared" si="80"/>
        <v>58166088.88800668</v>
      </c>
      <c r="AJ27" s="116">
        <f t="shared" si="81"/>
        <v>1.1040808032</v>
      </c>
      <c r="AK27" s="42">
        <f t="shared" ca="1" si="82"/>
        <v>419881365.36255759</v>
      </c>
      <c r="AL27" s="108">
        <f t="shared" si="83"/>
        <v>0.35</v>
      </c>
      <c r="AM27" s="42">
        <f t="shared" ca="1" si="84"/>
        <v>146958477.87689516</v>
      </c>
      <c r="AN27" s="49">
        <f t="shared" si="85"/>
        <v>96.515600000000006</v>
      </c>
      <c r="AO27" s="42">
        <f t="shared" ca="1" si="86"/>
        <v>12218908.428337509</v>
      </c>
      <c r="AP27" s="108">
        <f t="shared" si="87"/>
        <v>0.25</v>
      </c>
      <c r="AQ27" s="42">
        <f t="shared" si="56"/>
        <v>1964877.2390377542</v>
      </c>
      <c r="AR27" s="42">
        <f t="shared" ca="1" si="88"/>
        <v>14183785.667375263</v>
      </c>
      <c r="AS27" s="42">
        <f t="shared" ca="1" si="89"/>
        <v>9164181.3212531321</v>
      </c>
      <c r="AT27" s="42">
        <f t="shared" ca="1" si="90"/>
        <v>7049370.2471177941</v>
      </c>
      <c r="AU27" s="404">
        <f t="shared" ca="1" si="21"/>
        <v>7049370.2471177941</v>
      </c>
    </row>
    <row r="28" spans="1:47" ht="16" customHeight="1">
      <c r="A28" s="110">
        <f t="shared" si="57"/>
        <v>2</v>
      </c>
      <c r="B28" s="124">
        <f t="shared" si="58"/>
        <v>51135</v>
      </c>
      <c r="C28" s="117">
        <f>+IF(B28&gt;=H$9,'Taxes and TIF'!C27+1,'Taxes and TIF'!C27)</f>
        <v>16</v>
      </c>
      <c r="D28" s="42">
        <f t="shared" si="23"/>
        <v>25670458.716015119</v>
      </c>
      <c r="E28" s="116">
        <f t="shared" si="59"/>
        <v>1.1040808032</v>
      </c>
      <c r="F28" s="42">
        <f t="shared" ca="1" si="7"/>
        <v>397032927.10016209</v>
      </c>
      <c r="G28" s="108">
        <f t="shared" si="60"/>
        <v>0.35</v>
      </c>
      <c r="H28" s="42">
        <f t="shared" ca="1" si="0"/>
        <v>138961524.48505673</v>
      </c>
      <c r="I28" s="49">
        <f t="shared" si="61"/>
        <v>96.515600000000006</v>
      </c>
      <c r="J28" s="42">
        <f t="shared" ca="1" si="62"/>
        <v>12544795.008751944</v>
      </c>
      <c r="K28" s="108">
        <f t="shared" si="63"/>
        <v>0.25</v>
      </c>
      <c r="L28" s="42">
        <f t="shared" si="1"/>
        <v>867159.90383800014</v>
      </c>
      <c r="M28" s="42">
        <f t="shared" ca="1" si="64"/>
        <v>13411954.912589943</v>
      </c>
      <c r="N28" s="42">
        <f t="shared" ca="1" si="65"/>
        <v>9408596.2565639578</v>
      </c>
      <c r="O28" s="42">
        <f t="shared" ca="1" si="66"/>
        <v>7237381.7358184289</v>
      </c>
      <c r="P28" s="404">
        <f t="shared" ca="1" si="9"/>
        <v>7237381.7358184289</v>
      </c>
      <c r="R28" s="124">
        <f t="shared" si="67"/>
        <v>51866</v>
      </c>
      <c r="S28" s="117">
        <f>+IF(R28&gt;=X$9,'Taxes and TIF'!S27+1,'Taxes and TIF'!S27)</f>
        <v>16</v>
      </c>
      <c r="T28" s="42">
        <f t="shared" si="68"/>
        <v>81611947</v>
      </c>
      <c r="U28" s="116">
        <f t="shared" si="69"/>
        <v>1.1040808032</v>
      </c>
      <c r="V28" s="42">
        <f t="shared" ca="1" si="70"/>
        <v>159560865.99056503</v>
      </c>
      <c r="W28" s="108">
        <f t="shared" si="71"/>
        <v>0.35</v>
      </c>
      <c r="X28" s="42">
        <f t="shared" ca="1" si="72"/>
        <v>55846303.096697755</v>
      </c>
      <c r="Y28" s="49">
        <f t="shared" si="73"/>
        <v>96.515600000000006</v>
      </c>
      <c r="Z28" s="42">
        <f t="shared" ca="1" si="74"/>
        <v>2633150.3400040218</v>
      </c>
      <c r="AA28" s="108">
        <f t="shared" si="75"/>
        <v>0.25</v>
      </c>
      <c r="AB28" s="42">
        <f t="shared" si="76"/>
        <v>2756889.1111556203</v>
      </c>
      <c r="AC28" s="42">
        <f t="shared" si="52"/>
        <v>2756889.1111556203</v>
      </c>
      <c r="AD28" s="42">
        <f t="shared" ca="1" si="77"/>
        <v>1974862.7550030164</v>
      </c>
      <c r="AE28" s="42">
        <f t="shared" ca="1" si="78"/>
        <v>1519125.1961561665</v>
      </c>
      <c r="AF28" s="404">
        <f t="shared" ca="1" si="14"/>
        <v>1519125.1961561665</v>
      </c>
      <c r="AG28" s="124">
        <f t="shared" si="79"/>
        <v>52596</v>
      </c>
      <c r="AH28" s="117">
        <f>+IF(AG28&gt;=AM$9,'Taxes and TIF'!AH27+1,'Taxes and TIF'!AH27)</f>
        <v>15</v>
      </c>
      <c r="AI28" s="42">
        <f t="shared" si="80"/>
        <v>58166088.88800668</v>
      </c>
      <c r="AJ28" s="116">
        <f t="shared" si="81"/>
        <v>1.1040808032</v>
      </c>
      <c r="AK28" s="42">
        <f t="shared" ca="1" si="82"/>
        <v>419881365.36255759</v>
      </c>
      <c r="AL28" s="108">
        <f t="shared" si="83"/>
        <v>0.35</v>
      </c>
      <c r="AM28" s="42">
        <f t="shared" ca="1" si="84"/>
        <v>146958477.87689516</v>
      </c>
      <c r="AN28" s="49">
        <f t="shared" si="85"/>
        <v>96.515600000000006</v>
      </c>
      <c r="AO28" s="42">
        <f t="shared" ca="1" si="86"/>
        <v>12218908.428337509</v>
      </c>
      <c r="AP28" s="108">
        <f t="shared" si="87"/>
        <v>0.25</v>
      </c>
      <c r="AQ28" s="42">
        <f t="shared" si="56"/>
        <v>1964877.2390377542</v>
      </c>
      <c r="AR28" s="42">
        <f t="shared" ca="1" si="88"/>
        <v>14183785.667375263</v>
      </c>
      <c r="AS28" s="42">
        <f t="shared" ca="1" si="89"/>
        <v>9164181.3212531321</v>
      </c>
      <c r="AT28" s="42">
        <f t="shared" ca="1" si="90"/>
        <v>7049370.2471177941</v>
      </c>
      <c r="AU28" s="404">
        <f t="shared" ca="1" si="21"/>
        <v>7049370.2471177941</v>
      </c>
    </row>
    <row r="29" spans="1:47" ht="16" customHeight="1">
      <c r="A29" s="110">
        <f t="shared" si="57"/>
        <v>0</v>
      </c>
      <c r="B29" s="124">
        <f t="shared" si="58"/>
        <v>51501</v>
      </c>
      <c r="C29" s="117">
        <f>+IF(B29&gt;=H$9,'Taxes and TIF'!C28+1,'Taxes and TIF'!C28)</f>
        <v>17</v>
      </c>
      <c r="D29" s="42">
        <f t="shared" si="23"/>
        <v>26183867.890335426</v>
      </c>
      <c r="E29" s="116">
        <f t="shared" si="59"/>
        <v>1.1261624192640001</v>
      </c>
      <c r="F29" s="42">
        <f t="shared" ca="1" si="7"/>
        <v>404973585.6421653</v>
      </c>
      <c r="G29" s="108">
        <f t="shared" si="60"/>
        <v>0.35</v>
      </c>
      <c r="H29" s="42">
        <f t="shared" ca="1" si="0"/>
        <v>141740754.97475785</v>
      </c>
      <c r="I29" s="49">
        <f t="shared" si="61"/>
        <v>96.515600000000006</v>
      </c>
      <c r="J29" s="42">
        <f t="shared" ca="1" si="62"/>
        <v>12795690.908926981</v>
      </c>
      <c r="K29" s="108">
        <f t="shared" si="63"/>
        <v>0.25</v>
      </c>
      <c r="L29" s="42">
        <f t="shared" si="1"/>
        <v>884503.10191476019</v>
      </c>
      <c r="M29" s="42">
        <f t="shared" ca="1" si="64"/>
        <v>13680194.01084174</v>
      </c>
      <c r="N29" s="42">
        <f t="shared" ca="1" si="65"/>
        <v>9596768.1816952359</v>
      </c>
      <c r="O29" s="42">
        <f t="shared" ca="1" si="66"/>
        <v>7382129.3705347963</v>
      </c>
      <c r="P29" s="404">
        <f t="shared" ca="1" si="9"/>
        <v>7382129.3705347963</v>
      </c>
      <c r="R29" s="124">
        <f t="shared" si="67"/>
        <v>52231</v>
      </c>
      <c r="S29" s="117">
        <f>+IF(R29&gt;=X$9,'Taxes and TIF'!S28+1,'Taxes and TIF'!S28)</f>
        <v>17</v>
      </c>
      <c r="T29" s="42">
        <f t="shared" si="68"/>
        <v>81611947</v>
      </c>
      <c r="U29" s="116">
        <f t="shared" si="69"/>
        <v>1.1261624192640001</v>
      </c>
      <c r="V29" s="42">
        <f t="shared" ca="1" si="70"/>
        <v>162752083.31037635</v>
      </c>
      <c r="W29" s="108">
        <f t="shared" si="71"/>
        <v>0.35</v>
      </c>
      <c r="X29" s="42">
        <f t="shared" ca="1" si="72"/>
        <v>56963229.15863172</v>
      </c>
      <c r="Y29" s="49">
        <f t="shared" si="73"/>
        <v>96.515600000000006</v>
      </c>
      <c r="Z29" s="42">
        <f t="shared" ca="1" si="74"/>
        <v>2740951.1290272153</v>
      </c>
      <c r="AA29" s="108">
        <f t="shared" si="75"/>
        <v>0.25</v>
      </c>
      <c r="AB29" s="42">
        <f t="shared" si="76"/>
        <v>2756889.1111556203</v>
      </c>
      <c r="AC29" s="42">
        <f t="shared" si="52"/>
        <v>2756889.1111556203</v>
      </c>
      <c r="AD29" s="42">
        <f t="shared" ca="1" si="77"/>
        <v>2055713.3467704114</v>
      </c>
      <c r="AE29" s="42">
        <f t="shared" ca="1" si="78"/>
        <v>1581317.9590541625</v>
      </c>
      <c r="AF29" s="404">
        <f t="shared" ca="1" si="14"/>
        <v>1581317.9590541625</v>
      </c>
      <c r="AG29" s="124">
        <f t="shared" si="79"/>
        <v>52962</v>
      </c>
      <c r="AH29" s="117">
        <f>+IF(AG29&gt;=AM$9,'Taxes and TIF'!AH28+1,'Taxes and TIF'!AH28)</f>
        <v>16</v>
      </c>
      <c r="AI29" s="42">
        <f t="shared" si="80"/>
        <v>58166088.88800668</v>
      </c>
      <c r="AJ29" s="116">
        <f t="shared" si="81"/>
        <v>1.1261624192640001</v>
      </c>
      <c r="AK29" s="42">
        <f t="shared" ca="1" si="82"/>
        <v>428278992.6698088</v>
      </c>
      <c r="AL29" s="108">
        <f t="shared" si="83"/>
        <v>0.35</v>
      </c>
      <c r="AM29" s="42">
        <f t="shared" ca="1" si="84"/>
        <v>149897647.43443307</v>
      </c>
      <c r="AN29" s="49">
        <f t="shared" si="85"/>
        <v>96.515600000000006</v>
      </c>
      <c r="AO29" s="42">
        <f t="shared" ca="1" si="86"/>
        <v>12502584.141685015</v>
      </c>
      <c r="AP29" s="108">
        <f t="shared" si="87"/>
        <v>0.25</v>
      </c>
      <c r="AQ29" s="42">
        <f t="shared" si="56"/>
        <v>1964877.2390377542</v>
      </c>
      <c r="AR29" s="42">
        <f t="shared" ca="1" si="88"/>
        <v>14467461.380722769</v>
      </c>
      <c r="AS29" s="42">
        <f t="shared" ca="1" si="89"/>
        <v>9376938.1062637605</v>
      </c>
      <c r="AT29" s="42">
        <f t="shared" ca="1" si="90"/>
        <v>7213029.3125105845</v>
      </c>
      <c r="AU29" s="404">
        <f t="shared" ca="1" si="21"/>
        <v>7213029.3125105845</v>
      </c>
    </row>
    <row r="30" spans="1:47" ht="16" customHeight="1">
      <c r="A30" s="110">
        <f t="shared" si="57"/>
        <v>1</v>
      </c>
      <c r="B30" s="124">
        <f t="shared" si="58"/>
        <v>51866</v>
      </c>
      <c r="C30" s="117">
        <f>+IF(B30&gt;=H$9,'Taxes and TIF'!C29+1,'Taxes and TIF'!C29)</f>
        <v>18</v>
      </c>
      <c r="D30" s="42">
        <f t="shared" si="23"/>
        <v>26183867.890335426</v>
      </c>
      <c r="E30" s="116">
        <f t="shared" si="59"/>
        <v>1.1261624192640001</v>
      </c>
      <c r="F30" s="42">
        <f t="shared" ca="1" si="7"/>
        <v>404973585.6421653</v>
      </c>
      <c r="G30" s="108">
        <f t="shared" si="60"/>
        <v>0.35</v>
      </c>
      <c r="H30" s="42">
        <f t="shared" ca="1" si="0"/>
        <v>141740754.97475785</v>
      </c>
      <c r="I30" s="49">
        <f t="shared" si="61"/>
        <v>96.515600000000006</v>
      </c>
      <c r="J30" s="42">
        <f t="shared" ca="1" si="62"/>
        <v>12795690.908926981</v>
      </c>
      <c r="K30" s="108">
        <f t="shared" si="63"/>
        <v>0.25</v>
      </c>
      <c r="L30" s="42">
        <f t="shared" si="1"/>
        <v>884503.10191476019</v>
      </c>
      <c r="M30" s="42">
        <f t="shared" ca="1" si="64"/>
        <v>13680194.01084174</v>
      </c>
      <c r="N30" s="42">
        <f t="shared" ca="1" si="65"/>
        <v>9596768.1816952359</v>
      </c>
      <c r="O30" s="42">
        <f t="shared" ca="1" si="66"/>
        <v>7382129.3705347963</v>
      </c>
      <c r="P30" s="404">
        <f t="shared" ca="1" si="9"/>
        <v>7382129.3705347963</v>
      </c>
      <c r="R30" s="124">
        <f t="shared" si="67"/>
        <v>52596</v>
      </c>
      <c r="S30" s="117">
        <f>+IF(R30&gt;=X$9,'Taxes and TIF'!S29+1,'Taxes and TIF'!S29)</f>
        <v>18</v>
      </c>
      <c r="T30" s="42">
        <f t="shared" si="68"/>
        <v>81611947</v>
      </c>
      <c r="U30" s="116">
        <f t="shared" si="69"/>
        <v>1.1261624192640001</v>
      </c>
      <c r="V30" s="42">
        <f t="shared" ca="1" si="70"/>
        <v>162752083.31037635</v>
      </c>
      <c r="W30" s="108">
        <f t="shared" si="71"/>
        <v>0.35</v>
      </c>
      <c r="X30" s="42">
        <f t="shared" ca="1" si="72"/>
        <v>56963229.15863172</v>
      </c>
      <c r="Y30" s="49">
        <f t="shared" si="73"/>
        <v>96.515600000000006</v>
      </c>
      <c r="Z30" s="42">
        <f t="shared" ca="1" si="74"/>
        <v>2740951.1290272153</v>
      </c>
      <c r="AA30" s="108">
        <f t="shared" si="75"/>
        <v>0.25</v>
      </c>
      <c r="AB30" s="42">
        <f t="shared" si="76"/>
        <v>2756889.1111556203</v>
      </c>
      <c r="AC30" s="42">
        <f t="shared" si="52"/>
        <v>2756889.1111556203</v>
      </c>
      <c r="AD30" s="42">
        <f t="shared" ca="1" si="77"/>
        <v>2055713.3467704114</v>
      </c>
      <c r="AE30" s="42">
        <f t="shared" ca="1" si="78"/>
        <v>1581317.9590541625</v>
      </c>
      <c r="AF30" s="404">
        <f t="shared" ca="1" si="14"/>
        <v>1581317.9590541625</v>
      </c>
      <c r="AG30" s="124">
        <f t="shared" si="79"/>
        <v>53327</v>
      </c>
      <c r="AH30" s="117">
        <f>+IF(AG30&gt;=AM$9,'Taxes and TIF'!AH29+1,'Taxes and TIF'!AH29)</f>
        <v>17</v>
      </c>
      <c r="AI30" s="42">
        <f t="shared" si="80"/>
        <v>58166088.88800668</v>
      </c>
      <c r="AJ30" s="116">
        <f t="shared" si="81"/>
        <v>1.1261624192640001</v>
      </c>
      <c r="AK30" s="42">
        <f t="shared" ca="1" si="82"/>
        <v>428278992.6698088</v>
      </c>
      <c r="AL30" s="108">
        <f t="shared" si="83"/>
        <v>0.35</v>
      </c>
      <c r="AM30" s="42">
        <f t="shared" ca="1" si="84"/>
        <v>149897647.43443307</v>
      </c>
      <c r="AN30" s="49">
        <f t="shared" si="85"/>
        <v>96.515600000000006</v>
      </c>
      <c r="AO30" s="42">
        <f t="shared" ca="1" si="86"/>
        <v>12502584.141685015</v>
      </c>
      <c r="AP30" s="108">
        <f t="shared" si="87"/>
        <v>0.25</v>
      </c>
      <c r="AQ30" s="42">
        <f t="shared" si="56"/>
        <v>1964877.2390377542</v>
      </c>
      <c r="AR30" s="42">
        <f t="shared" ca="1" si="88"/>
        <v>14467461.380722769</v>
      </c>
      <c r="AS30" s="42">
        <f t="shared" ca="1" si="89"/>
        <v>9376938.1062637605</v>
      </c>
      <c r="AT30" s="42">
        <f t="shared" ca="1" si="90"/>
        <v>7213029.3125105845</v>
      </c>
      <c r="AU30" s="404">
        <f t="shared" ca="1" si="21"/>
        <v>7213029.3125105845</v>
      </c>
    </row>
    <row r="31" spans="1:47" ht="16" customHeight="1">
      <c r="A31" s="110">
        <f t="shared" si="57"/>
        <v>2</v>
      </c>
      <c r="B31" s="124">
        <f t="shared" si="58"/>
        <v>52231</v>
      </c>
      <c r="C31" s="117">
        <f>+IF(B31&gt;=H$9,'Taxes and TIF'!C30+1,'Taxes and TIF'!C30)</f>
        <v>19</v>
      </c>
      <c r="D31" s="42">
        <f t="shared" si="23"/>
        <v>26183867.890335426</v>
      </c>
      <c r="E31" s="116">
        <f t="shared" si="59"/>
        <v>1.1261624192640001</v>
      </c>
      <c r="F31" s="42">
        <f t="shared" ca="1" si="7"/>
        <v>404973585.6421653</v>
      </c>
      <c r="G31" s="108">
        <f t="shared" si="60"/>
        <v>0.35</v>
      </c>
      <c r="H31" s="42">
        <f t="shared" ca="1" si="0"/>
        <v>141740754.97475785</v>
      </c>
      <c r="I31" s="49">
        <f t="shared" si="61"/>
        <v>96.515600000000006</v>
      </c>
      <c r="J31" s="42">
        <f t="shared" ca="1" si="62"/>
        <v>12795690.908926981</v>
      </c>
      <c r="K31" s="108">
        <f t="shared" si="63"/>
        <v>0.25</v>
      </c>
      <c r="L31" s="42">
        <f t="shared" si="1"/>
        <v>884503.10191476019</v>
      </c>
      <c r="M31" s="42">
        <f t="shared" ca="1" si="64"/>
        <v>13680194.01084174</v>
      </c>
      <c r="N31" s="42">
        <f t="shared" ca="1" si="65"/>
        <v>9596768.1816952359</v>
      </c>
      <c r="O31" s="42">
        <f t="shared" ca="1" si="66"/>
        <v>7382129.3705347963</v>
      </c>
      <c r="P31" s="404">
        <f t="shared" ca="1" si="9"/>
        <v>7382129.3705347963</v>
      </c>
      <c r="R31" s="124">
        <f t="shared" si="67"/>
        <v>52962</v>
      </c>
      <c r="S31" s="117">
        <f>+IF(R31&gt;=X$9,'Taxes and TIF'!S30+1,'Taxes and TIF'!S30)</f>
        <v>19</v>
      </c>
      <c r="T31" s="42">
        <f t="shared" si="68"/>
        <v>81611947</v>
      </c>
      <c r="U31" s="116">
        <f t="shared" si="69"/>
        <v>1.1261624192640001</v>
      </c>
      <c r="V31" s="42">
        <f t="shared" ca="1" si="70"/>
        <v>162752083.31037635</v>
      </c>
      <c r="W31" s="108">
        <f t="shared" si="71"/>
        <v>0.35</v>
      </c>
      <c r="X31" s="42">
        <f t="shared" ca="1" si="72"/>
        <v>56963229.15863172</v>
      </c>
      <c r="Y31" s="49">
        <f t="shared" si="73"/>
        <v>96.515600000000006</v>
      </c>
      <c r="Z31" s="42">
        <f t="shared" ca="1" si="74"/>
        <v>2740951.1290272153</v>
      </c>
      <c r="AA31" s="108">
        <f t="shared" si="75"/>
        <v>0.25</v>
      </c>
      <c r="AB31" s="42">
        <f t="shared" si="76"/>
        <v>2756889.1111556203</v>
      </c>
      <c r="AC31" s="42">
        <f t="shared" si="52"/>
        <v>2756889.1111556203</v>
      </c>
      <c r="AD31" s="42">
        <f t="shared" ca="1" si="77"/>
        <v>2055713.3467704114</v>
      </c>
      <c r="AE31" s="42">
        <f t="shared" ca="1" si="78"/>
        <v>1581317.9590541625</v>
      </c>
      <c r="AF31" s="404">
        <f t="shared" ca="1" si="14"/>
        <v>1581317.9590541625</v>
      </c>
      <c r="AG31" s="124">
        <f t="shared" si="79"/>
        <v>53692</v>
      </c>
      <c r="AH31" s="117">
        <f>+IF(AG31&gt;=AM$9,'Taxes and TIF'!AH30+1,'Taxes and TIF'!AH30)</f>
        <v>18</v>
      </c>
      <c r="AI31" s="42">
        <f t="shared" si="80"/>
        <v>58166088.88800668</v>
      </c>
      <c r="AJ31" s="116">
        <f t="shared" si="81"/>
        <v>1.1261624192640001</v>
      </c>
      <c r="AK31" s="42">
        <f t="shared" ca="1" si="82"/>
        <v>428278992.6698088</v>
      </c>
      <c r="AL31" s="108">
        <f t="shared" si="83"/>
        <v>0.35</v>
      </c>
      <c r="AM31" s="42">
        <f t="shared" ca="1" si="84"/>
        <v>149897647.43443307</v>
      </c>
      <c r="AN31" s="49">
        <f t="shared" si="85"/>
        <v>96.515600000000006</v>
      </c>
      <c r="AO31" s="42">
        <f t="shared" ca="1" si="86"/>
        <v>12502584.141685015</v>
      </c>
      <c r="AP31" s="108">
        <f t="shared" si="87"/>
        <v>0.25</v>
      </c>
      <c r="AQ31" s="42">
        <f t="shared" si="56"/>
        <v>1964877.2390377542</v>
      </c>
      <c r="AR31" s="42">
        <f t="shared" ca="1" si="88"/>
        <v>14467461.380722769</v>
      </c>
      <c r="AS31" s="42">
        <f t="shared" ca="1" si="89"/>
        <v>9376938.1062637605</v>
      </c>
      <c r="AT31" s="42">
        <f t="shared" ca="1" si="90"/>
        <v>7213029.3125105845</v>
      </c>
      <c r="AU31" s="404">
        <f t="shared" ca="1" si="21"/>
        <v>7213029.3125105845</v>
      </c>
    </row>
    <row r="32" spans="1:47" ht="16" customHeight="1">
      <c r="A32" s="110">
        <f t="shared" si="57"/>
        <v>0</v>
      </c>
      <c r="B32" s="124">
        <f t="shared" si="58"/>
        <v>52596</v>
      </c>
      <c r="C32" s="117">
        <f>+IF(B32&gt;=H$9,'Taxes and TIF'!C31+1,'Taxes and TIF'!C31)</f>
        <v>20</v>
      </c>
      <c r="D32" s="42">
        <f t="shared" si="23"/>
        <v>26707545.248142131</v>
      </c>
      <c r="E32" s="116">
        <f t="shared" si="59"/>
        <v>1.14868566764928</v>
      </c>
      <c r="F32" s="42">
        <f t="shared" ca="1" si="7"/>
        <v>413073057.3550086</v>
      </c>
      <c r="G32" s="108">
        <f t="shared" si="60"/>
        <v>0.35</v>
      </c>
      <c r="H32" s="42">
        <f t="shared" ca="1" si="0"/>
        <v>144575570.07425299</v>
      </c>
      <c r="I32" s="49">
        <f t="shared" si="61"/>
        <v>96.515600000000006</v>
      </c>
      <c r="J32" s="42">
        <f t="shared" ca="1" si="62"/>
        <v>13051604.727105519</v>
      </c>
      <c r="K32" s="108">
        <f t="shared" si="63"/>
        <v>0.25</v>
      </c>
      <c r="L32" s="42">
        <f t="shared" si="1"/>
        <v>902193.16395305539</v>
      </c>
      <c r="M32" s="42">
        <f t="shared" ca="1" si="64"/>
        <v>13953797.891058573</v>
      </c>
      <c r="N32" s="42">
        <f t="shared" ca="1" si="65"/>
        <v>9788703.5453291386</v>
      </c>
      <c r="O32" s="42">
        <f t="shared" ca="1" si="66"/>
        <v>7529771.9579454912</v>
      </c>
      <c r="P32" s="404">
        <f t="shared" ca="1" si="9"/>
        <v>7529771.9579454912</v>
      </c>
      <c r="R32" s="124">
        <f t="shared" si="67"/>
        <v>53327</v>
      </c>
      <c r="S32" s="117">
        <f>+IF(R32&gt;=X$9,'Taxes and TIF'!S31+1,'Taxes and TIF'!S31)</f>
        <v>20</v>
      </c>
      <c r="T32" s="42">
        <f t="shared" si="68"/>
        <v>81611947</v>
      </c>
      <c r="U32" s="116">
        <f t="shared" si="69"/>
        <v>1.14868566764928</v>
      </c>
      <c r="V32" s="42">
        <f t="shared" ca="1" si="70"/>
        <v>166007124.97658387</v>
      </c>
      <c r="W32" s="108">
        <f t="shared" si="71"/>
        <v>0.35</v>
      </c>
      <c r="X32" s="42">
        <f t="shared" ca="1" si="72"/>
        <v>58102493.741804354</v>
      </c>
      <c r="Y32" s="49">
        <f t="shared" si="73"/>
        <v>96.515600000000006</v>
      </c>
      <c r="Z32" s="42">
        <f t="shared" ca="1" si="74"/>
        <v>2850907.9338308726</v>
      </c>
      <c r="AA32" s="108">
        <f t="shared" si="75"/>
        <v>0.25</v>
      </c>
      <c r="AB32" s="42">
        <f t="shared" si="76"/>
        <v>2756889.1111556203</v>
      </c>
      <c r="AC32" s="42">
        <f t="shared" si="52"/>
        <v>2756889.1111556203</v>
      </c>
      <c r="AD32" s="42">
        <f t="shared" ca="1" si="77"/>
        <v>2138180.9503731546</v>
      </c>
      <c r="AE32" s="42">
        <f t="shared" ca="1" si="78"/>
        <v>1644754.5772101188</v>
      </c>
      <c r="AF32" s="404">
        <f t="shared" ca="1" si="14"/>
        <v>1644754.5772101188</v>
      </c>
      <c r="AG32" s="124">
        <f t="shared" si="79"/>
        <v>54057</v>
      </c>
      <c r="AH32" s="117">
        <f>+IF(AG32&gt;=AM$9,'Taxes and TIF'!AH31+1,'Taxes and TIF'!AH31)</f>
        <v>19</v>
      </c>
      <c r="AI32" s="42">
        <f t="shared" si="80"/>
        <v>58166088.88800668</v>
      </c>
      <c r="AJ32" s="116">
        <f t="shared" si="81"/>
        <v>1.14868566764928</v>
      </c>
      <c r="AK32" s="42">
        <f t="shared" ca="1" si="82"/>
        <v>436844572.52320492</v>
      </c>
      <c r="AL32" s="108">
        <f t="shared" si="83"/>
        <v>0.35</v>
      </c>
      <c r="AM32" s="42">
        <f t="shared" ca="1" si="84"/>
        <v>152895600.3831217</v>
      </c>
      <c r="AN32" s="49">
        <f t="shared" si="85"/>
        <v>96.515600000000006</v>
      </c>
      <c r="AO32" s="42">
        <f t="shared" ca="1" si="86"/>
        <v>12791933.369299468</v>
      </c>
      <c r="AP32" s="108">
        <f t="shared" si="87"/>
        <v>0.25</v>
      </c>
      <c r="AQ32" s="42">
        <f t="shared" si="56"/>
        <v>1964877.2390377542</v>
      </c>
      <c r="AR32" s="42">
        <f t="shared" ca="1" si="88"/>
        <v>14756810.608337222</v>
      </c>
      <c r="AS32" s="42">
        <f t="shared" ca="1" si="89"/>
        <v>9593950.0269745998</v>
      </c>
      <c r="AT32" s="42">
        <f t="shared" ca="1" si="90"/>
        <v>7379961.5592112299</v>
      </c>
      <c r="AU32" s="404">
        <f t="shared" ca="1" si="21"/>
        <v>7379961.5592112299</v>
      </c>
    </row>
    <row r="33" spans="1:47" ht="16" customHeight="1">
      <c r="A33" s="110">
        <f t="shared" si="57"/>
        <v>1</v>
      </c>
      <c r="B33" s="124">
        <f t="shared" si="58"/>
        <v>52962</v>
      </c>
      <c r="C33" s="117">
        <f>+IF(B33&gt;=H$9,'Taxes and TIF'!C32+1,'Taxes and TIF'!C32)</f>
        <v>21</v>
      </c>
      <c r="D33" s="42">
        <f t="shared" si="23"/>
        <v>26707545.248142131</v>
      </c>
      <c r="E33" s="116">
        <f t="shared" si="59"/>
        <v>1.14868566764928</v>
      </c>
      <c r="F33" s="42">
        <f t="shared" ca="1" si="7"/>
        <v>413073057.3550086</v>
      </c>
      <c r="G33" s="108">
        <f t="shared" si="60"/>
        <v>0.35</v>
      </c>
      <c r="H33" s="42">
        <f t="shared" ca="1" si="0"/>
        <v>144575570.07425299</v>
      </c>
      <c r="I33" s="49">
        <f t="shared" si="61"/>
        <v>96.515600000000006</v>
      </c>
      <c r="J33" s="42">
        <f t="shared" ca="1" si="62"/>
        <v>13051604.727105519</v>
      </c>
      <c r="K33" s="108">
        <f t="shared" si="63"/>
        <v>0.25</v>
      </c>
      <c r="L33" s="42">
        <f t="shared" si="1"/>
        <v>902193.16395305539</v>
      </c>
      <c r="M33" s="42">
        <f t="shared" ca="1" si="64"/>
        <v>13953797.891058573</v>
      </c>
      <c r="N33" s="42">
        <f t="shared" ca="1" si="65"/>
        <v>9788703.5453291386</v>
      </c>
      <c r="O33" s="42">
        <f t="shared" ca="1" si="66"/>
        <v>7529771.9579454912</v>
      </c>
      <c r="P33" s="404">
        <f t="shared" ca="1" si="9"/>
        <v>7529771.9579454912</v>
      </c>
      <c r="R33" s="124">
        <f t="shared" si="67"/>
        <v>53692</v>
      </c>
      <c r="S33" s="117">
        <f>+IF(R33&gt;=X$9,'Taxes and TIF'!S32+1,'Taxes and TIF'!S32)</f>
        <v>21</v>
      </c>
      <c r="T33" s="42">
        <f t="shared" si="68"/>
        <v>81611947</v>
      </c>
      <c r="U33" s="116">
        <f t="shared" si="69"/>
        <v>1.14868566764928</v>
      </c>
      <c r="V33" s="42">
        <f t="shared" ca="1" si="70"/>
        <v>166007124.97658387</v>
      </c>
      <c r="W33" s="108">
        <f t="shared" si="71"/>
        <v>0.35</v>
      </c>
      <c r="X33" s="42">
        <f t="shared" ca="1" si="72"/>
        <v>58102493.741804354</v>
      </c>
      <c r="Y33" s="49">
        <f t="shared" si="73"/>
        <v>96.515600000000006</v>
      </c>
      <c r="Z33" s="42">
        <f t="shared" ca="1" si="74"/>
        <v>2850907.9338308726</v>
      </c>
      <c r="AA33" s="108">
        <f t="shared" si="75"/>
        <v>0.25</v>
      </c>
      <c r="AB33" s="42">
        <f t="shared" si="76"/>
        <v>2756889.1111556203</v>
      </c>
      <c r="AC33" s="42">
        <f t="shared" si="52"/>
        <v>2756889.1111556203</v>
      </c>
      <c r="AD33" s="42">
        <f t="shared" ca="1" si="77"/>
        <v>2138180.9503731546</v>
      </c>
      <c r="AE33" s="42">
        <f t="shared" ca="1" si="78"/>
        <v>1644754.5772101188</v>
      </c>
      <c r="AF33" s="404">
        <f t="shared" ca="1" si="14"/>
        <v>1644754.5772101188</v>
      </c>
      <c r="AG33" s="124">
        <f t="shared" si="79"/>
        <v>54423</v>
      </c>
      <c r="AH33" s="117">
        <f>+IF(AG33&gt;=AM$9,'Taxes and TIF'!AH32+1,'Taxes and TIF'!AH32)</f>
        <v>20</v>
      </c>
      <c r="AI33" s="42">
        <f t="shared" si="80"/>
        <v>58166088.88800668</v>
      </c>
      <c r="AJ33" s="116">
        <f t="shared" si="81"/>
        <v>1.14868566764928</v>
      </c>
      <c r="AK33" s="42">
        <f t="shared" ca="1" si="82"/>
        <v>436844572.52320492</v>
      </c>
      <c r="AL33" s="108">
        <f t="shared" si="83"/>
        <v>0.35</v>
      </c>
      <c r="AM33" s="42">
        <f t="shared" ca="1" si="84"/>
        <v>152895600.3831217</v>
      </c>
      <c r="AN33" s="49">
        <f t="shared" si="85"/>
        <v>96.515600000000006</v>
      </c>
      <c r="AO33" s="42">
        <f t="shared" ca="1" si="86"/>
        <v>12791933.369299468</v>
      </c>
      <c r="AP33" s="108">
        <f t="shared" si="87"/>
        <v>0.25</v>
      </c>
      <c r="AQ33" s="42">
        <f t="shared" si="56"/>
        <v>1964877.2390377542</v>
      </c>
      <c r="AR33" s="42">
        <f t="shared" ca="1" si="88"/>
        <v>14756810.608337222</v>
      </c>
      <c r="AS33" s="42">
        <f t="shared" ca="1" si="89"/>
        <v>9593950.0269745998</v>
      </c>
      <c r="AT33" s="42">
        <f t="shared" ca="1" si="90"/>
        <v>7379961.5592112299</v>
      </c>
      <c r="AU33" s="404">
        <f t="shared" ca="1" si="21"/>
        <v>7379961.5592112299</v>
      </c>
    </row>
    <row r="34" spans="1:47" ht="16" customHeight="1">
      <c r="A34" s="110">
        <f t="shared" si="57"/>
        <v>2</v>
      </c>
      <c r="B34" s="124">
        <f t="shared" si="58"/>
        <v>53327</v>
      </c>
      <c r="C34" s="117">
        <f>+IF(B34&gt;=H$9,'Taxes and TIF'!C33+1,'Taxes and TIF'!C33)</f>
        <v>22</v>
      </c>
      <c r="D34" s="42">
        <f t="shared" si="23"/>
        <v>26707545.248142131</v>
      </c>
      <c r="E34" s="116">
        <f t="shared" si="59"/>
        <v>1.14868566764928</v>
      </c>
      <c r="F34" s="42">
        <f t="shared" ca="1" si="7"/>
        <v>413073057.3550086</v>
      </c>
      <c r="G34" s="108">
        <f t="shared" si="60"/>
        <v>0.35</v>
      </c>
      <c r="H34" s="42">
        <f t="shared" ca="1" si="0"/>
        <v>144575570.07425299</v>
      </c>
      <c r="I34" s="49">
        <f t="shared" si="61"/>
        <v>96.515600000000006</v>
      </c>
      <c r="J34" s="42">
        <f t="shared" ca="1" si="62"/>
        <v>13051604.727105519</v>
      </c>
      <c r="K34" s="108">
        <f t="shared" si="63"/>
        <v>0.25</v>
      </c>
      <c r="L34" s="42">
        <f t="shared" si="1"/>
        <v>902193.16395305539</v>
      </c>
      <c r="M34" s="42">
        <f t="shared" ca="1" si="64"/>
        <v>13953797.891058573</v>
      </c>
      <c r="N34" s="42">
        <f t="shared" ca="1" si="65"/>
        <v>9788703.5453291386</v>
      </c>
      <c r="O34" s="42">
        <f t="shared" ca="1" si="66"/>
        <v>7529771.9579454912</v>
      </c>
      <c r="P34" s="404">
        <f t="shared" ca="1" si="9"/>
        <v>7529771.9579454912</v>
      </c>
      <c r="R34" s="124">
        <f t="shared" si="67"/>
        <v>54057</v>
      </c>
      <c r="S34" s="117">
        <f>+IF(R34&gt;=X$9,'Taxes and TIF'!S33+1,'Taxes and TIF'!S33)</f>
        <v>22</v>
      </c>
      <c r="T34" s="42">
        <f t="shared" si="68"/>
        <v>81611947</v>
      </c>
      <c r="U34" s="116">
        <f t="shared" si="69"/>
        <v>1.14868566764928</v>
      </c>
      <c r="V34" s="42">
        <f t="shared" ca="1" si="70"/>
        <v>166007124.97658387</v>
      </c>
      <c r="W34" s="108">
        <f t="shared" si="71"/>
        <v>0.35</v>
      </c>
      <c r="X34" s="42">
        <f t="shared" ca="1" si="72"/>
        <v>58102493.741804354</v>
      </c>
      <c r="Y34" s="49">
        <f t="shared" si="73"/>
        <v>96.515600000000006</v>
      </c>
      <c r="Z34" s="42">
        <f t="shared" ca="1" si="74"/>
        <v>2850907.9338308726</v>
      </c>
      <c r="AA34" s="108">
        <f t="shared" si="75"/>
        <v>0.25</v>
      </c>
      <c r="AB34" s="42">
        <f t="shared" si="76"/>
        <v>2756889.1111556203</v>
      </c>
      <c r="AC34" s="42">
        <f t="shared" si="52"/>
        <v>2756889.1111556203</v>
      </c>
      <c r="AD34" s="42">
        <f t="shared" ca="1" si="77"/>
        <v>2138180.9503731546</v>
      </c>
      <c r="AE34" s="42">
        <f t="shared" ca="1" si="78"/>
        <v>1644754.5772101188</v>
      </c>
      <c r="AF34" s="404">
        <f t="shared" ca="1" si="14"/>
        <v>1644754.5772101188</v>
      </c>
      <c r="AG34" s="124">
        <f t="shared" si="79"/>
        <v>54788</v>
      </c>
      <c r="AH34" s="117">
        <f>+IF(AG34&gt;=AM$9,'Taxes and TIF'!AH33+1,'Taxes and TIF'!AH33)</f>
        <v>21</v>
      </c>
      <c r="AI34" s="42">
        <f t="shared" si="80"/>
        <v>58166088.88800668</v>
      </c>
      <c r="AJ34" s="116">
        <f t="shared" si="81"/>
        <v>1.14868566764928</v>
      </c>
      <c r="AK34" s="42">
        <f t="shared" ca="1" si="82"/>
        <v>436844572.52320492</v>
      </c>
      <c r="AL34" s="108">
        <f t="shared" si="83"/>
        <v>0.35</v>
      </c>
      <c r="AM34" s="42">
        <f t="shared" ca="1" si="84"/>
        <v>152895600.3831217</v>
      </c>
      <c r="AN34" s="49">
        <f t="shared" si="85"/>
        <v>96.515600000000006</v>
      </c>
      <c r="AO34" s="42">
        <f t="shared" ca="1" si="86"/>
        <v>12791933.369299468</v>
      </c>
      <c r="AP34" s="108">
        <f t="shared" si="87"/>
        <v>0.25</v>
      </c>
      <c r="AQ34" s="42">
        <f t="shared" si="56"/>
        <v>1964877.2390377542</v>
      </c>
      <c r="AR34" s="42">
        <f t="shared" ca="1" si="88"/>
        <v>14756810.608337222</v>
      </c>
      <c r="AS34" s="42">
        <f t="shared" ca="1" si="89"/>
        <v>9593950.0269745998</v>
      </c>
      <c r="AT34" s="42">
        <f t="shared" ca="1" si="90"/>
        <v>7379961.5592112299</v>
      </c>
      <c r="AU34" s="404">
        <f t="shared" ca="1" si="21"/>
        <v>7379961.5592112299</v>
      </c>
    </row>
    <row r="35" spans="1:47" ht="16" customHeight="1">
      <c r="A35" s="110">
        <f t="shared" si="57"/>
        <v>0</v>
      </c>
      <c r="B35" s="124">
        <f t="shared" si="58"/>
        <v>53692</v>
      </c>
      <c r="C35" s="117">
        <f>+IF(B35&gt;=H$9,'Taxes and TIF'!C34+1,'Taxes and TIF'!C34)</f>
        <v>23</v>
      </c>
      <c r="D35" s="42">
        <f t="shared" si="23"/>
        <v>27241696.153104976</v>
      </c>
      <c r="E35" s="116">
        <f t="shared" si="59"/>
        <v>1.1716593810022657</v>
      </c>
      <c r="F35" s="42">
        <f t="shared" ca="1" si="7"/>
        <v>421334518.50210881</v>
      </c>
      <c r="G35" s="108">
        <f t="shared" si="60"/>
        <v>0.35</v>
      </c>
      <c r="H35" s="42">
        <f t="shared" ca="1" si="0"/>
        <v>147467081.47573808</v>
      </c>
      <c r="I35" s="49">
        <f t="shared" si="61"/>
        <v>96.515600000000006</v>
      </c>
      <c r="J35" s="42">
        <f t="shared" ca="1" si="62"/>
        <v>13312636.821647631</v>
      </c>
      <c r="K35" s="108">
        <f t="shared" si="63"/>
        <v>0.25</v>
      </c>
      <c r="L35" s="42">
        <f t="shared" si="1"/>
        <v>920237.02723211655</v>
      </c>
      <c r="M35" s="42">
        <f t="shared" ca="1" si="64"/>
        <v>14232873.848879747</v>
      </c>
      <c r="N35" s="42">
        <f t="shared" ca="1" si="65"/>
        <v>9984477.6162357237</v>
      </c>
      <c r="O35" s="42">
        <f t="shared" ca="1" si="66"/>
        <v>7680367.397104403</v>
      </c>
      <c r="P35" s="404">
        <f t="shared" ca="1" si="9"/>
        <v>7680367.397104403</v>
      </c>
      <c r="R35" s="124">
        <f t="shared" si="67"/>
        <v>54423</v>
      </c>
      <c r="S35" s="117">
        <f>+IF(R35&gt;=X$9,'Taxes and TIF'!S34+1,'Taxes and TIF'!S34)</f>
        <v>23</v>
      </c>
      <c r="T35" s="42">
        <f t="shared" si="68"/>
        <v>81611947</v>
      </c>
      <c r="U35" s="116">
        <f t="shared" si="69"/>
        <v>1.1716593810022657</v>
      </c>
      <c r="V35" s="42">
        <f t="shared" ca="1" si="70"/>
        <v>169327267.47611555</v>
      </c>
      <c r="W35" s="108">
        <f t="shared" si="71"/>
        <v>0.35</v>
      </c>
      <c r="X35" s="42">
        <f t="shared" ca="1" si="72"/>
        <v>59264543.616640441</v>
      </c>
      <c r="Y35" s="49">
        <f t="shared" si="73"/>
        <v>96.515600000000006</v>
      </c>
      <c r="Z35" s="42">
        <f t="shared" ca="1" si="74"/>
        <v>2963063.8747306024</v>
      </c>
      <c r="AA35" s="108">
        <f t="shared" si="75"/>
        <v>0.25</v>
      </c>
      <c r="AB35" s="42">
        <f t="shared" si="76"/>
        <v>2756889.1111556203</v>
      </c>
      <c r="AC35" s="42">
        <f t="shared" si="52"/>
        <v>2756889.1111556203</v>
      </c>
      <c r="AD35" s="42">
        <f t="shared" ca="1" si="77"/>
        <v>2222297.9060479519</v>
      </c>
      <c r="AE35" s="42">
        <f t="shared" ca="1" si="78"/>
        <v>1709459.9277291938</v>
      </c>
      <c r="AF35" s="404">
        <f t="shared" ca="1" si="14"/>
        <v>1709459.9277291938</v>
      </c>
      <c r="AG35" s="124">
        <f t="shared" si="79"/>
        <v>55153</v>
      </c>
      <c r="AH35" s="117">
        <f>+IF(AG35&gt;=AM$9,'Taxes and TIF'!AH34+1,'Taxes and TIF'!AH34)</f>
        <v>22</v>
      </c>
      <c r="AI35" s="42">
        <f t="shared" si="80"/>
        <v>58166088.88800668</v>
      </c>
      <c r="AJ35" s="116">
        <f t="shared" si="81"/>
        <v>1.1716593810022657</v>
      </c>
      <c r="AK35" s="42">
        <f t="shared" ca="1" si="82"/>
        <v>445581463.97366905</v>
      </c>
      <c r="AL35" s="108">
        <f t="shared" si="83"/>
        <v>0.35</v>
      </c>
      <c r="AM35" s="42">
        <f t="shared" ca="1" si="84"/>
        <v>155953512.39078414</v>
      </c>
      <c r="AN35" s="49">
        <f t="shared" si="85"/>
        <v>96.515600000000006</v>
      </c>
      <c r="AO35" s="42">
        <f t="shared" ca="1" si="86"/>
        <v>13087069.581466213</v>
      </c>
      <c r="AP35" s="108">
        <f t="shared" si="87"/>
        <v>0.25</v>
      </c>
      <c r="AQ35" s="42">
        <f t="shared" si="56"/>
        <v>1964877.2390377542</v>
      </c>
      <c r="AR35" s="42">
        <f t="shared" ca="1" si="88"/>
        <v>15051946.820503967</v>
      </c>
      <c r="AS35" s="42">
        <f t="shared" ca="1" si="89"/>
        <v>9815302.1860996597</v>
      </c>
      <c r="AT35" s="42">
        <f t="shared" ca="1" si="90"/>
        <v>7550232.4508458916</v>
      </c>
      <c r="AU35" s="404">
        <f t="shared" ca="1" si="21"/>
        <v>7550232.4508458916</v>
      </c>
    </row>
    <row r="36" spans="1:47" ht="16" customHeight="1">
      <c r="A36" s="110">
        <f t="shared" si="57"/>
        <v>1</v>
      </c>
      <c r="B36" s="124">
        <f t="shared" si="58"/>
        <v>54057</v>
      </c>
      <c r="C36" s="117">
        <f>+IF(B36&gt;=H$9,'Taxes and TIF'!C35+1,'Taxes and TIF'!C35)</f>
        <v>24</v>
      </c>
      <c r="D36" s="42">
        <f t="shared" si="23"/>
        <v>27241696.153104976</v>
      </c>
      <c r="E36" s="116">
        <f t="shared" si="59"/>
        <v>1.1716593810022657</v>
      </c>
      <c r="F36" s="42">
        <f t="shared" ca="1" si="7"/>
        <v>421334518.50210881</v>
      </c>
      <c r="G36" s="108">
        <f t="shared" si="60"/>
        <v>0.35</v>
      </c>
      <c r="H36" s="42">
        <f t="shared" ca="1" si="0"/>
        <v>147467081.47573808</v>
      </c>
      <c r="I36" s="49">
        <f t="shared" si="61"/>
        <v>96.515600000000006</v>
      </c>
      <c r="J36" s="42">
        <f t="shared" ca="1" si="62"/>
        <v>13312636.821647631</v>
      </c>
      <c r="K36" s="108">
        <f t="shared" si="63"/>
        <v>0.25</v>
      </c>
      <c r="L36" s="42">
        <f t="shared" si="1"/>
        <v>920237.02723211655</v>
      </c>
      <c r="M36" s="42">
        <f t="shared" ca="1" si="64"/>
        <v>14232873.848879747</v>
      </c>
      <c r="N36" s="42">
        <f t="shared" ca="1" si="65"/>
        <v>9984477.6162357237</v>
      </c>
      <c r="O36" s="42">
        <f t="shared" ca="1" si="66"/>
        <v>7680367.397104403</v>
      </c>
      <c r="P36" s="404">
        <f t="shared" ca="1" si="9"/>
        <v>7680367.397104403</v>
      </c>
      <c r="R36" s="124">
        <f t="shared" si="67"/>
        <v>54788</v>
      </c>
      <c r="S36" s="117">
        <f>+IF(R36&gt;=X$9,'Taxes and TIF'!S35+1,'Taxes and TIF'!S35)</f>
        <v>24</v>
      </c>
      <c r="T36" s="42">
        <f t="shared" si="68"/>
        <v>81611947</v>
      </c>
      <c r="U36" s="116">
        <f t="shared" si="69"/>
        <v>1.1716593810022657</v>
      </c>
      <c r="V36" s="42">
        <f t="shared" ca="1" si="70"/>
        <v>169327267.47611555</v>
      </c>
      <c r="W36" s="108">
        <f t="shared" si="71"/>
        <v>0.35</v>
      </c>
      <c r="X36" s="42">
        <f t="shared" ca="1" si="72"/>
        <v>59264543.616640441</v>
      </c>
      <c r="Y36" s="49">
        <f t="shared" si="73"/>
        <v>96.515600000000006</v>
      </c>
      <c r="Z36" s="42">
        <f t="shared" ca="1" si="74"/>
        <v>2963063.8747306024</v>
      </c>
      <c r="AA36" s="108">
        <f t="shared" si="75"/>
        <v>0.25</v>
      </c>
      <c r="AB36" s="42">
        <f t="shared" si="76"/>
        <v>2756889.1111556203</v>
      </c>
      <c r="AC36" s="42">
        <f t="shared" si="52"/>
        <v>2756889.1111556203</v>
      </c>
      <c r="AD36" s="42">
        <f t="shared" ca="1" si="77"/>
        <v>2222297.9060479519</v>
      </c>
      <c r="AE36" s="42">
        <f t="shared" ca="1" si="78"/>
        <v>1709459.9277291938</v>
      </c>
      <c r="AF36" s="404">
        <f t="shared" ca="1" si="14"/>
        <v>1709459.9277291938</v>
      </c>
      <c r="AG36" s="124">
        <f t="shared" si="79"/>
        <v>55518</v>
      </c>
      <c r="AH36" s="117">
        <f>+IF(AG36&gt;=AM$9,'Taxes and TIF'!AH35+1,'Taxes and TIF'!AH35)</f>
        <v>23</v>
      </c>
      <c r="AI36" s="42">
        <f t="shared" si="80"/>
        <v>58166088.88800668</v>
      </c>
      <c r="AJ36" s="116">
        <f t="shared" si="81"/>
        <v>1.1716593810022657</v>
      </c>
      <c r="AK36" s="42">
        <f t="shared" ca="1" si="82"/>
        <v>445581463.97366905</v>
      </c>
      <c r="AL36" s="108">
        <f t="shared" si="83"/>
        <v>0.35</v>
      </c>
      <c r="AM36" s="42">
        <f t="shared" ca="1" si="84"/>
        <v>155953512.39078414</v>
      </c>
      <c r="AN36" s="49">
        <f t="shared" si="85"/>
        <v>96.515600000000006</v>
      </c>
      <c r="AO36" s="42">
        <f t="shared" ca="1" si="86"/>
        <v>13087069.581466213</v>
      </c>
      <c r="AP36" s="108">
        <f t="shared" si="87"/>
        <v>0.25</v>
      </c>
      <c r="AQ36" s="42">
        <f t="shared" si="56"/>
        <v>1964877.2390377542</v>
      </c>
      <c r="AR36" s="42">
        <f t="shared" ca="1" si="88"/>
        <v>15051946.820503967</v>
      </c>
      <c r="AS36" s="42">
        <f t="shared" ca="1" si="89"/>
        <v>9815302.1860996597</v>
      </c>
      <c r="AT36" s="42">
        <f t="shared" ca="1" si="90"/>
        <v>7550232.4508458916</v>
      </c>
      <c r="AU36" s="404">
        <f t="shared" ca="1" si="21"/>
        <v>7550232.4508458916</v>
      </c>
    </row>
    <row r="37" spans="1:47" ht="16" customHeight="1">
      <c r="A37" s="110">
        <f t="shared" si="57"/>
        <v>2</v>
      </c>
      <c r="B37" s="124">
        <f t="shared" si="58"/>
        <v>54423</v>
      </c>
      <c r="C37" s="117">
        <f>+IF(B37&gt;=H$9,'Taxes and TIF'!C36+1,'Taxes and TIF'!C36)</f>
        <v>25</v>
      </c>
      <c r="D37" s="42">
        <f t="shared" si="23"/>
        <v>27241696.153104976</v>
      </c>
      <c r="E37" s="116">
        <f t="shared" si="59"/>
        <v>1.1716593810022657</v>
      </c>
      <c r="F37" s="42">
        <f t="shared" ca="1" si="7"/>
        <v>421334518.50210881</v>
      </c>
      <c r="G37" s="108">
        <f t="shared" si="60"/>
        <v>0.35</v>
      </c>
      <c r="H37" s="42">
        <f t="shared" ca="1" si="0"/>
        <v>147467081.47573808</v>
      </c>
      <c r="I37" s="49">
        <f t="shared" si="61"/>
        <v>96.515600000000006</v>
      </c>
      <c r="J37" s="42">
        <f t="shared" ca="1" si="62"/>
        <v>13312636.821647631</v>
      </c>
      <c r="K37" s="108">
        <f t="shared" si="63"/>
        <v>0.25</v>
      </c>
      <c r="L37" s="42">
        <f t="shared" si="1"/>
        <v>920237.02723211655</v>
      </c>
      <c r="M37" s="42">
        <f t="shared" ca="1" si="64"/>
        <v>14232873.848879747</v>
      </c>
      <c r="N37" s="42">
        <f t="shared" ca="1" si="65"/>
        <v>9984477.6162357237</v>
      </c>
      <c r="O37" s="42">
        <f t="shared" ca="1" si="66"/>
        <v>7680367.397104403</v>
      </c>
      <c r="P37" s="404">
        <f t="shared" ca="1" si="9"/>
        <v>7680367.397104403</v>
      </c>
      <c r="R37" s="124">
        <f t="shared" si="67"/>
        <v>55153</v>
      </c>
      <c r="S37" s="117">
        <f>+IF(R37&gt;=X$9,'Taxes and TIF'!S36+1,'Taxes and TIF'!S36)</f>
        <v>25</v>
      </c>
      <c r="T37" s="42">
        <f t="shared" si="68"/>
        <v>81611947</v>
      </c>
      <c r="U37" s="116">
        <f t="shared" si="69"/>
        <v>1.1716593810022657</v>
      </c>
      <c r="V37" s="42">
        <f t="shared" ca="1" si="70"/>
        <v>169327267.47611555</v>
      </c>
      <c r="W37" s="108">
        <f t="shared" si="71"/>
        <v>0.35</v>
      </c>
      <c r="X37" s="42">
        <f t="shared" ca="1" si="72"/>
        <v>59264543.616640441</v>
      </c>
      <c r="Y37" s="49">
        <f t="shared" si="73"/>
        <v>96.515600000000006</v>
      </c>
      <c r="Z37" s="42">
        <f t="shared" ca="1" si="74"/>
        <v>2963063.8747306024</v>
      </c>
      <c r="AA37" s="108">
        <f t="shared" si="75"/>
        <v>0.25</v>
      </c>
      <c r="AB37" s="42">
        <f t="shared" si="76"/>
        <v>2756889.1111556203</v>
      </c>
      <c r="AC37" s="42">
        <f t="shared" si="52"/>
        <v>2756889.1111556203</v>
      </c>
      <c r="AD37" s="42">
        <f t="shared" ca="1" si="77"/>
        <v>2222297.9060479519</v>
      </c>
      <c r="AE37" s="42">
        <f t="shared" ca="1" si="78"/>
        <v>1709459.9277291938</v>
      </c>
      <c r="AF37" s="404">
        <f t="shared" ca="1" si="14"/>
        <v>1709459.9277291938</v>
      </c>
      <c r="AG37" s="124">
        <f t="shared" si="79"/>
        <v>55884</v>
      </c>
      <c r="AH37" s="117">
        <f>+IF(AG37&gt;=AM$9,'Taxes and TIF'!AH36+1,'Taxes and TIF'!AH36)</f>
        <v>24</v>
      </c>
      <c r="AI37" s="42">
        <f t="shared" si="80"/>
        <v>58166088.88800668</v>
      </c>
      <c r="AJ37" s="116">
        <f t="shared" si="81"/>
        <v>1.1716593810022657</v>
      </c>
      <c r="AK37" s="42">
        <f t="shared" ca="1" si="82"/>
        <v>445581463.97366905</v>
      </c>
      <c r="AL37" s="108">
        <f t="shared" si="83"/>
        <v>0.35</v>
      </c>
      <c r="AM37" s="42">
        <f t="shared" ca="1" si="84"/>
        <v>155953512.39078414</v>
      </c>
      <c r="AN37" s="49">
        <f t="shared" si="85"/>
        <v>96.515600000000006</v>
      </c>
      <c r="AO37" s="42">
        <f t="shared" ca="1" si="86"/>
        <v>13087069.581466213</v>
      </c>
      <c r="AP37" s="108">
        <f t="shared" si="87"/>
        <v>0.25</v>
      </c>
      <c r="AQ37" s="42">
        <f t="shared" si="56"/>
        <v>1964877.2390377542</v>
      </c>
      <c r="AR37" s="42">
        <f t="shared" ca="1" si="88"/>
        <v>15051946.820503967</v>
      </c>
      <c r="AS37" s="42">
        <f t="shared" ca="1" si="89"/>
        <v>9815302.1860996597</v>
      </c>
      <c r="AT37" s="42">
        <f t="shared" ca="1" si="90"/>
        <v>7550232.4508458916</v>
      </c>
      <c r="AU37" s="404">
        <f t="shared" ca="1" si="21"/>
        <v>7550232.4508458916</v>
      </c>
    </row>
    <row r="38" spans="1:47" ht="16" customHeight="1">
      <c r="A38" s="110">
        <f t="shared" si="57"/>
        <v>0</v>
      </c>
      <c r="B38" s="124">
        <f t="shared" si="58"/>
        <v>54788</v>
      </c>
      <c r="C38" s="117">
        <f>+IF(B38&gt;=H$9,'Taxes and TIF'!C37+1,'Taxes and TIF'!C37)</f>
        <v>26</v>
      </c>
      <c r="D38" s="42">
        <f t="shared" si="23"/>
        <v>27786530.076167077</v>
      </c>
      <c r="E38" s="116">
        <f t="shared" si="59"/>
        <v>1.1950925686223111</v>
      </c>
      <c r="F38" s="42">
        <f t="shared" ca="1" si="7"/>
        <v>429761208.87215102</v>
      </c>
      <c r="G38" s="108">
        <f t="shared" si="60"/>
        <v>0.35</v>
      </c>
      <c r="H38" s="42">
        <f t="shared" ca="1" si="0"/>
        <v>150416423.10525283</v>
      </c>
      <c r="I38" s="49">
        <f t="shared" si="61"/>
        <v>96.515600000000006</v>
      </c>
      <c r="J38" s="42">
        <f t="shared" ca="1" si="62"/>
        <v>13578889.558080582</v>
      </c>
      <c r="K38" s="108">
        <f t="shared" si="63"/>
        <v>0.25</v>
      </c>
      <c r="L38" s="42">
        <f t="shared" si="1"/>
        <v>938641.76777675876</v>
      </c>
      <c r="M38" s="42">
        <f t="shared" ca="1" si="64"/>
        <v>14517531.325857341</v>
      </c>
      <c r="N38" s="42">
        <f t="shared" ca="1" si="65"/>
        <v>10184167.168560436</v>
      </c>
      <c r="O38" s="42">
        <f t="shared" ca="1" si="66"/>
        <v>7833974.7450464889</v>
      </c>
      <c r="P38" s="404">
        <f t="shared" ca="1" si="9"/>
        <v>7833974.7450464889</v>
      </c>
      <c r="R38" s="124">
        <f t="shared" si="67"/>
        <v>55518</v>
      </c>
      <c r="S38" s="117">
        <f>+IF(R38&gt;=X$9,'Taxes and TIF'!S37+1,'Taxes and TIF'!S37)</f>
        <v>26</v>
      </c>
      <c r="T38" s="42">
        <f t="shared" si="68"/>
        <v>81611947</v>
      </c>
      <c r="U38" s="116">
        <f t="shared" si="69"/>
        <v>1.1950925686223111</v>
      </c>
      <c r="V38" s="42">
        <f t="shared" ca="1" si="70"/>
        <v>172713812.82563788</v>
      </c>
      <c r="W38" s="108">
        <f t="shared" si="71"/>
        <v>0.35</v>
      </c>
      <c r="X38" s="42">
        <f t="shared" ca="1" si="72"/>
        <v>60449834.488973252</v>
      </c>
      <c r="Y38" s="49">
        <f t="shared" si="73"/>
        <v>96.515600000000006</v>
      </c>
      <c r="Z38" s="42">
        <f t="shared" ca="1" si="74"/>
        <v>3077462.9344483274</v>
      </c>
      <c r="AA38" s="108">
        <f t="shared" si="75"/>
        <v>0.25</v>
      </c>
      <c r="AB38" s="42">
        <f t="shared" si="76"/>
        <v>2756889.1111556203</v>
      </c>
      <c r="AC38" s="42">
        <f t="shared" si="52"/>
        <v>2756889.1111556203</v>
      </c>
      <c r="AD38" s="42">
        <f t="shared" ca="1" si="77"/>
        <v>2308097.2008362454</v>
      </c>
      <c r="AE38" s="42">
        <f t="shared" ca="1" si="78"/>
        <v>1775459.3852586502</v>
      </c>
      <c r="AF38" s="404">
        <f t="shared" ca="1" si="14"/>
        <v>1775459.3852586502</v>
      </c>
      <c r="AG38" s="124">
        <f t="shared" si="79"/>
        <v>56249</v>
      </c>
      <c r="AH38" s="117">
        <f>+IF(AG38&gt;=AM$9,'Taxes and TIF'!AH37+1,'Taxes and TIF'!AH37)</f>
        <v>25</v>
      </c>
      <c r="AI38" s="42">
        <f t="shared" si="80"/>
        <v>58166088.88800668</v>
      </c>
      <c r="AJ38" s="116">
        <f t="shared" si="81"/>
        <v>1.1950925686223111</v>
      </c>
      <c r="AK38" s="42">
        <f t="shared" ca="1" si="82"/>
        <v>454493093.25314248</v>
      </c>
      <c r="AL38" s="108">
        <f t="shared" si="83"/>
        <v>0.35</v>
      </c>
      <c r="AM38" s="42">
        <f t="shared" ca="1" si="84"/>
        <v>159072582.63859984</v>
      </c>
      <c r="AN38" s="49">
        <f t="shared" si="85"/>
        <v>96.515600000000006</v>
      </c>
      <c r="AO38" s="42">
        <f t="shared" ca="1" si="86"/>
        <v>13388108.517876294</v>
      </c>
      <c r="AP38" s="108">
        <f t="shared" si="87"/>
        <v>0.25</v>
      </c>
      <c r="AQ38" s="42">
        <f t="shared" si="56"/>
        <v>1964877.2390377542</v>
      </c>
      <c r="AR38" s="42">
        <f t="shared" ca="1" si="88"/>
        <v>15352985.756914048</v>
      </c>
      <c r="AS38" s="42">
        <f t="shared" ca="1" si="89"/>
        <v>10041081.388407219</v>
      </c>
      <c r="AT38" s="42">
        <f t="shared" ca="1" si="90"/>
        <v>7723908.7603132455</v>
      </c>
      <c r="AU38" s="404">
        <f t="shared" ca="1" si="21"/>
        <v>7723908.7603132455</v>
      </c>
    </row>
    <row r="39" spans="1:47" ht="16" customHeight="1">
      <c r="A39" s="110">
        <f t="shared" si="57"/>
        <v>1</v>
      </c>
      <c r="B39" s="124">
        <f t="shared" si="58"/>
        <v>55153</v>
      </c>
      <c r="C39" s="117">
        <f>+IF(B39&gt;=H$9,'Taxes and TIF'!C38+1,'Taxes and TIF'!C38)</f>
        <v>27</v>
      </c>
      <c r="D39" s="42">
        <f t="shared" si="23"/>
        <v>27786530.076167077</v>
      </c>
      <c r="E39" s="116">
        <f t="shared" si="59"/>
        <v>1.1950925686223111</v>
      </c>
      <c r="F39" s="42">
        <f t="shared" ca="1" si="7"/>
        <v>429761208.87215102</v>
      </c>
      <c r="G39" s="108">
        <f t="shared" si="60"/>
        <v>0.35</v>
      </c>
      <c r="H39" s="42">
        <f t="shared" ca="1" si="0"/>
        <v>150416423.10525283</v>
      </c>
      <c r="I39" s="49">
        <f t="shared" si="61"/>
        <v>96.515600000000006</v>
      </c>
      <c r="J39" s="42">
        <f t="shared" ca="1" si="62"/>
        <v>13578889.558080582</v>
      </c>
      <c r="K39" s="108">
        <f t="shared" si="63"/>
        <v>0.25</v>
      </c>
      <c r="L39" s="42">
        <f t="shared" si="1"/>
        <v>938641.76777675876</v>
      </c>
      <c r="M39" s="42">
        <f t="shared" ca="1" si="64"/>
        <v>14517531.325857341</v>
      </c>
      <c r="N39" s="42">
        <f t="shared" ca="1" si="65"/>
        <v>10184167.168560436</v>
      </c>
      <c r="O39" s="42">
        <f t="shared" ca="1" si="66"/>
        <v>7833974.7450464889</v>
      </c>
      <c r="P39" s="404">
        <f t="shared" ca="1" si="9"/>
        <v>7833974.7450464889</v>
      </c>
      <c r="R39" s="124">
        <f t="shared" si="67"/>
        <v>55884</v>
      </c>
      <c r="S39" s="117">
        <f>+IF(R39&gt;=X$9,'Taxes and TIF'!S38+1,'Taxes and TIF'!S38)</f>
        <v>27</v>
      </c>
      <c r="T39" s="42">
        <f t="shared" si="68"/>
        <v>81611947</v>
      </c>
      <c r="U39" s="116">
        <f t="shared" si="69"/>
        <v>1.1950925686223111</v>
      </c>
      <c r="V39" s="42">
        <f t="shared" ca="1" si="70"/>
        <v>172713812.82563788</v>
      </c>
      <c r="W39" s="108">
        <f t="shared" si="71"/>
        <v>0.35</v>
      </c>
      <c r="X39" s="42">
        <f t="shared" ca="1" si="72"/>
        <v>60449834.488973252</v>
      </c>
      <c r="Y39" s="49">
        <f t="shared" si="73"/>
        <v>96.515600000000006</v>
      </c>
      <c r="Z39" s="42">
        <f t="shared" ca="1" si="74"/>
        <v>3077462.9344483274</v>
      </c>
      <c r="AA39" s="108">
        <f t="shared" si="75"/>
        <v>0.25</v>
      </c>
      <c r="AB39" s="42">
        <f t="shared" si="76"/>
        <v>2756889.1111556203</v>
      </c>
      <c r="AC39" s="42">
        <f t="shared" si="52"/>
        <v>2756889.1111556203</v>
      </c>
      <c r="AD39" s="42">
        <f t="shared" ca="1" si="77"/>
        <v>2308097.2008362454</v>
      </c>
      <c r="AE39" s="42">
        <f t="shared" ca="1" si="78"/>
        <v>1775459.3852586502</v>
      </c>
      <c r="AF39" s="404">
        <f t="shared" ca="1" si="14"/>
        <v>1775459.3852586502</v>
      </c>
      <c r="AG39" s="124">
        <f t="shared" si="79"/>
        <v>56614</v>
      </c>
      <c r="AH39" s="117">
        <f>+IF(AG39&gt;=AM$9,'Taxes and TIF'!AH38+1,'Taxes and TIF'!AH38)</f>
        <v>26</v>
      </c>
      <c r="AI39" s="42">
        <f t="shared" si="80"/>
        <v>58166088.88800668</v>
      </c>
      <c r="AJ39" s="116">
        <f t="shared" si="81"/>
        <v>1.1950925686223111</v>
      </c>
      <c r="AK39" s="42">
        <f t="shared" ca="1" si="82"/>
        <v>454493093.25314248</v>
      </c>
      <c r="AL39" s="108">
        <f t="shared" si="83"/>
        <v>0.35</v>
      </c>
      <c r="AM39" s="42">
        <f t="shared" ca="1" si="84"/>
        <v>159072582.63859984</v>
      </c>
      <c r="AN39" s="49">
        <f t="shared" si="85"/>
        <v>96.515600000000006</v>
      </c>
      <c r="AO39" s="42">
        <f t="shared" ca="1" si="86"/>
        <v>13388108.517876294</v>
      </c>
      <c r="AP39" s="108">
        <f t="shared" si="87"/>
        <v>0.25</v>
      </c>
      <c r="AQ39" s="42">
        <f t="shared" si="56"/>
        <v>1964877.2390377542</v>
      </c>
      <c r="AR39" s="42">
        <f t="shared" ca="1" si="88"/>
        <v>15352985.756914048</v>
      </c>
      <c r="AS39" s="42">
        <f t="shared" ca="1" si="89"/>
        <v>10041081.388407219</v>
      </c>
      <c r="AT39" s="42">
        <f t="shared" ca="1" si="90"/>
        <v>7723908.7603132455</v>
      </c>
      <c r="AU39" s="404">
        <f t="shared" ca="1" si="21"/>
        <v>7723908.7603132455</v>
      </c>
    </row>
    <row r="40" spans="1:47" ht="16" customHeight="1">
      <c r="A40" s="110">
        <f t="shared" si="57"/>
        <v>2</v>
      </c>
      <c r="B40" s="124">
        <f t="shared" si="58"/>
        <v>55518</v>
      </c>
      <c r="C40" s="117">
        <f>+IF(B40&gt;=H$9,'Taxes and TIF'!C39+1,'Taxes and TIF'!C39)</f>
        <v>28</v>
      </c>
      <c r="D40" s="42">
        <f t="shared" si="23"/>
        <v>27786530.076167077</v>
      </c>
      <c r="E40" s="116">
        <f t="shared" si="59"/>
        <v>1.1950925686223111</v>
      </c>
      <c r="F40" s="42">
        <f t="shared" ca="1" si="7"/>
        <v>429761208.87215102</v>
      </c>
      <c r="G40" s="108">
        <f t="shared" si="60"/>
        <v>0.35</v>
      </c>
      <c r="H40" s="42">
        <f t="shared" ca="1" si="0"/>
        <v>150416423.10525283</v>
      </c>
      <c r="I40" s="49">
        <f t="shared" si="61"/>
        <v>96.515600000000006</v>
      </c>
      <c r="J40" s="42">
        <f t="shared" ca="1" si="62"/>
        <v>13578889.558080582</v>
      </c>
      <c r="K40" s="108">
        <f t="shared" si="63"/>
        <v>0.25</v>
      </c>
      <c r="L40" s="42">
        <f t="shared" si="1"/>
        <v>938641.76777675876</v>
      </c>
      <c r="M40" s="42">
        <f t="shared" ca="1" si="64"/>
        <v>14517531.325857341</v>
      </c>
      <c r="N40" s="42">
        <f t="shared" ca="1" si="65"/>
        <v>10184167.168560436</v>
      </c>
      <c r="O40" s="42">
        <f t="shared" ca="1" si="66"/>
        <v>7833974.7450464889</v>
      </c>
      <c r="P40" s="404">
        <f t="shared" ca="1" si="9"/>
        <v>7833974.7450464889</v>
      </c>
      <c r="R40" s="124">
        <f t="shared" si="67"/>
        <v>56249</v>
      </c>
      <c r="S40" s="117">
        <f>+IF(R40&gt;=X$9,'Taxes and TIF'!S39+1,'Taxes and TIF'!S39)</f>
        <v>28</v>
      </c>
      <c r="T40" s="42">
        <f t="shared" si="68"/>
        <v>81611947</v>
      </c>
      <c r="U40" s="116">
        <f t="shared" si="69"/>
        <v>1.1950925686223111</v>
      </c>
      <c r="V40" s="42">
        <f t="shared" ca="1" si="70"/>
        <v>172713812.82563788</v>
      </c>
      <c r="W40" s="108">
        <f t="shared" si="71"/>
        <v>0.35</v>
      </c>
      <c r="X40" s="42">
        <f t="shared" ca="1" si="72"/>
        <v>60449834.488973252</v>
      </c>
      <c r="Y40" s="49">
        <f t="shared" si="73"/>
        <v>96.515600000000006</v>
      </c>
      <c r="Z40" s="42">
        <f t="shared" ca="1" si="74"/>
        <v>3077462.9344483274</v>
      </c>
      <c r="AA40" s="108">
        <f t="shared" si="75"/>
        <v>0.25</v>
      </c>
      <c r="AB40" s="42">
        <f t="shared" si="76"/>
        <v>2756889.1111556203</v>
      </c>
      <c r="AC40" s="42">
        <f t="shared" si="52"/>
        <v>2756889.1111556203</v>
      </c>
      <c r="AD40" s="42">
        <f t="shared" ca="1" si="77"/>
        <v>2308097.2008362454</v>
      </c>
      <c r="AE40" s="42">
        <f t="shared" ca="1" si="78"/>
        <v>1775459.3852586502</v>
      </c>
      <c r="AF40" s="404">
        <f t="shared" ca="1" si="14"/>
        <v>1775459.3852586502</v>
      </c>
      <c r="AG40" s="124">
        <f t="shared" si="79"/>
        <v>56979</v>
      </c>
      <c r="AH40" s="117">
        <f>+IF(AG40&gt;=AM$9,'Taxes and TIF'!AH39+1,'Taxes and TIF'!AH39)</f>
        <v>27</v>
      </c>
      <c r="AI40" s="42">
        <f t="shared" si="80"/>
        <v>58166088.88800668</v>
      </c>
      <c r="AJ40" s="116">
        <f t="shared" si="81"/>
        <v>1.1950925686223111</v>
      </c>
      <c r="AK40" s="42">
        <f t="shared" ca="1" si="82"/>
        <v>454493093.25314248</v>
      </c>
      <c r="AL40" s="108">
        <f t="shared" si="83"/>
        <v>0.35</v>
      </c>
      <c r="AM40" s="42">
        <f t="shared" ca="1" si="84"/>
        <v>159072582.63859984</v>
      </c>
      <c r="AN40" s="49">
        <f t="shared" si="85"/>
        <v>96.515600000000006</v>
      </c>
      <c r="AO40" s="42">
        <f t="shared" ca="1" si="86"/>
        <v>13388108.517876294</v>
      </c>
      <c r="AP40" s="108">
        <f t="shared" si="87"/>
        <v>0.25</v>
      </c>
      <c r="AQ40" s="42">
        <f t="shared" si="56"/>
        <v>1964877.2390377542</v>
      </c>
      <c r="AR40" s="42">
        <f t="shared" ca="1" si="88"/>
        <v>15352985.756914048</v>
      </c>
      <c r="AS40" s="42">
        <f t="shared" ca="1" si="89"/>
        <v>10041081.388407219</v>
      </c>
      <c r="AT40" s="42">
        <f t="shared" ca="1" si="90"/>
        <v>7723908.7603132455</v>
      </c>
      <c r="AU40" s="404">
        <f t="shared" ca="1" si="21"/>
        <v>7723908.7603132455</v>
      </c>
    </row>
    <row r="41" spans="1:47" ht="16" customHeight="1">
      <c r="A41" s="110">
        <f t="shared" si="57"/>
        <v>0</v>
      </c>
      <c r="B41" s="124">
        <f t="shared" si="58"/>
        <v>55884</v>
      </c>
      <c r="C41" s="117">
        <f>+IF(B41&gt;=H$9,'Taxes and TIF'!C40+1,'Taxes and TIF'!C40)</f>
        <v>29</v>
      </c>
      <c r="D41" s="42">
        <f t="shared" si="23"/>
        <v>28342260.67769042</v>
      </c>
      <c r="E41" s="116">
        <f t="shared" si="59"/>
        <v>1.2189944199947573</v>
      </c>
      <c r="F41" s="42">
        <f t="shared" ca="1" si="7"/>
        <v>438356433.04959404</v>
      </c>
      <c r="G41" s="108">
        <f t="shared" si="60"/>
        <v>0.35</v>
      </c>
      <c r="H41" s="42">
        <f t="shared" ca="1" si="0"/>
        <v>153424751.5673579</v>
      </c>
      <c r="I41" s="49">
        <f t="shared" si="61"/>
        <v>96.515600000000006</v>
      </c>
      <c r="J41" s="42">
        <f t="shared" ca="1" si="62"/>
        <v>13850467.349242194</v>
      </c>
      <c r="K41" s="108">
        <f t="shared" si="63"/>
        <v>0.25</v>
      </c>
      <c r="L41" s="42">
        <f t="shared" si="1"/>
        <v>957414.60313229414</v>
      </c>
      <c r="M41" s="42">
        <f t="shared" ca="1" si="64"/>
        <v>14807881.952374488</v>
      </c>
      <c r="N41" s="42">
        <f t="shared" ca="1" si="65"/>
        <v>10387850.511931645</v>
      </c>
      <c r="O41" s="42">
        <f t="shared" ca="1" si="66"/>
        <v>7990654.2399474187</v>
      </c>
      <c r="P41" s="404">
        <f t="shared" ca="1" si="9"/>
        <v>7990654.2399474187</v>
      </c>
      <c r="R41" s="124">
        <f t="shared" si="67"/>
        <v>56614</v>
      </c>
      <c r="S41" s="117">
        <f>+IF(R41&gt;=X$9,'Taxes and TIF'!S40+1,'Taxes and TIF'!S40)</f>
        <v>29</v>
      </c>
      <c r="T41" s="42">
        <f t="shared" si="68"/>
        <v>81611947</v>
      </c>
      <c r="U41" s="116">
        <f t="shared" si="69"/>
        <v>1.2189944199947573</v>
      </c>
      <c r="V41" s="42">
        <f t="shared" ca="1" si="70"/>
        <v>176168089.08215064</v>
      </c>
      <c r="W41" s="108">
        <f t="shared" si="71"/>
        <v>0.35</v>
      </c>
      <c r="X41" s="42">
        <f t="shared" ca="1" si="72"/>
        <v>61658831.17875272</v>
      </c>
      <c r="Y41" s="49">
        <f t="shared" si="73"/>
        <v>96.515600000000006</v>
      </c>
      <c r="Z41" s="42">
        <f t="shared" ca="1" si="74"/>
        <v>3194149.9753604061</v>
      </c>
      <c r="AA41" s="108">
        <f t="shared" si="75"/>
        <v>0.25</v>
      </c>
      <c r="AB41" s="42">
        <f t="shared" si="76"/>
        <v>2756889.1111556203</v>
      </c>
      <c r="AC41" s="42">
        <f t="shared" si="52"/>
        <v>2756889.1111556203</v>
      </c>
      <c r="AD41" s="42">
        <f t="shared" ca="1" si="77"/>
        <v>2395612.4815203045</v>
      </c>
      <c r="AE41" s="42">
        <f t="shared" ca="1" si="78"/>
        <v>1842778.8319386956</v>
      </c>
      <c r="AF41" s="404">
        <f t="shared" ca="1" si="14"/>
        <v>1842778.8319386956</v>
      </c>
      <c r="AG41" s="124">
        <f t="shared" si="79"/>
        <v>57345</v>
      </c>
      <c r="AH41" s="117">
        <f>+IF(AG41&gt;=AM$9,'Taxes and TIF'!AH40+1,'Taxes and TIF'!AH40)</f>
        <v>28</v>
      </c>
      <c r="AI41" s="42">
        <f t="shared" si="80"/>
        <v>58166088.88800668</v>
      </c>
      <c r="AJ41" s="116">
        <f t="shared" si="81"/>
        <v>1.2189944199947573</v>
      </c>
      <c r="AK41" s="42">
        <f t="shared" ca="1" si="82"/>
        <v>463582955.11820531</v>
      </c>
      <c r="AL41" s="108">
        <f t="shared" si="83"/>
        <v>0.35</v>
      </c>
      <c r="AM41" s="42">
        <f t="shared" ca="1" si="84"/>
        <v>162254034.29137185</v>
      </c>
      <c r="AN41" s="49">
        <f t="shared" si="85"/>
        <v>96.515600000000006</v>
      </c>
      <c r="AO41" s="42">
        <f t="shared" ca="1" si="86"/>
        <v>13695168.233014576</v>
      </c>
      <c r="AP41" s="108">
        <f t="shared" si="87"/>
        <v>0.25</v>
      </c>
      <c r="AQ41" s="42">
        <f t="shared" si="56"/>
        <v>1964877.2390377542</v>
      </c>
      <c r="AR41" s="42">
        <f t="shared" ca="1" si="88"/>
        <v>15660045.47205233</v>
      </c>
      <c r="AS41" s="42">
        <f t="shared" ca="1" si="89"/>
        <v>10271376.174760932</v>
      </c>
      <c r="AT41" s="42">
        <f t="shared" ca="1" si="90"/>
        <v>7901058.5959699471</v>
      </c>
      <c r="AU41" s="404">
        <f t="shared" ca="1" si="21"/>
        <v>7901058.5959699471</v>
      </c>
    </row>
    <row r="42" spans="1:47" ht="16" customHeight="1">
      <c r="A42" s="110">
        <f t="shared" si="57"/>
        <v>1</v>
      </c>
      <c r="B42" s="124">
        <f t="shared" si="58"/>
        <v>56249</v>
      </c>
      <c r="C42" s="117">
        <f>+IF(B42&gt;=H$9,'Taxes and TIF'!C41+1,'Taxes and TIF'!C41)</f>
        <v>30</v>
      </c>
      <c r="D42" s="42">
        <f t="shared" si="23"/>
        <v>28342260.67769042</v>
      </c>
      <c r="E42" s="116">
        <f t="shared" si="59"/>
        <v>1.2189944199947573</v>
      </c>
      <c r="F42" s="42">
        <f t="shared" ca="1" si="7"/>
        <v>438356433.04959404</v>
      </c>
      <c r="G42" s="108">
        <f t="shared" si="60"/>
        <v>0.35</v>
      </c>
      <c r="H42" s="42">
        <f t="shared" ca="1" si="0"/>
        <v>153424751.5673579</v>
      </c>
      <c r="I42" s="49">
        <f t="shared" si="61"/>
        <v>96.515600000000006</v>
      </c>
      <c r="J42" s="42">
        <f t="shared" ca="1" si="62"/>
        <v>13850467.349242194</v>
      </c>
      <c r="K42" s="108">
        <f t="shared" si="63"/>
        <v>0.25</v>
      </c>
      <c r="L42" s="42">
        <f t="shared" si="1"/>
        <v>957414.60313229414</v>
      </c>
      <c r="M42" s="42">
        <f t="shared" ca="1" si="64"/>
        <v>14807881.952374488</v>
      </c>
      <c r="N42" s="42">
        <f t="shared" ca="1" si="65"/>
        <v>10387850.511931645</v>
      </c>
      <c r="O42" s="42">
        <f t="shared" ca="1" si="66"/>
        <v>7990654.2399474187</v>
      </c>
      <c r="P42" s="404">
        <f t="shared" ca="1" si="9"/>
        <v>7990654.2399474187</v>
      </c>
      <c r="R42" s="124">
        <f t="shared" si="67"/>
        <v>56979</v>
      </c>
      <c r="S42" s="117">
        <f>+IF(R42&gt;=X$9,'Taxes and TIF'!S41+1,'Taxes and TIF'!S41)</f>
        <v>30</v>
      </c>
      <c r="T42" s="42">
        <f t="shared" si="68"/>
        <v>81611947</v>
      </c>
      <c r="U42" s="116">
        <f t="shared" si="69"/>
        <v>1.2189944199947573</v>
      </c>
      <c r="V42" s="42">
        <f t="shared" ca="1" si="70"/>
        <v>176168089.08215064</v>
      </c>
      <c r="W42" s="108">
        <f t="shared" si="71"/>
        <v>0.35</v>
      </c>
      <c r="X42" s="42">
        <f t="shared" ca="1" si="72"/>
        <v>61658831.17875272</v>
      </c>
      <c r="Y42" s="49">
        <f t="shared" si="73"/>
        <v>96.515600000000006</v>
      </c>
      <c r="Z42" s="42">
        <f t="shared" ca="1" si="74"/>
        <v>3194149.9753604061</v>
      </c>
      <c r="AA42" s="108">
        <f t="shared" si="75"/>
        <v>0.25</v>
      </c>
      <c r="AB42" s="42">
        <f t="shared" si="76"/>
        <v>2756889.1111556203</v>
      </c>
      <c r="AC42" s="42">
        <f t="shared" si="52"/>
        <v>2756889.1111556203</v>
      </c>
      <c r="AD42" s="42">
        <f t="shared" ca="1" si="77"/>
        <v>2395612.4815203045</v>
      </c>
      <c r="AE42" s="42">
        <f t="shared" ca="1" si="78"/>
        <v>1842778.8319386956</v>
      </c>
      <c r="AF42" s="404">
        <f t="shared" ca="1" si="14"/>
        <v>1842778.8319386956</v>
      </c>
      <c r="AG42" s="124">
        <f t="shared" si="79"/>
        <v>57710</v>
      </c>
      <c r="AH42" s="117">
        <f>+IF(AG42&gt;=AM$9,'Taxes and TIF'!AH41+1,'Taxes and TIF'!AH41)</f>
        <v>29</v>
      </c>
      <c r="AI42" s="42">
        <f t="shared" si="80"/>
        <v>58166088.88800668</v>
      </c>
      <c r="AJ42" s="116">
        <f t="shared" si="81"/>
        <v>1.2189944199947573</v>
      </c>
      <c r="AK42" s="42">
        <f t="shared" ca="1" si="82"/>
        <v>463582955.11820531</v>
      </c>
      <c r="AL42" s="108">
        <f t="shared" si="83"/>
        <v>0.35</v>
      </c>
      <c r="AM42" s="42">
        <f t="shared" ca="1" si="84"/>
        <v>162254034.29137185</v>
      </c>
      <c r="AN42" s="49">
        <f t="shared" si="85"/>
        <v>96.515600000000006</v>
      </c>
      <c r="AO42" s="42">
        <f t="shared" ca="1" si="86"/>
        <v>13695168.233014576</v>
      </c>
      <c r="AP42" s="108">
        <f t="shared" si="87"/>
        <v>0.25</v>
      </c>
      <c r="AQ42" s="42">
        <f t="shared" si="56"/>
        <v>1964877.2390377542</v>
      </c>
      <c r="AR42" s="42">
        <f t="shared" ca="1" si="88"/>
        <v>15660045.47205233</v>
      </c>
      <c r="AS42" s="42">
        <f t="shared" ca="1" si="89"/>
        <v>10271376.174760932</v>
      </c>
      <c r="AT42" s="42">
        <f t="shared" ca="1" si="90"/>
        <v>7901058.5959699471</v>
      </c>
      <c r="AU42" s="404">
        <f t="shared" ca="1" si="21"/>
        <v>7901058.5959699471</v>
      </c>
    </row>
    <row r="43" spans="1:47" ht="16" customHeight="1">
      <c r="A43" s="110">
        <f t="shared" si="57"/>
        <v>2</v>
      </c>
      <c r="B43" s="124">
        <f t="shared" si="58"/>
        <v>56614</v>
      </c>
      <c r="C43" s="117">
        <f>+IF(B43&gt;=H$9,'Taxes and TIF'!C42+1,'Taxes and TIF'!C42)</f>
        <v>31</v>
      </c>
      <c r="D43" s="42">
        <f t="shared" si="23"/>
        <v>28342260.67769042</v>
      </c>
      <c r="E43" s="116">
        <f t="shared" si="59"/>
        <v>1.2189944199947573</v>
      </c>
      <c r="F43" s="42">
        <f t="shared" ca="1" si="7"/>
        <v>438356433.04959404</v>
      </c>
      <c r="G43" s="108">
        <f t="shared" si="60"/>
        <v>0.35</v>
      </c>
      <c r="H43" s="42">
        <f t="shared" ca="1" si="0"/>
        <v>153424751.5673579</v>
      </c>
      <c r="I43" s="49">
        <f t="shared" si="61"/>
        <v>96.515600000000006</v>
      </c>
      <c r="J43" s="42">
        <f t="shared" ca="1" si="62"/>
        <v>13850467.349242194</v>
      </c>
      <c r="K43" s="108">
        <f t="shared" si="63"/>
        <v>0.25</v>
      </c>
      <c r="L43" s="42">
        <f t="shared" si="1"/>
        <v>957414.60313229414</v>
      </c>
      <c r="M43" s="42">
        <f t="shared" ca="1" si="64"/>
        <v>14807881.952374488</v>
      </c>
      <c r="N43" s="42">
        <f t="shared" ca="1" si="65"/>
        <v>10387850.511931645</v>
      </c>
      <c r="O43" s="42">
        <f t="shared" ca="1" si="66"/>
        <v>7990654.2399474187</v>
      </c>
      <c r="P43" s="404">
        <f t="shared" ca="1" si="9"/>
        <v>7990654.2399474187</v>
      </c>
      <c r="R43" s="124">
        <f t="shared" si="67"/>
        <v>57345</v>
      </c>
      <c r="S43" s="117">
        <f>+IF(R43&gt;=X$9,'Taxes and TIF'!S42+1,'Taxes and TIF'!S42)</f>
        <v>31</v>
      </c>
      <c r="T43" s="42">
        <f t="shared" si="68"/>
        <v>81611947</v>
      </c>
      <c r="U43" s="116">
        <f t="shared" si="69"/>
        <v>1.2189944199947573</v>
      </c>
      <c r="V43" s="42">
        <f t="shared" ca="1" si="70"/>
        <v>176168089.08215064</v>
      </c>
      <c r="W43" s="108">
        <f t="shared" si="71"/>
        <v>0.35</v>
      </c>
      <c r="X43" s="42">
        <f t="shared" ca="1" si="72"/>
        <v>61658831.17875272</v>
      </c>
      <c r="Y43" s="49">
        <f t="shared" si="73"/>
        <v>96.515600000000006</v>
      </c>
      <c r="Z43" s="42">
        <f t="shared" ca="1" si="74"/>
        <v>3194149.9753604061</v>
      </c>
      <c r="AA43" s="108">
        <f t="shared" si="75"/>
        <v>0.25</v>
      </c>
      <c r="AB43" s="42">
        <f t="shared" si="76"/>
        <v>2756889.1111556203</v>
      </c>
      <c r="AC43" s="42">
        <f t="shared" si="52"/>
        <v>2756889.1111556203</v>
      </c>
      <c r="AD43" s="42">
        <f t="shared" ca="1" si="77"/>
        <v>2395612.4815203045</v>
      </c>
      <c r="AE43" s="42">
        <f t="shared" ca="1" si="78"/>
        <v>1842778.8319386956</v>
      </c>
      <c r="AF43" s="404">
        <f t="shared" ca="1" si="14"/>
        <v>1842778.8319386956</v>
      </c>
      <c r="AG43" s="124">
        <f t="shared" si="79"/>
        <v>58075</v>
      </c>
      <c r="AH43" s="117">
        <f>+IF(AG43&gt;=AM$9,'Taxes and TIF'!AH42+1,'Taxes and TIF'!AH42)</f>
        <v>30</v>
      </c>
      <c r="AI43" s="42">
        <f t="shared" si="80"/>
        <v>58166088.88800668</v>
      </c>
      <c r="AJ43" s="116">
        <f t="shared" si="81"/>
        <v>1.2189944199947573</v>
      </c>
      <c r="AK43" s="42">
        <f t="shared" ca="1" si="82"/>
        <v>463582955.11820531</v>
      </c>
      <c r="AL43" s="108">
        <f t="shared" si="83"/>
        <v>0.35</v>
      </c>
      <c r="AM43" s="42">
        <f t="shared" ca="1" si="84"/>
        <v>162254034.29137185</v>
      </c>
      <c r="AN43" s="49">
        <f t="shared" si="85"/>
        <v>96.515600000000006</v>
      </c>
      <c r="AO43" s="42">
        <f t="shared" ca="1" si="86"/>
        <v>13695168.233014576</v>
      </c>
      <c r="AP43" s="108">
        <f t="shared" si="87"/>
        <v>0.25</v>
      </c>
      <c r="AQ43" s="42">
        <f t="shared" si="56"/>
        <v>1964877.2390377542</v>
      </c>
      <c r="AR43" s="42">
        <f t="shared" ca="1" si="88"/>
        <v>15660045.47205233</v>
      </c>
      <c r="AS43" s="42">
        <f t="shared" ca="1" si="89"/>
        <v>10271376.174760932</v>
      </c>
      <c r="AT43" s="42">
        <f t="shared" ca="1" si="90"/>
        <v>7901058.5959699471</v>
      </c>
      <c r="AU43" s="404">
        <f t="shared" ca="1" si="21"/>
        <v>7901058.5959699471</v>
      </c>
    </row>
    <row r="44" spans="1:47" ht="16" customHeight="1">
      <c r="A44" s="110">
        <f t="shared" si="57"/>
        <v>0</v>
      </c>
      <c r="B44" s="124">
        <f t="shared" si="58"/>
        <v>56979</v>
      </c>
      <c r="C44" s="117">
        <f>+IF(B44&gt;=H$9,'Taxes and TIF'!C43+1,'Taxes and TIF'!C43)</f>
        <v>32</v>
      </c>
      <c r="D44" s="42">
        <f t="shared" si="23"/>
        <v>28909105.891244225</v>
      </c>
      <c r="E44" s="116">
        <f t="shared" si="59"/>
        <v>1.2433743083946525</v>
      </c>
      <c r="F44" s="42">
        <f t="shared" ca="1" si="7"/>
        <v>447123561.71058595</v>
      </c>
      <c r="G44" s="108">
        <f t="shared" si="60"/>
        <v>0.35</v>
      </c>
      <c r="H44" s="42">
        <f t="shared" ca="1" si="0"/>
        <v>156493246.59870508</v>
      </c>
      <c r="I44" s="49">
        <f t="shared" si="61"/>
        <v>96.515600000000006</v>
      </c>
      <c r="J44" s="42">
        <f t="shared" ca="1" si="62"/>
        <v>14127476.696227042</v>
      </c>
      <c r="K44" s="108">
        <f t="shared" si="63"/>
        <v>0.25</v>
      </c>
      <c r="L44" s="42">
        <f t="shared" si="1"/>
        <v>976562.89519493992</v>
      </c>
      <c r="M44" s="42">
        <f t="shared" ca="1" si="64"/>
        <v>15104039.591421982</v>
      </c>
      <c r="N44" s="42">
        <f t="shared" ca="1" si="65"/>
        <v>10595607.522170281</v>
      </c>
      <c r="O44" s="42">
        <f t="shared" ca="1" si="66"/>
        <v>8150467.3247463694</v>
      </c>
      <c r="P44" s="404">
        <f t="shared" ca="1" si="9"/>
        <v>8150467.3247463694</v>
      </c>
      <c r="R44" s="124">
        <f t="shared" si="67"/>
        <v>57710</v>
      </c>
      <c r="S44" s="117">
        <f>+IF(R44&gt;=X$9,'Taxes and TIF'!S43+1,'Taxes and TIF'!S43)</f>
        <v>32</v>
      </c>
      <c r="T44" s="42">
        <f t="shared" si="68"/>
        <v>81611947</v>
      </c>
      <c r="U44" s="116">
        <f t="shared" si="69"/>
        <v>1.2433743083946525</v>
      </c>
      <c r="V44" s="42">
        <f t="shared" ca="1" si="70"/>
        <v>179691450.86379364</v>
      </c>
      <c r="W44" s="108">
        <f t="shared" si="71"/>
        <v>0.35</v>
      </c>
      <c r="X44" s="42">
        <f t="shared" ca="1" si="72"/>
        <v>62892007.802327767</v>
      </c>
      <c r="Y44" s="49">
        <f t="shared" si="73"/>
        <v>96.515600000000006</v>
      </c>
      <c r="Z44" s="42">
        <f t="shared" ca="1" si="74"/>
        <v>3313170.7570907264</v>
      </c>
      <c r="AA44" s="108">
        <f t="shared" si="75"/>
        <v>0.25</v>
      </c>
      <c r="AB44" s="42">
        <f t="shared" si="76"/>
        <v>2756889.1111556203</v>
      </c>
      <c r="AC44" s="42">
        <f t="shared" si="52"/>
        <v>2756889.1111556203</v>
      </c>
      <c r="AD44" s="42">
        <f t="shared" ca="1" si="77"/>
        <v>2484878.0678180447</v>
      </c>
      <c r="AE44" s="42">
        <f t="shared" ca="1" si="78"/>
        <v>1911444.6675523419</v>
      </c>
      <c r="AF44" s="404">
        <f t="shared" ca="1" si="14"/>
        <v>1911444.6675523419</v>
      </c>
      <c r="AG44" s="124">
        <f t="shared" si="79"/>
        <v>58440</v>
      </c>
      <c r="AH44" s="117">
        <f>+IF(AG44&gt;=AM$9,'Taxes and TIF'!AH43+1,'Taxes and TIF'!AH43)</f>
        <v>31</v>
      </c>
      <c r="AI44" s="42">
        <f t="shared" si="80"/>
        <v>58166088.88800668</v>
      </c>
      <c r="AJ44" s="116">
        <f t="shared" si="81"/>
        <v>1.2433743083946525</v>
      </c>
      <c r="AK44" s="42">
        <f t="shared" ca="1" si="82"/>
        <v>472854614.22056943</v>
      </c>
      <c r="AL44" s="108">
        <f t="shared" si="83"/>
        <v>0.35</v>
      </c>
      <c r="AM44" s="42">
        <f t="shared" ca="1" si="84"/>
        <v>165499114.97719929</v>
      </c>
      <c r="AN44" s="49">
        <f t="shared" si="85"/>
        <v>96.515600000000006</v>
      </c>
      <c r="AO44" s="42">
        <f t="shared" ca="1" si="86"/>
        <v>14008369.142455623</v>
      </c>
      <c r="AP44" s="108">
        <f t="shared" si="87"/>
        <v>0.25</v>
      </c>
      <c r="AQ44" s="42">
        <f t="shared" si="56"/>
        <v>1964877.2390377542</v>
      </c>
      <c r="AR44" s="42">
        <f t="shared" ca="1" si="88"/>
        <v>15973246.381493377</v>
      </c>
      <c r="AS44" s="42">
        <f t="shared" ca="1" si="89"/>
        <v>10506276.856841717</v>
      </c>
      <c r="AT44" s="42">
        <f t="shared" ca="1" si="90"/>
        <v>8081751.4283397822</v>
      </c>
      <c r="AU44" s="404">
        <f t="shared" ca="1" si="21"/>
        <v>8081751.4283397822</v>
      </c>
    </row>
    <row r="45" spans="1:47" ht="16" customHeight="1">
      <c r="A45" s="110">
        <f t="shared" si="57"/>
        <v>1</v>
      </c>
      <c r="B45" s="124">
        <f t="shared" si="58"/>
        <v>57345</v>
      </c>
      <c r="C45" s="117">
        <f>+IF(B45&gt;=H$9,'Taxes and TIF'!C44+1,'Taxes and TIF'!C44)</f>
        <v>33</v>
      </c>
      <c r="D45" s="42">
        <f t="shared" si="23"/>
        <v>28909105.891244225</v>
      </c>
      <c r="E45" s="116">
        <f t="shared" si="59"/>
        <v>1.2433743083946525</v>
      </c>
      <c r="F45" s="42">
        <f t="shared" ca="1" si="7"/>
        <v>447123561.71058595</v>
      </c>
      <c r="G45" s="108">
        <f t="shared" si="60"/>
        <v>0.35</v>
      </c>
      <c r="H45" s="42">
        <f t="shared" ca="1" si="0"/>
        <v>156493246.59870508</v>
      </c>
      <c r="I45" s="49">
        <f t="shared" si="61"/>
        <v>96.515600000000006</v>
      </c>
      <c r="J45" s="42">
        <f t="shared" ca="1" si="62"/>
        <v>14127476.696227042</v>
      </c>
      <c r="K45" s="108">
        <f t="shared" si="63"/>
        <v>0.25</v>
      </c>
      <c r="L45" s="42">
        <f t="shared" si="1"/>
        <v>976562.89519493992</v>
      </c>
      <c r="M45" s="42">
        <f t="shared" ca="1" si="64"/>
        <v>15104039.591421982</v>
      </c>
      <c r="N45" s="42">
        <f t="shared" ca="1" si="65"/>
        <v>10595607.522170281</v>
      </c>
      <c r="O45" s="42">
        <f t="shared" ca="1" si="66"/>
        <v>8150467.3247463694</v>
      </c>
      <c r="P45" s="404">
        <f t="shared" ca="1" si="9"/>
        <v>8150467.3247463694</v>
      </c>
      <c r="R45" s="124">
        <f t="shared" si="67"/>
        <v>58075</v>
      </c>
      <c r="S45" s="117">
        <f>+IF(R45&gt;=X$9,'Taxes and TIF'!S44+1,'Taxes and TIF'!S44)</f>
        <v>33</v>
      </c>
      <c r="T45" s="42">
        <f t="shared" si="68"/>
        <v>81611947</v>
      </c>
      <c r="U45" s="116">
        <f t="shared" si="69"/>
        <v>1.2433743083946525</v>
      </c>
      <c r="V45" s="42">
        <f t="shared" ca="1" si="70"/>
        <v>179691450.86379364</v>
      </c>
      <c r="W45" s="108">
        <f t="shared" si="71"/>
        <v>0.35</v>
      </c>
      <c r="X45" s="42">
        <f t="shared" ca="1" si="72"/>
        <v>62892007.802327767</v>
      </c>
      <c r="Y45" s="49">
        <f t="shared" si="73"/>
        <v>96.515600000000006</v>
      </c>
      <c r="Z45" s="42">
        <f t="shared" ca="1" si="74"/>
        <v>3313170.7570907264</v>
      </c>
      <c r="AA45" s="108">
        <f t="shared" si="75"/>
        <v>0.25</v>
      </c>
      <c r="AB45" s="42">
        <f t="shared" si="76"/>
        <v>2756889.1111556203</v>
      </c>
      <c r="AC45" s="42">
        <f t="shared" si="52"/>
        <v>2756889.1111556203</v>
      </c>
      <c r="AD45" s="42">
        <f t="shared" ca="1" si="77"/>
        <v>2484878.0678180447</v>
      </c>
      <c r="AE45" s="42">
        <f t="shared" ca="1" si="78"/>
        <v>1911444.6675523419</v>
      </c>
      <c r="AF45" s="404">
        <f t="shared" ca="1" si="14"/>
        <v>1911444.6675523419</v>
      </c>
      <c r="AG45" s="124">
        <f t="shared" si="79"/>
        <v>58806</v>
      </c>
      <c r="AH45" s="117">
        <f>+IF(AG45&gt;=AM$9,'Taxes and TIF'!AH44+1,'Taxes and TIF'!AH44)</f>
        <v>32</v>
      </c>
      <c r="AI45" s="42">
        <f t="shared" si="80"/>
        <v>58166088.88800668</v>
      </c>
      <c r="AJ45" s="116">
        <f t="shared" si="81"/>
        <v>1.2433743083946525</v>
      </c>
      <c r="AK45" s="42">
        <f t="shared" ca="1" si="82"/>
        <v>472854614.22056943</v>
      </c>
      <c r="AL45" s="108">
        <f t="shared" si="83"/>
        <v>0.35</v>
      </c>
      <c r="AM45" s="42">
        <f t="shared" ca="1" si="84"/>
        <v>165499114.97719929</v>
      </c>
      <c r="AN45" s="49">
        <f t="shared" si="85"/>
        <v>96.515600000000006</v>
      </c>
      <c r="AO45" s="42">
        <f t="shared" ca="1" si="86"/>
        <v>14008369.142455623</v>
      </c>
      <c r="AP45" s="108">
        <f t="shared" si="87"/>
        <v>0.25</v>
      </c>
      <c r="AQ45" s="42">
        <f t="shared" si="56"/>
        <v>1964877.2390377542</v>
      </c>
      <c r="AR45" s="42">
        <f t="shared" ca="1" si="88"/>
        <v>15973246.381493377</v>
      </c>
      <c r="AS45" s="42">
        <f t="shared" ca="1" si="89"/>
        <v>10506276.856841717</v>
      </c>
      <c r="AT45" s="42">
        <f t="shared" ca="1" si="90"/>
        <v>8081751.4283397822</v>
      </c>
      <c r="AU45" s="404">
        <f t="shared" ca="1" si="21"/>
        <v>8081751.4283397822</v>
      </c>
    </row>
    <row r="46" spans="1:47" ht="16" customHeight="1">
      <c r="B46" s="120" t="s">
        <v>191</v>
      </c>
      <c r="C46" s="120"/>
      <c r="D46" s="120"/>
      <c r="E46" s="120"/>
      <c r="F46" s="120"/>
      <c r="G46" s="120"/>
      <c r="H46" s="120"/>
      <c r="I46" s="120"/>
      <c r="J46" s="120"/>
      <c r="K46" s="120"/>
      <c r="L46" s="120"/>
      <c r="M46" s="120"/>
      <c r="N46" s="120"/>
      <c r="O46" s="121">
        <f ca="1">+MIN(P11:P45)</f>
        <v>6555119.620631068</v>
      </c>
      <c r="P46" s="165"/>
      <c r="R46" s="120" t="s">
        <v>191</v>
      </c>
      <c r="S46" s="120"/>
      <c r="T46" s="120"/>
      <c r="U46" s="120"/>
      <c r="V46" s="120"/>
      <c r="W46" s="120"/>
      <c r="X46" s="120"/>
      <c r="Y46" s="120"/>
      <c r="Z46" s="120"/>
      <c r="AA46" s="120"/>
      <c r="AB46" s="120"/>
      <c r="AC46" s="120"/>
      <c r="AD46" s="120"/>
      <c r="AE46" s="121">
        <f ca="1">+MIN(AF11:AF45)</f>
        <v>1225982.1265144602</v>
      </c>
      <c r="AG46" s="120" t="s">
        <v>191</v>
      </c>
      <c r="AH46" s="120"/>
      <c r="AI46" s="120"/>
      <c r="AJ46" s="120"/>
      <c r="AK46" s="120"/>
      <c r="AL46" s="120"/>
      <c r="AM46" s="120"/>
      <c r="AN46" s="120"/>
      <c r="AO46" s="120"/>
      <c r="AP46" s="120"/>
      <c r="AQ46" s="120"/>
      <c r="AR46" s="120"/>
      <c r="AS46" s="120"/>
      <c r="AT46" s="121">
        <f ca="1">+MIN(AU11:AU45)</f>
        <v>6426200.9270234471</v>
      </c>
    </row>
    <row r="47" spans="1:47" ht="16" customHeight="1">
      <c r="B47" s="122" t="s">
        <v>189</v>
      </c>
      <c r="C47" s="122"/>
      <c r="D47" s="122"/>
      <c r="E47" s="122"/>
      <c r="F47" s="122"/>
      <c r="G47" s="122"/>
      <c r="H47" s="122"/>
      <c r="I47" s="122"/>
      <c r="J47" s="122"/>
      <c r="K47" s="122"/>
      <c r="L47" s="122"/>
      <c r="M47" s="122"/>
      <c r="N47" s="122"/>
      <c r="O47" s="123">
        <f ca="1">+PV($D$6,$D$5,-O$46)</f>
        <v>85601182.65090166</v>
      </c>
      <c r="P47" s="165"/>
      <c r="R47" s="122" t="s">
        <v>189</v>
      </c>
      <c r="S47" s="122"/>
      <c r="T47" s="122"/>
      <c r="U47" s="122"/>
      <c r="V47" s="122"/>
      <c r="W47" s="122"/>
      <c r="X47" s="122"/>
      <c r="Y47" s="122"/>
      <c r="Z47" s="122"/>
      <c r="AA47" s="122"/>
      <c r="AB47" s="122"/>
      <c r="AC47" s="122"/>
      <c r="AD47" s="122"/>
      <c r="AE47" s="123">
        <f ca="1">+PV($D$6,$D$5,-AE$46)</f>
        <v>16009703.256704552</v>
      </c>
      <c r="AG47" s="122" t="s">
        <v>189</v>
      </c>
      <c r="AH47" s="122"/>
      <c r="AI47" s="122"/>
      <c r="AJ47" s="122"/>
      <c r="AK47" s="122"/>
      <c r="AL47" s="122"/>
      <c r="AM47" s="122"/>
      <c r="AN47" s="122"/>
      <c r="AO47" s="122"/>
      <c r="AP47" s="122"/>
      <c r="AQ47" s="122"/>
      <c r="AR47" s="122"/>
      <c r="AS47" s="122"/>
      <c r="AT47" s="123">
        <f ca="1">+PV($D$6,$D$5,-AT$46)</f>
        <v>83917675.212854445</v>
      </c>
    </row>
    <row r="48" spans="1:47" ht="16" customHeight="1">
      <c r="O48" s="128" t="str">
        <f>+B8</f>
        <v>I</v>
      </c>
      <c r="P48" s="128"/>
      <c r="AE48" s="128" t="str">
        <f>+R8</f>
        <v>II</v>
      </c>
      <c r="AT48" s="128" t="str">
        <f>+AG8</f>
        <v>III</v>
      </c>
    </row>
  </sheetData>
  <phoneticPr fontId="7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2</vt:i4>
      </vt:variant>
    </vt:vector>
  </HeadingPairs>
  <TitlesOfParts>
    <vt:vector size="18" baseType="lpstr">
      <vt:lpstr>Official Summary</vt:lpstr>
      <vt:lpstr>Summary II</vt:lpstr>
      <vt:lpstr>Assumptions</vt:lpstr>
      <vt:lpstr>Parcel Breakdown</vt:lpstr>
      <vt:lpstr>S&amp;U</vt:lpstr>
      <vt:lpstr>Budget</vt:lpstr>
      <vt:lpstr>Infra</vt:lpstr>
      <vt:lpstr>Acquisition &amp; Sales</vt:lpstr>
      <vt:lpstr>Taxes and TIF</vt:lpstr>
      <vt:lpstr>Loan Sizing</vt:lpstr>
      <vt:lpstr>Phase I Pro Forma</vt:lpstr>
      <vt:lpstr>Phase II Pro Forma</vt:lpstr>
      <vt:lpstr>Phase III Pro Forma</vt:lpstr>
      <vt:lpstr>Cash Flow Roll-up</vt:lpstr>
      <vt:lpstr>Public Benefits</vt:lpstr>
      <vt:lpstr>Parcels</vt:lpstr>
      <vt:lpstr>'Official Summary'!Print_Area</vt:lpstr>
      <vt:lpstr>'Summary II'!Print_Area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 Finkenbinder-Best</dc:creator>
  <cp:lastModifiedBy>Jing Cheng</cp:lastModifiedBy>
  <cp:lastPrinted>2019-01-26T21:11:46Z</cp:lastPrinted>
  <dcterms:created xsi:type="dcterms:W3CDTF">2007-12-12T14:49:40Z</dcterms:created>
  <dcterms:modified xsi:type="dcterms:W3CDTF">2020-01-28T03:05:23Z</dcterms:modified>
</cp:coreProperties>
</file>