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165" windowWidth="20730" windowHeight="11640" tabRatio="832" activeTab="4"/>
  </bookViews>
  <sheets>
    <sheet name="List of Tables" sheetId="2" r:id="rId1"/>
    <sheet name="4-3a-Stage 1a Rents &amp; Sales" sheetId="1" r:id="rId2"/>
    <sheet name="4-3b-Stage 1b Pro Forma NOI" sheetId="4" r:id="rId3"/>
    <sheet name="4-3c-Stage 1c Debt Calculation" sheetId="5" r:id="rId4"/>
    <sheet name="4-3d-Stage 1d Development cost" sheetId="6" r:id="rId5"/>
    <sheet name="4-3e-Stage 1e Simple Ratios" sheetId="15" r:id="rId6"/>
    <sheet name="4-4a Stage 2a DCF" sheetId="7" r:id="rId7"/>
    <sheet name="4-4b - St2b Condo Add" sheetId="17" r:id="rId8"/>
    <sheet name="4-5 St3a Development period" sheetId="3" r:id="rId9"/>
    <sheet name="4-6 Stage3b Sources &amp; Uses" sheetId="19" r:id="rId10"/>
    <sheet name="4-7 St3c Combined Dev+Op Period" sheetId="8" r:id="rId11"/>
    <sheet name="4-9 Stage 5 Investors Analysis" sheetId="14" r:id="rId12"/>
  </sheets>
  <definedNames>
    <definedName name="constr_rate">'4-3d-Stage 1d Development cost'!$D$28</definedName>
    <definedName name="cost_total">'4-3d-Stage 1d Development cost'!$F$43</definedName>
    <definedName name="int_rate">'4-3c-Stage 1c Debt Calculation'!$C$9</definedName>
    <definedName name="land_rate">'4-3d-Stage 1d Development cost'!$D$10</definedName>
    <definedName name="netcost_total">'4-3d-Stage 1d Development cost'!$F$47</definedName>
    <definedName name="_xlnm.Print_Area" localSheetId="1">'4-3a-Stage 1a Rents &amp; Sales'!$A$1:$G$44</definedName>
    <definedName name="_xlnm.Print_Area" localSheetId="2">'4-3b-Stage 1b Pro Forma NOI'!$A$1:$D$35</definedName>
    <definedName name="_xlnm.Print_Area" localSheetId="3">'4-3c-Stage 1c Debt Calculation'!$A$1:$C$42</definedName>
    <definedName name="_xlnm.Print_Area" localSheetId="4">'4-3d-Stage 1d Development cost'!$B$1:$H$71</definedName>
    <definedName name="_xlnm.Print_Area" localSheetId="5">'4-3e-Stage 1e Simple Ratios'!$A$1:$C$38</definedName>
    <definedName name="_xlnm.Print_Area" localSheetId="6">'4-4a Stage 2a DCF'!$B$1:$L$180</definedName>
    <definedName name="_xlnm.Print_Area" localSheetId="7">'4-4b - St2b Condo Add'!$A$1:$B$43</definedName>
    <definedName name="_xlnm.Print_Area" localSheetId="8">'4-5 St3a Development period'!$B$1:$V$109</definedName>
    <definedName name="_xlnm.Print_Area" localSheetId="9">'4-6 Stage3b Sources &amp; Uses'!$B$1:$H$83</definedName>
    <definedName name="_xlnm.Print_Area" localSheetId="10">'4-7 St3c Combined Dev+Op Period'!$B$1:$L$144</definedName>
    <definedName name="_xlnm.Print_Area" localSheetId="11">'4-9 Stage 5 Investors Analysis'!$B$1:$K$69</definedName>
    <definedName name="_xlnm.Print_Area" localSheetId="0">'List of Tables'!$A$1:$A$26</definedName>
    <definedName name="_xlnm.Print_Titles" localSheetId="8">'4-5 St3a Development period'!$B:$G,'4-5 St3a Development period'!$1:$3</definedName>
    <definedName name="prorate">'4-3b-Stage 1b Pro Forma NOI'!$P$21</definedName>
    <definedName name="solver_adj" localSheetId="1" hidden="1">'4-3a-Stage 1a Rents &amp; Sales'!$K$10:$K$11</definedName>
    <definedName name="solver_cvg" localSheetId="1" hidden="1">0.0001</definedName>
    <definedName name="solver_drv" localSheetId="1" hidden="1">1</definedName>
    <definedName name="solver_est" localSheetId="1" hidden="1">2</definedName>
    <definedName name="solver_itr" localSheetId="1" hidden="1">100</definedName>
    <definedName name="solver_lhs1" localSheetId="1" hidden="1">'4-3a-Stage 1a Rents &amp; Sales'!$K$11</definedName>
    <definedName name="solver_lhs2" localSheetId="1" hidden="1">'4-3a-Stage 1a Rents &amp; Sales'!$K$10</definedName>
    <definedName name="solver_lhs3" localSheetId="1" hidden="1">'4-3a-Stage 1a Rents &amp; Sales'!$L$10</definedName>
    <definedName name="solver_lhs4" localSheetId="1" hidden="1">'4-3a-Stage 1a Rents &amp; Sales'!$L$11</definedName>
    <definedName name="solver_lin" localSheetId="1" hidden="1">2</definedName>
    <definedName name="solver_neg" localSheetId="1" hidden="1">2</definedName>
    <definedName name="solver_num" localSheetId="1" hidden="1">4</definedName>
    <definedName name="solver_nwt" localSheetId="1" hidden="1">1</definedName>
    <definedName name="solver_opt" localSheetId="1" hidden="1">'4-3a-Stage 1a Rents &amp; Sales'!$L$11</definedName>
    <definedName name="solver_pre" localSheetId="1" hidden="1">0.000001</definedName>
    <definedName name="solver_rel1" localSheetId="1" hidden="1">4</definedName>
    <definedName name="solver_rel2" localSheetId="1" hidden="1">4</definedName>
    <definedName name="solver_rel3" localSheetId="1" hidden="1">3</definedName>
    <definedName name="solver_rel4" localSheetId="1" hidden="1">3</definedName>
    <definedName name="solver_rhs1" localSheetId="1" hidden="1">integer</definedName>
    <definedName name="solver_rhs2" localSheetId="1" hidden="1">integer</definedName>
    <definedName name="solver_rhs3" localSheetId="1" hidden="1">1</definedName>
    <definedName name="solver_rhs4" localSheetId="1" hidden="1">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56500</definedName>
    <definedName name="units_apt">'4-3a-Stage 1a Rents &amp; Sales'!$B$11</definedName>
    <definedName name="units_condo">'4-3a-Stage 1a Rents &amp; Sales'!$B$34</definedName>
    <definedName name="units_retail">'4-3a-Stage 1a Rents &amp; Sales'!$B$28</definedName>
  </definedNames>
  <calcPr calcId="145621"/>
</workbook>
</file>

<file path=xl/calcChain.xml><?xml version="1.0" encoding="utf-8"?>
<calcChain xmlns="http://schemas.openxmlformats.org/spreadsheetml/2006/main">
  <c r="C26" i="1" l="1"/>
  <c r="F26" i="1" s="1"/>
  <c r="G26" i="1" s="1"/>
  <c r="C25" i="1"/>
  <c r="B11" i="1"/>
  <c r="F5" i="1"/>
  <c r="G5" i="1" s="1"/>
  <c r="F6" i="1"/>
  <c r="G6" i="1"/>
  <c r="F8" i="1"/>
  <c r="G8" i="1" s="1"/>
  <c r="F9" i="1"/>
  <c r="G9" i="1"/>
  <c r="D25" i="1"/>
  <c r="D14" i="4"/>
  <c r="E5" i="1"/>
  <c r="E8" i="1"/>
  <c r="E9" i="1"/>
  <c r="E11" i="1" s="1"/>
  <c r="E25" i="1"/>
  <c r="E26" i="1"/>
  <c r="E32" i="1"/>
  <c r="E34" i="1"/>
  <c r="D34" i="1" s="1"/>
  <c r="F9" i="6"/>
  <c r="F16" i="6"/>
  <c r="E12" i="3"/>
  <c r="G12" i="3"/>
  <c r="F12" i="3" s="1"/>
  <c r="F17" i="6"/>
  <c r="E13" i="3" s="1"/>
  <c r="G13" i="3" s="1"/>
  <c r="B28" i="1"/>
  <c r="B34" i="1"/>
  <c r="F19" i="6"/>
  <c r="F20" i="6"/>
  <c r="C32" i="1"/>
  <c r="F32" i="1"/>
  <c r="G32" i="1"/>
  <c r="G34" i="1" s="1"/>
  <c r="D37" i="6"/>
  <c r="E14" i="7"/>
  <c r="C5" i="15"/>
  <c r="G62" i="3"/>
  <c r="F13" i="19" s="1"/>
  <c r="G63" i="3"/>
  <c r="E69" i="3"/>
  <c r="E18" i="3"/>
  <c r="J18" i="3" s="1"/>
  <c r="J62" i="3"/>
  <c r="J63" i="3"/>
  <c r="K62" i="3"/>
  <c r="K63" i="3"/>
  <c r="L62" i="3"/>
  <c r="L63" i="3"/>
  <c r="M63" i="3"/>
  <c r="Q35" i="3"/>
  <c r="P35" i="3"/>
  <c r="E42" i="3"/>
  <c r="E30" i="19"/>
  <c r="E6" i="14"/>
  <c r="I18" i="3"/>
  <c r="E100" i="8"/>
  <c r="C7" i="8"/>
  <c r="C56" i="8"/>
  <c r="C57" i="8"/>
  <c r="E20" i="14"/>
  <c r="I73" i="3"/>
  <c r="E15" i="3"/>
  <c r="K15" i="3"/>
  <c r="M25" i="3"/>
  <c r="H25" i="3" s="1"/>
  <c r="G20" i="8"/>
  <c r="H20" i="8"/>
  <c r="I20" i="8"/>
  <c r="J20" i="8"/>
  <c r="K20" i="8"/>
  <c r="L20" i="8"/>
  <c r="E112" i="8"/>
  <c r="G54" i="19"/>
  <c r="G55" i="19"/>
  <c r="E19" i="8"/>
  <c r="E21" i="8"/>
  <c r="E23" i="8" s="1"/>
  <c r="E26" i="8" s="1"/>
  <c r="E22" i="8"/>
  <c r="E25" i="8"/>
  <c r="E43" i="8"/>
  <c r="F11" i="19"/>
  <c r="G11" i="19"/>
  <c r="F10" i="19"/>
  <c r="I70" i="3"/>
  <c r="H6" i="19"/>
  <c r="R35" i="3"/>
  <c r="S35" i="3"/>
  <c r="T35" i="3"/>
  <c r="U35" i="3"/>
  <c r="I5" i="3"/>
  <c r="I6" i="3"/>
  <c r="I7" i="3"/>
  <c r="I8" i="3"/>
  <c r="I9" i="3"/>
  <c r="I11" i="3"/>
  <c r="I12" i="3"/>
  <c r="I13" i="3"/>
  <c r="H5" i="3"/>
  <c r="H6" i="3"/>
  <c r="H7" i="3"/>
  <c r="H8" i="3"/>
  <c r="H12" i="3"/>
  <c r="H13" i="3"/>
  <c r="F14" i="7"/>
  <c r="H4" i="6"/>
  <c r="V27" i="3"/>
  <c r="V29" i="3" s="1"/>
  <c r="R20" i="3"/>
  <c r="S20" i="3"/>
  <c r="T20" i="3"/>
  <c r="U20" i="3"/>
  <c r="V5" i="3"/>
  <c r="V6" i="3"/>
  <c r="V7" i="3"/>
  <c r="V8" i="3"/>
  <c r="V9" i="3"/>
  <c r="V10" i="3"/>
  <c r="V11" i="3"/>
  <c r="V12" i="3"/>
  <c r="V13" i="3"/>
  <c r="V14" i="3"/>
  <c r="V15" i="3"/>
  <c r="V16" i="3"/>
  <c r="V17" i="3"/>
  <c r="H24" i="3"/>
  <c r="I24" i="3"/>
  <c r="I28" i="3"/>
  <c r="F28" i="3" s="1"/>
  <c r="H28" i="3"/>
  <c r="E16" i="19"/>
  <c r="J15" i="3"/>
  <c r="N35" i="3"/>
  <c r="F7" i="1"/>
  <c r="G7" i="1" s="1"/>
  <c r="E7" i="1"/>
  <c r="E6" i="1"/>
  <c r="D17" i="4"/>
  <c r="L15" i="3"/>
  <c r="H15" i="3" s="1"/>
  <c r="F24" i="3"/>
  <c r="Q15" i="3"/>
  <c r="N15" i="3"/>
  <c r="F13" i="6"/>
  <c r="F23" i="6"/>
  <c r="F6" i="6"/>
  <c r="E28" i="1"/>
  <c r="F25" i="1"/>
  <c r="G25" i="1" s="1"/>
  <c r="G28" i="1" s="1"/>
  <c r="K18" i="3"/>
  <c r="L18" i="3"/>
  <c r="F15" i="6"/>
  <c r="E11" i="3"/>
  <c r="J11" i="3"/>
  <c r="H11" i="3" s="1"/>
  <c r="F11" i="3" s="1"/>
  <c r="E9" i="3"/>
  <c r="M9" i="3"/>
  <c r="F11" i="6"/>
  <c r="M18" i="3"/>
  <c r="E13" i="1"/>
  <c r="H5" i="6"/>
  <c r="F12" i="6"/>
  <c r="E8" i="3"/>
  <c r="G8" i="3"/>
  <c r="O15" i="3"/>
  <c r="P15" i="3"/>
  <c r="I15" i="3" s="1"/>
  <c r="M15" i="3"/>
  <c r="E5" i="3"/>
  <c r="D9" i="7"/>
  <c r="F10" i="6"/>
  <c r="E6" i="3" s="1"/>
  <c r="G6" i="3" s="1"/>
  <c r="F6" i="3"/>
  <c r="J9" i="3"/>
  <c r="L9" i="3"/>
  <c r="K9" i="3"/>
  <c r="E55" i="19"/>
  <c r="G5" i="3"/>
  <c r="E73" i="7" l="1"/>
  <c r="F41" i="8"/>
  <c r="I35" i="3"/>
  <c r="A30" i="4"/>
  <c r="D16" i="4"/>
  <c r="O35" i="3"/>
  <c r="D13" i="4"/>
  <c r="F4" i="6"/>
  <c r="G4" i="6"/>
  <c r="M35" i="3"/>
  <c r="D15" i="4"/>
  <c r="E17" i="3"/>
  <c r="H9" i="3"/>
  <c r="F9" i="3" s="1"/>
  <c r="V35" i="3"/>
  <c r="E89" i="8"/>
  <c r="E40" i="8"/>
  <c r="C34" i="1"/>
  <c r="B24" i="17"/>
  <c r="B4" i="17"/>
  <c r="F34" i="1"/>
  <c r="C24" i="5"/>
  <c r="E16" i="1"/>
  <c r="D11" i="1"/>
  <c r="G5" i="6"/>
  <c r="F8" i="3"/>
  <c r="E7" i="3"/>
  <c r="G7" i="3" s="1"/>
  <c r="F7" i="3" s="1"/>
  <c r="G13" i="1"/>
  <c r="F28" i="1"/>
  <c r="F13" i="1" s="1"/>
  <c r="H63" i="3"/>
  <c r="E16" i="3"/>
  <c r="F13" i="3"/>
  <c r="G11" i="1"/>
  <c r="F5" i="3"/>
  <c r="G20" i="3"/>
  <c r="C28" i="1"/>
  <c r="C13" i="1" s="1"/>
  <c r="N25" i="3"/>
  <c r="O25" i="3" s="1"/>
  <c r="P25" i="3" s="1"/>
  <c r="Q25" i="3" s="1"/>
  <c r="R25" i="3" s="1"/>
  <c r="S25" i="3" s="1"/>
  <c r="T25" i="3" s="1"/>
  <c r="U25" i="3" s="1"/>
  <c r="V25" i="3" s="1"/>
  <c r="I25" i="3" s="1"/>
  <c r="V20" i="3"/>
  <c r="H18" i="3"/>
  <c r="F18" i="3" s="1"/>
  <c r="F15" i="3"/>
  <c r="B13" i="1"/>
  <c r="B16" i="1" s="1"/>
  <c r="D28" i="1"/>
  <c r="D13" i="1" s="1"/>
  <c r="P16" i="3" l="1"/>
  <c r="N16" i="3"/>
  <c r="I16" i="3" s="1"/>
  <c r="K16" i="3"/>
  <c r="J16" i="3"/>
  <c r="M16" i="3"/>
  <c r="L16" i="3"/>
  <c r="Q16" i="3"/>
  <c r="O16" i="3"/>
  <c r="B15" i="17"/>
  <c r="P17" i="3"/>
  <c r="K17" i="3"/>
  <c r="N17" i="3"/>
  <c r="O17" i="3"/>
  <c r="J17" i="3"/>
  <c r="M17" i="3"/>
  <c r="Q17" i="3"/>
  <c r="L17" i="3"/>
  <c r="F11" i="1"/>
  <c r="F16" i="1" s="1"/>
  <c r="C11" i="1"/>
  <c r="G16" i="1"/>
  <c r="F5" i="6"/>
  <c r="H6" i="6" s="1"/>
  <c r="R26" i="3"/>
  <c r="R27" i="3" s="1"/>
  <c r="R29" i="3" s="1"/>
  <c r="Q26" i="3"/>
  <c r="Q27" i="3" s="1"/>
  <c r="Q29" i="3" s="1"/>
  <c r="N26" i="3"/>
  <c r="S26" i="3"/>
  <c r="S27" i="3" s="1"/>
  <c r="S29" i="3" s="1"/>
  <c r="P26" i="3"/>
  <c r="P27" i="3" s="1"/>
  <c r="P29" i="3" s="1"/>
  <c r="T26" i="3"/>
  <c r="T27" i="3" s="1"/>
  <c r="T29" i="3" s="1"/>
  <c r="M26" i="3"/>
  <c r="U26" i="3"/>
  <c r="U27" i="3" s="1"/>
  <c r="U29" i="3" s="1"/>
  <c r="O26" i="3"/>
  <c r="O27" i="3" s="1"/>
  <c r="O29" i="3" s="1"/>
  <c r="F18" i="6"/>
  <c r="E4" i="6"/>
  <c r="G41" i="8"/>
  <c r="H41" i="8" s="1"/>
  <c r="I41" i="8" s="1"/>
  <c r="J41" i="8" s="1"/>
  <c r="K41" i="8" s="1"/>
  <c r="L41" i="8" s="1"/>
  <c r="K77" i="8"/>
  <c r="F5" i="19"/>
  <c r="G48" i="3"/>
  <c r="D16" i="1"/>
  <c r="E88" i="8"/>
  <c r="E91" i="8" s="1"/>
  <c r="E120" i="7"/>
  <c r="H35" i="3"/>
  <c r="M36" i="3"/>
  <c r="F73" i="7"/>
  <c r="G73" i="7" s="1"/>
  <c r="H73" i="7" s="1"/>
  <c r="I73" i="7" s="1"/>
  <c r="J73" i="7" s="1"/>
  <c r="K73" i="7" s="1"/>
  <c r="H36" i="3" l="1"/>
  <c r="N36" i="3"/>
  <c r="I26" i="3"/>
  <c r="N27" i="3"/>
  <c r="H15" i="6"/>
  <c r="H19" i="6"/>
  <c r="H17" i="6"/>
  <c r="H16" i="6"/>
  <c r="H9" i="6"/>
  <c r="H10" i="6"/>
  <c r="H12" i="6"/>
  <c r="H13" i="6"/>
  <c r="F9" i="7"/>
  <c r="H23" i="6"/>
  <c r="H11" i="6"/>
  <c r="H20" i="6"/>
  <c r="F21" i="6"/>
  <c r="E14" i="3"/>
  <c r="H18" i="6"/>
  <c r="C16" i="1"/>
  <c r="D5" i="4"/>
  <c r="B18" i="17"/>
  <c r="B16" i="17"/>
  <c r="B25" i="17" s="1"/>
  <c r="B17" i="17"/>
  <c r="K109" i="7"/>
  <c r="O62" i="3"/>
  <c r="G6" i="6"/>
  <c r="G18" i="6" s="1"/>
  <c r="H17" i="3"/>
  <c r="F17" i="3" s="1"/>
  <c r="M27" i="3"/>
  <c r="H26" i="3"/>
  <c r="F26" i="3" s="1"/>
  <c r="Q62" i="3"/>
  <c r="I17" i="3"/>
  <c r="P62" i="3"/>
  <c r="H16" i="3"/>
  <c r="F16" i="3" s="1"/>
  <c r="L14" i="3" l="1"/>
  <c r="L20" i="3" s="1"/>
  <c r="O14" i="3"/>
  <c r="O20" i="3" s="1"/>
  <c r="J14" i="3"/>
  <c r="Q14" i="3"/>
  <c r="Q20" i="3" s="1"/>
  <c r="M14" i="3"/>
  <c r="M20" i="3" s="1"/>
  <c r="N14" i="3"/>
  <c r="P14" i="3"/>
  <c r="P20" i="3" s="1"/>
  <c r="K14" i="3"/>
  <c r="K20" i="3" s="1"/>
  <c r="O36" i="3"/>
  <c r="D6" i="4"/>
  <c r="D7" i="4"/>
  <c r="D8" i="4"/>
  <c r="E40" i="3"/>
  <c r="D35" i="6"/>
  <c r="E38" i="6" s="1"/>
  <c r="E52" i="7"/>
  <c r="G12" i="6"/>
  <c r="E9" i="7"/>
  <c r="G19" i="6"/>
  <c r="G15" i="6"/>
  <c r="G10" i="6"/>
  <c r="G16" i="6"/>
  <c r="G17" i="6"/>
  <c r="G9" i="6"/>
  <c r="G13" i="6"/>
  <c r="G20" i="6"/>
  <c r="G23" i="6"/>
  <c r="G11" i="6"/>
  <c r="N29" i="3"/>
  <c r="I27" i="3"/>
  <c r="H27" i="3"/>
  <c r="F27" i="3" s="1"/>
  <c r="M29" i="3"/>
  <c r="G21" i="6"/>
  <c r="F24" i="6"/>
  <c r="H21" i="6"/>
  <c r="O40" i="3" l="1"/>
  <c r="P40" i="3"/>
  <c r="S40" i="3"/>
  <c r="U40" i="3"/>
  <c r="T40" i="3"/>
  <c r="R40" i="3"/>
  <c r="Q40" i="3"/>
  <c r="N40" i="3"/>
  <c r="H14" i="3"/>
  <c r="J20" i="3"/>
  <c r="P36" i="3"/>
  <c r="G24" i="6"/>
  <c r="H24" i="6"/>
  <c r="N62" i="3"/>
  <c r="I62" i="3" s="1"/>
  <c r="H13" i="19" s="1"/>
  <c r="I29" i="3"/>
  <c r="H10" i="19" s="1"/>
  <c r="K48" i="3"/>
  <c r="M62" i="3"/>
  <c r="H62" i="3" s="1"/>
  <c r="H29" i="3"/>
  <c r="D12" i="4"/>
  <c r="D18" i="4" s="1"/>
  <c r="D20" i="4"/>
  <c r="I14" i="3"/>
  <c r="I20" i="3" s="1"/>
  <c r="H5" i="19" s="1"/>
  <c r="H7" i="19" s="1"/>
  <c r="N20" i="3"/>
  <c r="F52" i="7"/>
  <c r="J52" i="7"/>
  <c r="L52" i="7"/>
  <c r="K52" i="7"/>
  <c r="G52" i="7"/>
  <c r="H52" i="7"/>
  <c r="E54" i="7"/>
  <c r="E55" i="7" s="1"/>
  <c r="I52" i="7"/>
  <c r="E53" i="7"/>
  <c r="M48" i="3"/>
  <c r="L48" i="3"/>
  <c r="Q36" i="3" l="1"/>
  <c r="Q37" i="3" s="1"/>
  <c r="S42" i="3"/>
  <c r="H53" i="7"/>
  <c r="H54" i="7"/>
  <c r="H55" i="7" s="1"/>
  <c r="F62" i="3"/>
  <c r="G13" i="19"/>
  <c r="E13" i="19" s="1"/>
  <c r="R42" i="3"/>
  <c r="V40" i="3"/>
  <c r="V42" i="3" s="1"/>
  <c r="I53" i="7"/>
  <c r="I54" i="7"/>
  <c r="I55" i="7" s="1"/>
  <c r="K54" i="7"/>
  <c r="K53" i="7"/>
  <c r="K55" i="7" s="1"/>
  <c r="F53" i="7"/>
  <c r="F55" i="7" s="1"/>
  <c r="F54" i="7"/>
  <c r="S44" i="3"/>
  <c r="T44" i="3"/>
  <c r="N44" i="3"/>
  <c r="P44" i="3"/>
  <c r="U44" i="3"/>
  <c r="E57" i="7"/>
  <c r="Q44" i="3"/>
  <c r="E39" i="6"/>
  <c r="E40" i="6" s="1"/>
  <c r="O44" i="3"/>
  <c r="R44" i="3"/>
  <c r="V44" i="3" s="1"/>
  <c r="I40" i="3"/>
  <c r="N42" i="3"/>
  <c r="U42" i="3"/>
  <c r="G10" i="19"/>
  <c r="F29" i="3"/>
  <c r="Q42" i="3"/>
  <c r="L53" i="7"/>
  <c r="L55" i="7"/>
  <c r="L54" i="7"/>
  <c r="J48" i="3"/>
  <c r="H48" i="3" s="1"/>
  <c r="P42" i="3"/>
  <c r="G54" i="7"/>
  <c r="G53" i="7"/>
  <c r="G55" i="7" s="1"/>
  <c r="J53" i="7"/>
  <c r="J54" i="7"/>
  <c r="J55" i="7" s="1"/>
  <c r="C4" i="5"/>
  <c r="C3" i="15"/>
  <c r="F14" i="3"/>
  <c r="E20" i="3" s="1"/>
  <c r="H20" i="3"/>
  <c r="T42" i="3"/>
  <c r="O42" i="3"/>
  <c r="G59" i="7" l="1"/>
  <c r="F59" i="7"/>
  <c r="Q38" i="3"/>
  <c r="I38" i="3" s="1"/>
  <c r="Q39" i="3"/>
  <c r="Q41" i="3" s="1"/>
  <c r="Q43" i="3" s="1"/>
  <c r="Q45" i="3" s="1"/>
  <c r="C17" i="5"/>
  <c r="C19" i="5"/>
  <c r="C20" i="5" s="1"/>
  <c r="C6" i="5"/>
  <c r="C14" i="5" s="1"/>
  <c r="L59" i="7"/>
  <c r="K88" i="7" s="1"/>
  <c r="K57" i="7"/>
  <c r="K59" i="7" s="1"/>
  <c r="I57" i="7"/>
  <c r="I59" i="7" s="1"/>
  <c r="H57" i="7"/>
  <c r="H59" i="7" s="1"/>
  <c r="J57" i="7"/>
  <c r="J59" i="7" s="1"/>
  <c r="G57" i="7"/>
  <c r="F57" i="7"/>
  <c r="L57" i="7"/>
  <c r="I42" i="3"/>
  <c r="F19" i="8"/>
  <c r="F40" i="3"/>
  <c r="C23" i="15"/>
  <c r="C25" i="15" s="1"/>
  <c r="C12" i="15"/>
  <c r="I44" i="3"/>
  <c r="G5" i="19"/>
  <c r="F20" i="3"/>
  <c r="E49" i="19" s="1"/>
  <c r="E10" i="19"/>
  <c r="I36" i="3"/>
  <c r="M37" i="3"/>
  <c r="R36" i="3"/>
  <c r="N37" i="3"/>
  <c r="O37" i="3"/>
  <c r="P37" i="3"/>
  <c r="E59" i="7"/>
  <c r="H121" i="7" l="1"/>
  <c r="H123" i="7" s="1"/>
  <c r="H72" i="7"/>
  <c r="J72" i="7"/>
  <c r="J121" i="7"/>
  <c r="J123" i="7" s="1"/>
  <c r="I121" i="7"/>
  <c r="I123" i="7" s="1"/>
  <c r="I72" i="7"/>
  <c r="K121" i="7"/>
  <c r="K72" i="7"/>
  <c r="S36" i="3"/>
  <c r="E5" i="19"/>
  <c r="F22" i="8"/>
  <c r="F42" i="3"/>
  <c r="K89" i="7"/>
  <c r="K90" i="7"/>
  <c r="M38" i="3"/>
  <c r="H38" i="3" s="1"/>
  <c r="H37" i="3"/>
  <c r="R37" i="3"/>
  <c r="J19" i="8"/>
  <c r="I19" i="8"/>
  <c r="G19" i="8"/>
  <c r="L19" i="8"/>
  <c r="H19" i="8"/>
  <c r="K19" i="8"/>
  <c r="C23" i="5"/>
  <c r="E121" i="7"/>
  <c r="E123" i="7" s="1"/>
  <c r="E72" i="7"/>
  <c r="Q63" i="3"/>
  <c r="Q48" i="3"/>
  <c r="F72" i="7"/>
  <c r="F121" i="7"/>
  <c r="F123" i="7" s="1"/>
  <c r="P38" i="3"/>
  <c r="P39" i="3" s="1"/>
  <c r="P41" i="3" s="1"/>
  <c r="P43" i="3" s="1"/>
  <c r="P45" i="3" s="1"/>
  <c r="F25" i="8"/>
  <c r="F44" i="3"/>
  <c r="G121" i="7"/>
  <c r="G123" i="7" s="1"/>
  <c r="G72" i="7"/>
  <c r="O38" i="3"/>
  <c r="O39" i="3"/>
  <c r="O41" i="3" s="1"/>
  <c r="O43" i="3" s="1"/>
  <c r="O45" i="3" s="1"/>
  <c r="I37" i="3"/>
  <c r="N38" i="3"/>
  <c r="N39" i="3" s="1"/>
  <c r="D87" i="8"/>
  <c r="D91" i="8" s="1"/>
  <c r="P63" i="3" l="1"/>
  <c r="P48" i="3"/>
  <c r="N41" i="3"/>
  <c r="I39" i="3"/>
  <c r="F20" i="8" s="1"/>
  <c r="G23" i="8"/>
  <c r="G26" i="8" s="1"/>
  <c r="G22" i="8"/>
  <c r="G21" i="8"/>
  <c r="K122" i="7"/>
  <c r="K123" i="7" s="1"/>
  <c r="K99" i="7"/>
  <c r="K22" i="8"/>
  <c r="K21" i="8"/>
  <c r="K23" i="8" s="1"/>
  <c r="K26" i="8" s="1"/>
  <c r="H21" i="8"/>
  <c r="H23" i="8" s="1"/>
  <c r="H26" i="8" s="1"/>
  <c r="H22" i="8"/>
  <c r="I22" i="8"/>
  <c r="I21" i="8"/>
  <c r="I23" i="8" s="1"/>
  <c r="I26" i="8" s="1"/>
  <c r="M39" i="3"/>
  <c r="H39" i="3" s="1"/>
  <c r="E20" i="8" s="1"/>
  <c r="T36" i="3"/>
  <c r="G25" i="8"/>
  <c r="I25" i="8"/>
  <c r="K25" i="8"/>
  <c r="J25" i="8"/>
  <c r="L25" i="8"/>
  <c r="H25" i="8"/>
  <c r="C25" i="5"/>
  <c r="D27" i="6" s="1"/>
  <c r="C13" i="15"/>
  <c r="C14" i="15" s="1"/>
  <c r="R38" i="3"/>
  <c r="R39" i="3" s="1"/>
  <c r="O63" i="3"/>
  <c r="O48" i="3"/>
  <c r="L21" i="8"/>
  <c r="L23" i="8" s="1"/>
  <c r="L26" i="8" s="1"/>
  <c r="L22" i="8"/>
  <c r="J22" i="8"/>
  <c r="J21" i="8"/>
  <c r="J23" i="8" s="1"/>
  <c r="J26" i="8" s="1"/>
  <c r="S37" i="3"/>
  <c r="H89" i="8" l="1"/>
  <c r="H91" i="8" s="1"/>
  <c r="H40" i="8"/>
  <c r="I89" i="8"/>
  <c r="I91" i="8" s="1"/>
  <c r="I40" i="8"/>
  <c r="K89" i="8"/>
  <c r="K40" i="8"/>
  <c r="R41" i="3"/>
  <c r="J89" i="8"/>
  <c r="J91" i="8" s="1"/>
  <c r="J40" i="8"/>
  <c r="L40" i="8"/>
  <c r="K56" i="8"/>
  <c r="U36" i="3"/>
  <c r="V36" i="3" s="1"/>
  <c r="T37" i="3"/>
  <c r="G40" i="8"/>
  <c r="G89" i="8"/>
  <c r="G91" i="8" s="1"/>
  <c r="S38" i="3"/>
  <c r="S39" i="3"/>
  <c r="S41" i="3" s="1"/>
  <c r="S43" i="3" s="1"/>
  <c r="S45" i="3" s="1"/>
  <c r="S48" i="3" s="1"/>
  <c r="F31" i="6"/>
  <c r="E41" i="6"/>
  <c r="F42" i="6" s="1"/>
  <c r="I41" i="3"/>
  <c r="N43" i="3"/>
  <c r="K57" i="8" l="1"/>
  <c r="K58" i="8" s="1"/>
  <c r="U37" i="3"/>
  <c r="R43" i="3"/>
  <c r="F21" i="8"/>
  <c r="F23" i="8" s="1"/>
  <c r="F26" i="8" s="1"/>
  <c r="F41" i="3"/>
  <c r="T38" i="3"/>
  <c r="T39" i="3" s="1"/>
  <c r="V37" i="3"/>
  <c r="H31" i="6"/>
  <c r="G31" i="6"/>
  <c r="F87" i="19"/>
  <c r="F32" i="6"/>
  <c r="I43" i="3"/>
  <c r="F43" i="3" s="1"/>
  <c r="N45" i="3"/>
  <c r="D5" i="7"/>
  <c r="H42" i="6"/>
  <c r="F5" i="7" s="1"/>
  <c r="G42" i="6"/>
  <c r="E5" i="7" s="1"/>
  <c r="F88" i="19"/>
  <c r="T41" i="3" l="1"/>
  <c r="K67" i="8"/>
  <c r="K90" i="8"/>
  <c r="K91" i="8" s="1"/>
  <c r="U38" i="3"/>
  <c r="V38" i="3" s="1"/>
  <c r="B19" i="17"/>
  <c r="F16" i="7"/>
  <c r="I45" i="3"/>
  <c r="N63" i="3"/>
  <c r="I63" i="3" s="1"/>
  <c r="N48" i="3"/>
  <c r="I48" i="3" s="1"/>
  <c r="F48" i="3" s="1"/>
  <c r="F89" i="8"/>
  <c r="F91" i="8" s="1"/>
  <c r="F40" i="8"/>
  <c r="G32" i="6"/>
  <c r="F43" i="6"/>
  <c r="H32" i="6"/>
  <c r="D6" i="7"/>
  <c r="R45" i="3"/>
  <c r="R48" i="3" s="1"/>
  <c r="B20" i="17" l="1"/>
  <c r="B26" i="17" s="1"/>
  <c r="B21" i="17"/>
  <c r="H43" i="6"/>
  <c r="H47" i="6" s="1"/>
  <c r="F47" i="6"/>
  <c r="C4" i="15"/>
  <c r="C6" i="15" s="1"/>
  <c r="D4" i="7"/>
  <c r="G43" i="6"/>
  <c r="G47" i="6" s="1"/>
  <c r="E7" i="7" s="1"/>
  <c r="D94" i="8"/>
  <c r="D93" i="8"/>
  <c r="E59" i="19"/>
  <c r="F45" i="3"/>
  <c r="H11" i="19"/>
  <c r="U39" i="3"/>
  <c r="F29" i="8"/>
  <c r="F63" i="3"/>
  <c r="F6" i="7"/>
  <c r="E6" i="7"/>
  <c r="T43" i="3"/>
  <c r="C7" i="15" l="1"/>
  <c r="B5" i="17"/>
  <c r="B6" i="17" s="1"/>
  <c r="B9" i="17" s="1"/>
  <c r="B11" i="17" s="1"/>
  <c r="B28" i="17" s="1"/>
  <c r="F7" i="7"/>
  <c r="F4" i="7"/>
  <c r="E4" i="7"/>
  <c r="E11" i="19"/>
  <c r="E52" i="3"/>
  <c r="D7" i="7"/>
  <c r="E8" i="7"/>
  <c r="E25" i="7" s="1"/>
  <c r="E27" i="7" s="1"/>
  <c r="E28" i="7" s="1"/>
  <c r="E19" i="7"/>
  <c r="F152" i="7"/>
  <c r="G152" i="7"/>
  <c r="I152" i="7"/>
  <c r="K152" i="7"/>
  <c r="H152" i="7"/>
  <c r="E152" i="7"/>
  <c r="J152" i="7"/>
  <c r="T45" i="3"/>
  <c r="T48" i="3" s="1"/>
  <c r="U41" i="3"/>
  <c r="V39" i="3"/>
  <c r="C8" i="15"/>
  <c r="C17" i="15"/>
  <c r="M73" i="3"/>
  <c r="H73" i="3" s="1"/>
  <c r="F73" i="3" s="1"/>
  <c r="E67" i="19" s="1"/>
  <c r="B27" i="17"/>
  <c r="U43" i="3" l="1"/>
  <c r="V41" i="3"/>
  <c r="D119" i="7"/>
  <c r="D123" i="7" s="1"/>
  <c r="D19" i="7"/>
  <c r="D22" i="7" s="1"/>
  <c r="C16" i="15"/>
  <c r="C10" i="15"/>
  <c r="E41" i="7"/>
  <c r="E22" i="7"/>
  <c r="E131" i="7"/>
  <c r="E99" i="8"/>
  <c r="B29" i="17"/>
  <c r="F19" i="7"/>
  <c r="F22" i="7" s="1"/>
  <c r="F8" i="7"/>
  <c r="F13" i="7"/>
  <c r="A34" i="15"/>
  <c r="E13" i="7"/>
  <c r="E53" i="3"/>
  <c r="E54" i="3" s="1"/>
  <c r="G54" i="3" l="1"/>
  <c r="C18" i="15"/>
  <c r="C20" i="15" s="1"/>
  <c r="C26" i="15"/>
  <c r="C27" i="15" s="1"/>
  <c r="F25" i="7"/>
  <c r="F27" i="7" s="1"/>
  <c r="F28" i="7" s="1"/>
  <c r="D8" i="7"/>
  <c r="D25" i="7" s="1"/>
  <c r="D13" i="7"/>
  <c r="D12" i="7" s="1"/>
  <c r="E16" i="7"/>
  <c r="D125" i="7"/>
  <c r="D126" i="7"/>
  <c r="E111" i="8"/>
  <c r="E142" i="7"/>
  <c r="E42" i="7"/>
  <c r="H45" i="7"/>
  <c r="F45" i="7"/>
  <c r="J45" i="7"/>
  <c r="K45" i="7"/>
  <c r="E45" i="7"/>
  <c r="L45" i="7"/>
  <c r="G45" i="7"/>
  <c r="I45" i="7"/>
  <c r="U45" i="3"/>
  <c r="U48" i="3" s="1"/>
  <c r="V48" i="3" s="1"/>
  <c r="V43" i="3"/>
  <c r="V45" i="3" s="1"/>
  <c r="E44" i="7" l="1"/>
  <c r="E75" i="7"/>
  <c r="D26" i="7"/>
  <c r="D27" i="7"/>
  <c r="D28" i="7" s="1"/>
  <c r="E43" i="7"/>
  <c r="K33" i="7"/>
  <c r="E34" i="7"/>
  <c r="K34" i="7"/>
  <c r="K91" i="7" s="1"/>
  <c r="K92" i="7" s="1"/>
  <c r="L33" i="7"/>
  <c r="H34" i="7"/>
  <c r="I61" i="7"/>
  <c r="I63" i="7" s="1"/>
  <c r="J34" i="7"/>
  <c r="F34" i="7"/>
  <c r="F61" i="7"/>
  <c r="F63" i="7" s="1"/>
  <c r="G33" i="7"/>
  <c r="G35" i="7" s="1"/>
  <c r="G36" i="7" s="1"/>
  <c r="G74" i="7" s="1"/>
  <c r="H33" i="7"/>
  <c r="H35" i="7" s="1"/>
  <c r="I33" i="7"/>
  <c r="G34" i="7"/>
  <c r="D16" i="7"/>
  <c r="J33" i="7"/>
  <c r="G61" i="7"/>
  <c r="G63" i="7" s="1"/>
  <c r="J61" i="7"/>
  <c r="J63" i="7" s="1"/>
  <c r="H36" i="7"/>
  <c r="H74" i="7" s="1"/>
  <c r="H61" i="7"/>
  <c r="H63" i="7" s="1"/>
  <c r="I34" i="7"/>
  <c r="L34" i="7"/>
  <c r="E33" i="7"/>
  <c r="F33" i="7"/>
  <c r="E61" i="7"/>
  <c r="E63" i="7" s="1"/>
  <c r="K61" i="7"/>
  <c r="K63" i="7" s="1"/>
  <c r="D130" i="7"/>
  <c r="E12" i="7"/>
  <c r="F12" i="7" s="1"/>
  <c r="D141" i="7"/>
  <c r="D145" i="7" s="1"/>
  <c r="F28" i="19"/>
  <c r="J54" i="3"/>
  <c r="G55" i="3"/>
  <c r="G61" i="3"/>
  <c r="J132" i="7" l="1"/>
  <c r="J134" i="7" s="1"/>
  <c r="J153" i="7"/>
  <c r="G64" i="3"/>
  <c r="F35" i="7"/>
  <c r="F36" i="7" s="1"/>
  <c r="F74" i="7" s="1"/>
  <c r="E35" i="7"/>
  <c r="E36" i="7" s="1"/>
  <c r="E74" i="7" s="1"/>
  <c r="E76" i="7" s="1"/>
  <c r="H132" i="7"/>
  <c r="H134" i="7" s="1"/>
  <c r="H153" i="7"/>
  <c r="I35" i="7"/>
  <c r="I36" i="7" s="1"/>
  <c r="I74" i="7" s="1"/>
  <c r="F132" i="7"/>
  <c r="F134" i="7" s="1"/>
  <c r="F153" i="7"/>
  <c r="I132" i="7"/>
  <c r="I134" i="7" s="1"/>
  <c r="I153" i="7"/>
  <c r="K35" i="7"/>
  <c r="K36" i="7" s="1"/>
  <c r="K74" i="7" s="1"/>
  <c r="E153" i="7"/>
  <c r="E132" i="7"/>
  <c r="E134" i="7" s="1"/>
  <c r="K133" i="7"/>
  <c r="D134" i="7"/>
  <c r="E154" i="7"/>
  <c r="G132" i="7"/>
  <c r="G134" i="7" s="1"/>
  <c r="G153" i="7"/>
  <c r="J55" i="3"/>
  <c r="J61" i="3"/>
  <c r="K54" i="3"/>
  <c r="K132" i="7"/>
  <c r="K134" i="7" s="1"/>
  <c r="K153" i="7"/>
  <c r="J35" i="7"/>
  <c r="J36" i="7" s="1"/>
  <c r="J74" i="7" s="1"/>
  <c r="L35" i="7"/>
  <c r="L36" i="7" s="1"/>
  <c r="F41" i="7"/>
  <c r="E46" i="7"/>
  <c r="E80" i="7" l="1"/>
  <c r="E79" i="7"/>
  <c r="E82" i="7" s="1"/>
  <c r="E65" i="7" s="1"/>
  <c r="E67" i="7" s="1"/>
  <c r="E143" i="7" s="1"/>
  <c r="E145" i="7" s="1"/>
  <c r="F43" i="7"/>
  <c r="F42" i="7"/>
  <c r="K55" i="3"/>
  <c r="K61" i="3"/>
  <c r="D137" i="7"/>
  <c r="D136" i="7"/>
  <c r="L54" i="3"/>
  <c r="G65" i="3"/>
  <c r="G66" i="3"/>
  <c r="G67" i="3"/>
  <c r="F46" i="7" l="1"/>
  <c r="G41" i="7"/>
  <c r="L55" i="3"/>
  <c r="L61" i="3"/>
  <c r="M54" i="3"/>
  <c r="F24" i="19"/>
  <c r="G68" i="3"/>
  <c r="G69" i="3" s="1"/>
  <c r="F75" i="7"/>
  <c r="F76" i="7" s="1"/>
  <c r="F44" i="7"/>
  <c r="N54" i="3"/>
  <c r="F77" i="7" l="1"/>
  <c r="F79" i="7"/>
  <c r="F82" i="7" s="1"/>
  <c r="F65" i="7" s="1"/>
  <c r="F67" i="7" s="1"/>
  <c r="F143" i="7" s="1"/>
  <c r="F145" i="7" s="1"/>
  <c r="H61" i="3"/>
  <c r="G70" i="3"/>
  <c r="G71" i="3"/>
  <c r="G43" i="7"/>
  <c r="G42" i="7"/>
  <c r="N61" i="3"/>
  <c r="M55" i="3"/>
  <c r="H55" i="3" s="1"/>
  <c r="M61" i="3"/>
  <c r="H54" i="3"/>
  <c r="O54" i="3"/>
  <c r="O61" i="3" l="1"/>
  <c r="F12" i="19"/>
  <c r="P54" i="3"/>
  <c r="F6" i="19"/>
  <c r="G28" i="19"/>
  <c r="G75" i="7"/>
  <c r="G76" i="7" s="1"/>
  <c r="G44" i="7"/>
  <c r="F154" i="7"/>
  <c r="F80" i="7"/>
  <c r="N55" i="3"/>
  <c r="O55" i="3" s="1"/>
  <c r="G46" i="7"/>
  <c r="H41" i="7"/>
  <c r="G72" i="3"/>
  <c r="G74" i="3" s="1"/>
  <c r="G75" i="3" l="1"/>
  <c r="G77" i="3"/>
  <c r="G79" i="7"/>
  <c r="G82" i="7" s="1"/>
  <c r="G65" i="7" s="1"/>
  <c r="G67" i="7" s="1"/>
  <c r="G143" i="7" s="1"/>
  <c r="G145" i="7" s="1"/>
  <c r="G77" i="7"/>
  <c r="F7" i="19"/>
  <c r="F14" i="19"/>
  <c r="H42" i="7"/>
  <c r="H43" i="7" s="1"/>
  <c r="G81" i="3"/>
  <c r="P55" i="3"/>
  <c r="P61" i="3"/>
  <c r="Q54" i="3"/>
  <c r="I41" i="7" l="1"/>
  <c r="H46" i="7"/>
  <c r="F40" i="19"/>
  <c r="F41" i="19" s="1"/>
  <c r="J59" i="3"/>
  <c r="G79" i="3"/>
  <c r="G76" i="3"/>
  <c r="Q55" i="3"/>
  <c r="I55" i="3" s="1"/>
  <c r="F55" i="3" s="1"/>
  <c r="Q61" i="3"/>
  <c r="I61" i="3" s="1"/>
  <c r="F61" i="3" s="1"/>
  <c r="F31" i="19"/>
  <c r="F18" i="19"/>
  <c r="H75" i="7"/>
  <c r="H76" i="7" s="1"/>
  <c r="H44" i="7"/>
  <c r="G154" i="7"/>
  <c r="G80" i="7"/>
  <c r="I54" i="3"/>
  <c r="H28" i="19" l="1"/>
  <c r="F54" i="3"/>
  <c r="H77" i="7"/>
  <c r="F25" i="19"/>
  <c r="H59" i="3"/>
  <c r="J64" i="3"/>
  <c r="F29" i="19"/>
  <c r="I42" i="7"/>
  <c r="I43" i="7" s="1"/>
  <c r="J41" i="7" l="1"/>
  <c r="I46" i="7"/>
  <c r="D110" i="8"/>
  <c r="D115" i="8" s="1"/>
  <c r="D98" i="8"/>
  <c r="D103" i="8" s="1"/>
  <c r="F37" i="19"/>
  <c r="H154" i="7"/>
  <c r="H80" i="7"/>
  <c r="H79" i="7"/>
  <c r="H82" i="7" s="1"/>
  <c r="H65" i="7" s="1"/>
  <c r="H67" i="7" s="1"/>
  <c r="H143" i="7" s="1"/>
  <c r="H145" i="7" s="1"/>
  <c r="F26" i="19"/>
  <c r="J65" i="3"/>
  <c r="J67" i="3" s="1"/>
  <c r="I75" i="7"/>
  <c r="I76" i="7" s="1"/>
  <c r="I44" i="7"/>
  <c r="E28" i="19"/>
  <c r="J68" i="3" l="1"/>
  <c r="J69" i="3" s="1"/>
  <c r="F34" i="19"/>
  <c r="F38" i="19"/>
  <c r="J42" i="7"/>
  <c r="J43" i="7" s="1"/>
  <c r="I77" i="7"/>
  <c r="I79" i="7" s="1"/>
  <c r="I82" i="7" s="1"/>
  <c r="I65" i="7" s="1"/>
  <c r="I67" i="7" s="1"/>
  <c r="I143" i="7" s="1"/>
  <c r="I145" i="7" s="1"/>
  <c r="J66" i="3"/>
  <c r="J46" i="7" l="1"/>
  <c r="K41" i="7"/>
  <c r="J70" i="3"/>
  <c r="J71" i="3" s="1"/>
  <c r="I154" i="7"/>
  <c r="I80" i="7"/>
  <c r="J75" i="7"/>
  <c r="J76" i="7" s="1"/>
  <c r="J44" i="7"/>
  <c r="J72" i="3" l="1"/>
  <c r="K42" i="7"/>
  <c r="K43" i="7" s="1"/>
  <c r="J74" i="3"/>
  <c r="J77" i="7"/>
  <c r="K46" i="7" l="1"/>
  <c r="K100" i="7" s="1"/>
  <c r="K101" i="7" s="1"/>
  <c r="L41" i="7"/>
  <c r="J80" i="7"/>
  <c r="J154" i="7"/>
  <c r="J77" i="3"/>
  <c r="K59" i="3" s="1"/>
  <c r="J75" i="3"/>
  <c r="J81" i="3"/>
  <c r="K75" i="7"/>
  <c r="K76" i="7" s="1"/>
  <c r="K44" i="7"/>
  <c r="K105" i="7" s="1"/>
  <c r="K106" i="7" s="1"/>
  <c r="J79" i="7"/>
  <c r="J82" i="7" s="1"/>
  <c r="J65" i="7" s="1"/>
  <c r="J67" i="7" s="1"/>
  <c r="J143" i="7" s="1"/>
  <c r="J145" i="7" s="1"/>
  <c r="J79" i="3" l="1"/>
  <c r="J76" i="3"/>
  <c r="L43" i="7"/>
  <c r="L46" i="7" s="1"/>
  <c r="L42" i="7"/>
  <c r="L44" i="7" s="1"/>
  <c r="K77" i="7"/>
  <c r="K64" i="3"/>
  <c r="K154" i="7" l="1"/>
  <c r="K80" i="7"/>
  <c r="K102" i="7" s="1"/>
  <c r="K103" i="7" s="1"/>
  <c r="K108" i="7" s="1"/>
  <c r="K110" i="7" s="1"/>
  <c r="K111" i="7" s="1"/>
  <c r="K113" i="7" s="1"/>
  <c r="K94" i="7" s="1"/>
  <c r="K96" i="7" s="1"/>
  <c r="K144" i="7" s="1"/>
  <c r="K65" i="3"/>
  <c r="K79" i="7"/>
  <c r="K82" i="7" s="1"/>
  <c r="K65" i="7" s="1"/>
  <c r="K67" i="7" s="1"/>
  <c r="K143" i="7" s="1"/>
  <c r="K145" i="7" s="1"/>
  <c r="D148" i="7" l="1"/>
  <c r="D147" i="7"/>
  <c r="K66" i="3"/>
  <c r="K67" i="3"/>
  <c r="K68" i="3" l="1"/>
  <c r="K69" i="3" s="1"/>
  <c r="K70" i="3" l="1"/>
  <c r="K71" i="3" s="1"/>
  <c r="K72" i="3" l="1"/>
  <c r="K74" i="3"/>
  <c r="K75" i="3" l="1"/>
  <c r="K81" i="3"/>
  <c r="K79" i="3" l="1"/>
  <c r="K76" i="3"/>
  <c r="K77" i="3"/>
  <c r="L59" i="3" s="1"/>
  <c r="L64" i="3" l="1"/>
  <c r="L65" i="3" l="1"/>
  <c r="L66" i="3" l="1"/>
  <c r="L67" i="3"/>
  <c r="L68" i="3" l="1"/>
  <c r="L69" i="3" s="1"/>
  <c r="L70" i="3" l="1"/>
  <c r="L71" i="3" l="1"/>
  <c r="L72" i="3" l="1"/>
  <c r="L81" i="3" l="1"/>
  <c r="L74" i="3"/>
  <c r="L75" i="3" l="1"/>
  <c r="L77" i="3"/>
  <c r="M59" i="3" s="1"/>
  <c r="M64" i="3" l="1"/>
  <c r="L79" i="3"/>
  <c r="L76" i="3"/>
  <c r="M65" i="3" l="1"/>
  <c r="H64" i="3"/>
  <c r="M66" i="3"/>
  <c r="H66" i="3" s="1"/>
  <c r="G24" i="19" l="1"/>
  <c r="H65" i="3"/>
  <c r="M67" i="3"/>
  <c r="H67" i="3" l="1"/>
  <c r="H68" i="3" s="1"/>
  <c r="M68" i="3"/>
  <c r="M69" i="3" s="1"/>
  <c r="M71" i="3" l="1"/>
  <c r="M70" i="3"/>
  <c r="H69" i="3"/>
  <c r="M72" i="3" l="1"/>
  <c r="H71" i="3"/>
  <c r="H70" i="3"/>
  <c r="G6" i="19" l="1"/>
  <c r="F70" i="3"/>
  <c r="E50" i="19" s="1"/>
  <c r="M81" i="3"/>
  <c r="H81" i="3" s="1"/>
  <c r="H72" i="3"/>
  <c r="M74" i="3"/>
  <c r="G12" i="19"/>
  <c r="G31" i="19" l="1"/>
  <c r="H74" i="3"/>
  <c r="M75" i="3"/>
  <c r="E87" i="19"/>
  <c r="E51" i="19"/>
  <c r="E27" i="8"/>
  <c r="E42" i="8" s="1"/>
  <c r="E44" i="8" s="1"/>
  <c r="G14" i="19"/>
  <c r="G7" i="19"/>
  <c r="E6" i="19"/>
  <c r="E7" i="19" s="1"/>
  <c r="H75" i="3" l="1"/>
  <c r="M79" i="3"/>
  <c r="H79" i="3" s="1"/>
  <c r="M76" i="3"/>
  <c r="H76" i="3" s="1"/>
  <c r="E56" i="19"/>
  <c r="E54" i="19"/>
  <c r="G18" i="19"/>
  <c r="E48" i="8"/>
  <c r="E47" i="8"/>
  <c r="E50" i="8" s="1"/>
  <c r="M77" i="3"/>
  <c r="G43" i="19"/>
  <c r="G25" i="19" l="1"/>
  <c r="G29" i="19"/>
  <c r="H77" i="3"/>
  <c r="G40" i="19" s="1"/>
  <c r="G41" i="19" s="1"/>
  <c r="N59" i="3"/>
  <c r="F10" i="8"/>
  <c r="G56" i="19"/>
  <c r="H14" i="8" l="1"/>
  <c r="L14" i="8"/>
  <c r="F14" i="8"/>
  <c r="I14" i="8"/>
  <c r="G14" i="8"/>
  <c r="J14" i="8"/>
  <c r="K14" i="8"/>
  <c r="N64" i="3"/>
  <c r="I59" i="3"/>
  <c r="E98" i="8"/>
  <c r="E103" i="8" s="1"/>
  <c r="E110" i="8"/>
  <c r="E115" i="8" s="1"/>
  <c r="G37" i="19"/>
  <c r="F11" i="8"/>
  <c r="G26" i="19"/>
  <c r="F13" i="8" l="1"/>
  <c r="F43" i="8"/>
  <c r="G34" i="19"/>
  <c r="G42" i="19"/>
  <c r="G44" i="19" s="1"/>
  <c r="G38" i="19"/>
  <c r="F12" i="8"/>
  <c r="G10" i="8" s="1"/>
  <c r="E12" i="14"/>
  <c r="N65" i="3"/>
  <c r="N67" i="3" s="1"/>
  <c r="N68" i="3" l="1"/>
  <c r="N69" i="3" s="1"/>
  <c r="E37" i="14"/>
  <c r="G12" i="8"/>
  <c r="H10" i="8" s="1"/>
  <c r="G11" i="8"/>
  <c r="G43" i="8" s="1"/>
  <c r="N66" i="3"/>
  <c r="G13" i="8"/>
  <c r="F16" i="8"/>
  <c r="F15" i="8" s="1"/>
  <c r="G16" i="8" l="1"/>
  <c r="G15" i="8" s="1"/>
  <c r="N71" i="3"/>
  <c r="H11" i="8"/>
  <c r="H43" i="8" s="1"/>
  <c r="H12" i="8"/>
  <c r="I10" i="8" s="1"/>
  <c r="H13" i="8" l="1"/>
  <c r="I11" i="8"/>
  <c r="I43" i="8" s="1"/>
  <c r="N72" i="3"/>
  <c r="N74" i="3"/>
  <c r="N81" i="3" l="1"/>
  <c r="I12" i="8"/>
  <c r="J10" i="8" s="1"/>
  <c r="N75" i="3"/>
  <c r="N77" i="3"/>
  <c r="O59" i="3" s="1"/>
  <c r="I13" i="8"/>
  <c r="H16" i="8"/>
  <c r="H15" i="8" s="1"/>
  <c r="O64" i="3" l="1"/>
  <c r="N79" i="3"/>
  <c r="N76" i="3"/>
  <c r="J11" i="8"/>
  <c r="J43" i="8" s="1"/>
  <c r="I16" i="8"/>
  <c r="I15" i="8" s="1"/>
  <c r="J12" i="8" l="1"/>
  <c r="K10" i="8" s="1"/>
  <c r="J13" i="8"/>
  <c r="O65" i="3"/>
  <c r="J16" i="8" l="1"/>
  <c r="J15" i="8" s="1"/>
  <c r="O66" i="3"/>
  <c r="O67" i="3"/>
  <c r="K11" i="8"/>
  <c r="K43" i="8" s="1"/>
  <c r="K12" i="8" l="1"/>
  <c r="L10" i="8" s="1"/>
  <c r="O68" i="3"/>
  <c r="O69" i="3" s="1"/>
  <c r="K13" i="8"/>
  <c r="O71" i="3" l="1"/>
  <c r="K73" i="8"/>
  <c r="K74" i="8" s="1"/>
  <c r="K16" i="8"/>
  <c r="L11" i="8"/>
  <c r="L43" i="8" s="1"/>
  <c r="L13" i="8" l="1"/>
  <c r="L16" i="8" s="1"/>
  <c r="L15" i="8" s="1"/>
  <c r="L12" i="8"/>
  <c r="K68" i="8"/>
  <c r="K69" i="8" s="1"/>
  <c r="K15" i="8"/>
  <c r="O72" i="3"/>
  <c r="O74" i="3"/>
  <c r="O81" i="3" l="1"/>
  <c r="O77" i="3"/>
  <c r="P59" i="3" s="1"/>
  <c r="O75" i="3"/>
  <c r="P64" i="3" l="1"/>
  <c r="O79" i="3"/>
  <c r="O76" i="3"/>
  <c r="P65" i="3" l="1"/>
  <c r="P67" i="3" l="1"/>
  <c r="P66" i="3"/>
  <c r="P68" i="3" l="1"/>
  <c r="P69" i="3" s="1"/>
  <c r="P71" i="3" l="1"/>
  <c r="P72" i="3" l="1"/>
  <c r="P74" i="3"/>
  <c r="P75" i="3" l="1"/>
  <c r="P81" i="3"/>
  <c r="P76" i="3"/>
  <c r="P79" i="3" l="1"/>
  <c r="P77" i="3"/>
  <c r="Q59" i="3" s="1"/>
  <c r="Q64" i="3" l="1"/>
  <c r="I64" i="3" l="1"/>
  <c r="F64" i="3" s="1"/>
  <c r="Q65" i="3"/>
  <c r="Q67" i="3"/>
  <c r="I65" i="3" l="1"/>
  <c r="F65" i="3" s="1"/>
  <c r="Q66" i="3"/>
  <c r="I66" i="3" s="1"/>
  <c r="I67" i="3"/>
  <c r="I68" i="3" s="1"/>
  <c r="Q68" i="3"/>
  <c r="Q69" i="3" s="1"/>
  <c r="H24" i="19" l="1"/>
  <c r="F66" i="3"/>
  <c r="Q71" i="3"/>
  <c r="I69" i="3"/>
  <c r="F69" i="3" s="1"/>
  <c r="Q72" i="3" l="1"/>
  <c r="I71" i="3"/>
  <c r="Q74" i="3"/>
  <c r="E24" i="19"/>
  <c r="Q75" i="3" l="1"/>
  <c r="I74" i="3"/>
  <c r="F74" i="3" s="1"/>
  <c r="Q81" i="3"/>
  <c r="I81" i="3" s="1"/>
  <c r="I72" i="3"/>
  <c r="H12" i="19"/>
  <c r="F71" i="3"/>
  <c r="E60" i="19" s="1"/>
  <c r="Q76" i="3"/>
  <c r="I76" i="3" s="1"/>
  <c r="H14" i="19" l="1"/>
  <c r="E12" i="19"/>
  <c r="E14" i="19" s="1"/>
  <c r="I75" i="3"/>
  <c r="F75" i="3" s="1"/>
  <c r="Q79" i="3"/>
  <c r="I79" i="3" s="1"/>
  <c r="H25" i="19"/>
  <c r="F76" i="3"/>
  <c r="H31" i="19"/>
  <c r="E31" i="19" s="1"/>
  <c r="E66" i="19" s="1"/>
  <c r="F81" i="3"/>
  <c r="F27" i="8"/>
  <c r="F72" i="3"/>
  <c r="E61" i="19" s="1"/>
  <c r="E62" i="19" s="1"/>
  <c r="Q77" i="3"/>
  <c r="E88" i="19" l="1"/>
  <c r="E65" i="19"/>
  <c r="E68" i="19" s="1"/>
  <c r="E18" i="19"/>
  <c r="F42" i="8"/>
  <c r="F44" i="8" s="1"/>
  <c r="F31" i="8"/>
  <c r="E25" i="19"/>
  <c r="H26" i="19"/>
  <c r="I77" i="3"/>
  <c r="E72" i="19"/>
  <c r="F77" i="3"/>
  <c r="H18" i="19"/>
  <c r="H29" i="19"/>
  <c r="F79" i="3"/>
  <c r="F98" i="8" l="1"/>
  <c r="F110" i="8"/>
  <c r="E29" i="19"/>
  <c r="E3" i="14" s="1"/>
  <c r="H38" i="19"/>
  <c r="E38" i="19" s="1"/>
  <c r="E26" i="19"/>
  <c r="F100" i="8"/>
  <c r="H40" i="19"/>
  <c r="H41" i="19" s="1"/>
  <c r="E71" i="19"/>
  <c r="F45" i="8"/>
  <c r="F48" i="8" s="1"/>
  <c r="F47" i="8"/>
  <c r="F50" i="8" s="1"/>
  <c r="F33" i="8" s="1"/>
  <c r="F35" i="8" s="1"/>
  <c r="F112" i="8" s="1"/>
  <c r="C4" i="8" l="1"/>
  <c r="E73" i="19"/>
  <c r="D53" i="14"/>
  <c r="D12" i="14"/>
  <c r="E15" i="14" l="1"/>
  <c r="D59" i="14"/>
  <c r="F101" i="8"/>
  <c r="F103" i="8" s="1"/>
  <c r="H32" i="19"/>
  <c r="F113" i="8"/>
  <c r="F115" i="8" s="1"/>
  <c r="G4" i="8"/>
  <c r="D7" i="8"/>
  <c r="E32" i="19" l="1"/>
  <c r="H37" i="19"/>
  <c r="H34" i="19"/>
  <c r="G6" i="8"/>
  <c r="I5" i="8"/>
  <c r="J4" i="8" s="1"/>
  <c r="G5" i="8"/>
  <c r="H4" i="8" s="1"/>
  <c r="L5" i="8"/>
  <c r="J5" i="8"/>
  <c r="K4" i="8" s="1"/>
  <c r="K6" i="8" s="1"/>
  <c r="K5" i="8"/>
  <c r="H5" i="8"/>
  <c r="I4" i="8" s="1"/>
  <c r="I6" i="8" s="1"/>
  <c r="F12" i="14"/>
  <c r="E26" i="14"/>
  <c r="E16" i="14"/>
  <c r="G7" i="8" l="1"/>
  <c r="G42" i="8" s="1"/>
  <c r="G44" i="8" s="1"/>
  <c r="E17" i="14"/>
  <c r="E21" i="14" s="1"/>
  <c r="F37" i="14"/>
  <c r="E37" i="19"/>
  <c r="E34" i="19"/>
  <c r="I28" i="8"/>
  <c r="I31" i="8" s="1"/>
  <c r="I7" i="8"/>
  <c r="I42" i="8" s="1"/>
  <c r="I44" i="8" s="1"/>
  <c r="H6" i="8"/>
  <c r="K7" i="8"/>
  <c r="K42" i="8" s="1"/>
  <c r="K44" i="8" s="1"/>
  <c r="L4" i="8"/>
  <c r="L6" i="8" s="1"/>
  <c r="K59" i="8"/>
  <c r="K60" i="8" s="1"/>
  <c r="J6" i="8"/>
  <c r="J7" i="8" l="1"/>
  <c r="J42" i="8" s="1"/>
  <c r="J44" i="8" s="1"/>
  <c r="I100" i="8"/>
  <c r="I103" i="8" s="1"/>
  <c r="I12" i="14" s="1"/>
  <c r="K102" i="8"/>
  <c r="K28" i="8"/>
  <c r="K31" i="8" s="1"/>
  <c r="L7" i="8"/>
  <c r="L42" i="8" s="1"/>
  <c r="L44" i="8" s="1"/>
  <c r="H7" i="8"/>
  <c r="H42" i="8" s="1"/>
  <c r="H44" i="8" s="1"/>
  <c r="G47" i="8"/>
  <c r="G50" i="8" s="1"/>
  <c r="G33" i="8" s="1"/>
  <c r="G45" i="8"/>
  <c r="G48" i="8" s="1"/>
  <c r="E31" i="14"/>
  <c r="E22" i="14"/>
  <c r="E32" i="14" s="1"/>
  <c r="G28" i="8"/>
  <c r="G31" i="8" s="1"/>
  <c r="H45" i="8" l="1"/>
  <c r="H48" i="8" s="1"/>
  <c r="I45" i="8" s="1"/>
  <c r="I37" i="14"/>
  <c r="H28" i="8"/>
  <c r="H31" i="8" s="1"/>
  <c r="E27" i="14"/>
  <c r="J28" i="8"/>
  <c r="J31" i="8" s="1"/>
  <c r="K100" i="8"/>
  <c r="K103" i="8" s="1"/>
  <c r="K12" i="14" s="1"/>
  <c r="G35" i="8"/>
  <c r="G112" i="8" s="1"/>
  <c r="G115" i="8" s="1"/>
  <c r="G100" i="8"/>
  <c r="G103" i="8" s="1"/>
  <c r="L28" i="8"/>
  <c r="L31" i="8" s="1"/>
  <c r="E23" i="14"/>
  <c r="F20" i="14" s="1"/>
  <c r="I48" i="8" l="1"/>
  <c r="J45" i="8" s="1"/>
  <c r="I47" i="8"/>
  <c r="I50" i="8" s="1"/>
  <c r="I33" i="8" s="1"/>
  <c r="I35" i="8" s="1"/>
  <c r="I112" i="8" s="1"/>
  <c r="I115" i="8" s="1"/>
  <c r="K37" i="14"/>
  <c r="G12" i="14"/>
  <c r="J100" i="8"/>
  <c r="J103" i="8" s="1"/>
  <c r="J12" i="14" s="1"/>
  <c r="H100" i="8"/>
  <c r="H103" i="8" s="1"/>
  <c r="H12" i="14" s="1"/>
  <c r="E33" i="14"/>
  <c r="E34" i="14" s="1"/>
  <c r="E28" i="14"/>
  <c r="F15" i="14" s="1"/>
  <c r="H47" i="8"/>
  <c r="H50" i="8" s="1"/>
  <c r="H33" i="8" s="1"/>
  <c r="H35" i="8" s="1"/>
  <c r="H112" i="8" s="1"/>
  <c r="H115" i="8" s="1"/>
  <c r="E43" i="14" l="1"/>
  <c r="E38" i="14"/>
  <c r="E39" i="14" s="1"/>
  <c r="J37" i="14"/>
  <c r="D105" i="8"/>
  <c r="F16" i="14"/>
  <c r="F26" i="14"/>
  <c r="G37" i="14"/>
  <c r="J48" i="8"/>
  <c r="K45" i="8" s="1"/>
  <c r="J47" i="8"/>
  <c r="J50" i="8" s="1"/>
  <c r="J33" i="8" s="1"/>
  <c r="J35" i="8" s="1"/>
  <c r="J112" i="8" s="1"/>
  <c r="J115" i="8" s="1"/>
  <c r="H37" i="14"/>
  <c r="D106" i="8"/>
  <c r="E45" i="14" l="1"/>
  <c r="E53" i="14" s="1"/>
  <c r="K48" i="8"/>
  <c r="K47" i="8"/>
  <c r="K50" i="8" s="1"/>
  <c r="K33" i="8" s="1"/>
  <c r="K35" i="8" s="1"/>
  <c r="K112" i="8" s="1"/>
  <c r="E48" i="14"/>
  <c r="F17" i="14"/>
  <c r="E49" i="14"/>
  <c r="E44" i="14"/>
  <c r="F31" i="14" l="1"/>
  <c r="F22" i="14"/>
  <c r="F32" i="14" s="1"/>
  <c r="E59" i="14"/>
  <c r="E50" i="14"/>
  <c r="F21" i="14"/>
  <c r="K70" i="8"/>
  <c r="K71" i="8" s="1"/>
  <c r="K76" i="8" s="1"/>
  <c r="K78" i="8" s="1"/>
  <c r="K79" i="8" s="1"/>
  <c r="K81" i="8" s="1"/>
  <c r="K62" i="8" s="1"/>
  <c r="K64" i="8" s="1"/>
  <c r="K114" i="8" s="1"/>
  <c r="K115" i="8" s="1"/>
  <c r="L45" i="8"/>
  <c r="D118" i="8" l="1"/>
  <c r="D117" i="8"/>
  <c r="F27" i="14"/>
  <c r="F23" i="14"/>
  <c r="G20" i="14" s="1"/>
  <c r="L48" i="8"/>
  <c r="L47" i="8"/>
  <c r="L50" i="8" s="1"/>
  <c r="L33" i="8" s="1"/>
  <c r="L35" i="8" s="1"/>
  <c r="F33" i="14" l="1"/>
  <c r="F34" i="14" s="1"/>
  <c r="F28" i="14"/>
  <c r="G15" i="14" s="1"/>
  <c r="F38" i="14" l="1"/>
  <c r="F39" i="14" s="1"/>
  <c r="F43" i="14"/>
  <c r="F48" i="14"/>
  <c r="G16" i="14"/>
  <c r="G26" i="14"/>
  <c r="G17" i="14" l="1"/>
  <c r="F44" i="14"/>
  <c r="F45" i="14" s="1"/>
  <c r="F53" i="14" s="1"/>
  <c r="F49" i="14"/>
  <c r="F50" i="14" s="1"/>
  <c r="F59" i="14" l="1"/>
  <c r="G31" i="14"/>
  <c r="G21" i="14"/>
  <c r="G22" i="14" s="1"/>
  <c r="G32" i="14" l="1"/>
  <c r="G27" i="14"/>
  <c r="G23" i="14"/>
  <c r="H20" i="14" s="1"/>
  <c r="G33" i="14" l="1"/>
  <c r="G34" i="14" s="1"/>
  <c r="G28" i="14"/>
  <c r="H15" i="14" s="1"/>
  <c r="G38" i="14" l="1"/>
  <c r="G39" i="14" s="1"/>
  <c r="G43" i="14"/>
  <c r="G48" i="14"/>
  <c r="H26" i="14"/>
  <c r="H16" i="14"/>
  <c r="G45" i="14" l="1"/>
  <c r="G53" i="14" s="1"/>
  <c r="H21" i="14"/>
  <c r="H17" i="14"/>
  <c r="G44" i="14"/>
  <c r="G49" i="14"/>
  <c r="G50" i="14" s="1"/>
  <c r="G59" i="14" l="1"/>
  <c r="H23" i="14"/>
  <c r="I20" i="14" s="1"/>
  <c r="H31" i="14"/>
  <c r="H22" i="14"/>
  <c r="H32" i="14" s="1"/>
  <c r="H27" i="14"/>
  <c r="H33" i="14" l="1"/>
  <c r="H28" i="14"/>
  <c r="I15" i="14" s="1"/>
  <c r="H34" i="14"/>
  <c r="H38" i="14" l="1"/>
  <c r="H39" i="14" s="1"/>
  <c r="H43" i="14"/>
  <c r="H48" i="14" s="1"/>
  <c r="I26" i="14"/>
  <c r="I16" i="14"/>
  <c r="I17" i="14" l="1"/>
  <c r="H44" i="14"/>
  <c r="H45" i="14" s="1"/>
  <c r="H53" i="14" s="1"/>
  <c r="H49" i="14"/>
  <c r="H50" i="14" s="1"/>
  <c r="H59" i="14" l="1"/>
  <c r="I31" i="14"/>
  <c r="I21" i="14"/>
  <c r="I22" i="14" l="1"/>
  <c r="I32" i="14" l="1"/>
  <c r="I27" i="14"/>
  <c r="I23" i="14"/>
  <c r="J20" i="14" s="1"/>
  <c r="I33" i="14" l="1"/>
  <c r="I28" i="14"/>
  <c r="J15" i="14" s="1"/>
  <c r="I34" i="14"/>
  <c r="I43" i="14" l="1"/>
  <c r="I38" i="14"/>
  <c r="I39" i="14" s="1"/>
  <c r="I48" i="14"/>
  <c r="J26" i="14"/>
  <c r="J16" i="14"/>
  <c r="I44" i="14" l="1"/>
  <c r="I49" i="14"/>
  <c r="I50" i="14" s="1"/>
  <c r="J17" i="14"/>
  <c r="I45" i="14"/>
  <c r="I53" i="14" s="1"/>
  <c r="I59" i="14" s="1"/>
  <c r="J31" i="14" l="1"/>
  <c r="J22" i="14"/>
  <c r="J32" i="14" s="1"/>
  <c r="J21" i="14"/>
  <c r="J23" i="14" l="1"/>
  <c r="K20" i="14" s="1"/>
  <c r="J27" i="14"/>
  <c r="J33" i="14" l="1"/>
  <c r="J34" i="14" s="1"/>
  <c r="J28" i="14"/>
  <c r="K15" i="14" s="1"/>
  <c r="K16" i="14" l="1"/>
  <c r="K26" i="14"/>
  <c r="J43" i="14"/>
  <c r="J48" i="14"/>
  <c r="J38" i="14"/>
  <c r="J39" i="14" s="1"/>
  <c r="J50" i="14" l="1"/>
  <c r="J44" i="14"/>
  <c r="J45" i="14" s="1"/>
  <c r="J53" i="14" s="1"/>
  <c r="J59" i="14" s="1"/>
  <c r="J49" i="14"/>
  <c r="K17" i="14"/>
  <c r="K31" i="14" l="1"/>
  <c r="K22" i="14"/>
  <c r="K32" i="14" s="1"/>
  <c r="K21" i="14"/>
  <c r="K23" i="14" l="1"/>
  <c r="K27" i="14"/>
  <c r="K33" i="14" l="1"/>
  <c r="K34" i="14" s="1"/>
  <c r="K28" i="14"/>
  <c r="K38" i="14" l="1"/>
  <c r="K39" i="14" s="1"/>
  <c r="K43" i="14"/>
  <c r="K48" i="14" s="1"/>
  <c r="K44" i="14" l="1"/>
  <c r="K45" i="14" s="1"/>
  <c r="K53" i="14" s="1"/>
  <c r="K59" i="14" l="1"/>
  <c r="D56" i="14"/>
  <c r="D55" i="14"/>
  <c r="K49" i="14"/>
  <c r="K50" i="14" s="1"/>
  <c r="D61" i="14" l="1"/>
  <c r="D62" i="14"/>
</calcChain>
</file>

<file path=xl/sharedStrings.xml><?xml version="1.0" encoding="utf-8"?>
<sst xmlns="http://schemas.openxmlformats.org/spreadsheetml/2006/main" count="655" uniqueCount="479">
  <si>
    <t>Construction Loan: Net Draws</t>
  </si>
  <si>
    <t>Construction Loan: Net Accrued Interest</t>
  </si>
  <si>
    <t>Less: Cash Proceeds from Construction Loan Takeout</t>
  </si>
  <si>
    <t>Value of Income Property Only (NOI / Cap Rate)</t>
  </si>
  <si>
    <t>Pro Forma Net Operating Income (NOI) and Value</t>
  </si>
  <si>
    <t>Total Sales Revenue</t>
  </si>
  <si>
    <t>Gross Potential Rent (monthly)</t>
  </si>
  <si>
    <t>Net Operating Income (NOI)</t>
  </si>
  <si>
    <t>Overall Cap Rate at Sale</t>
  </si>
  <si>
    <t>Less: Development Subsidies</t>
  </si>
  <si>
    <t>Less: Development Cost of For-Sale Condominiums</t>
  </si>
  <si>
    <t>Project Cost after Subsidies</t>
  </si>
  <si>
    <t>Total Adjusted Cost for Income Property Only</t>
  </si>
  <si>
    <t>Sale Price (cap rate applied to following year NOI)</t>
  </si>
  <si>
    <t>Developer Before-Tax IRR</t>
  </si>
  <si>
    <t>figure 4-3a
Stage 1a - Rental and Sales Revenue Summary</t>
  </si>
  <si>
    <t>Apartments
and Retail</t>
  </si>
  <si>
    <t>Development Subsidies</t>
  </si>
  <si>
    <t>Profit</t>
  </si>
  <si>
    <t>Borrowings</t>
  </si>
  <si>
    <t>Releases</t>
  </si>
  <si>
    <t>Revenues</t>
  </si>
  <si>
    <t>Apartments</t>
  </si>
  <si>
    <t>Condominiums</t>
  </si>
  <si>
    <t>Percentage of Total Square Footage</t>
  </si>
  <si>
    <t>per total units</t>
  </si>
  <si>
    <t>estimate</t>
  </si>
  <si>
    <t>Revenue and Expense for Condominiums</t>
  </si>
  <si>
    <t>Tax Rate</t>
  </si>
  <si>
    <t>Tax Liability</t>
  </si>
  <si>
    <t>Less: Condominium Releases to Lender</t>
  </si>
  <si>
    <t>MORTGAGE CALCULATION FOR APARTMENTS &amp; RETAIL</t>
  </si>
  <si>
    <t>For-Sale
Condominiums</t>
  </si>
  <si>
    <t>Environmental Remediation</t>
  </si>
  <si>
    <t>Legal &amp; Other Fees</t>
  </si>
  <si>
    <t>DEPRECIATION CALCULATION FOR APARTMENTS &amp; RETAIL</t>
  </si>
  <si>
    <t>Gross Potential Revenue</t>
  </si>
  <si>
    <t>Total Operating Expenses</t>
  </si>
  <si>
    <t>ANNUAL CASH FLOWS FOR APARTMENTS &amp; RETAIL</t>
  </si>
  <si>
    <t>Less: Total Adjusted Cost</t>
  </si>
  <si>
    <t>Deduct: Interest</t>
  </si>
  <si>
    <t>Deduct: Depreciation</t>
  </si>
  <si>
    <t>INCOME TAX CALCUATION FOR APARTMENTS &amp; RETAIL</t>
  </si>
  <si>
    <t>Annual Income Taxes</t>
  </si>
  <si>
    <t>Sale Price (cap rate applied to next year NOI)</t>
  </si>
  <si>
    <t>SALE CALCULATION OF APARTMENTS &amp; RETAIL (Incl. Tax)</t>
  </si>
  <si>
    <t>Tax Calculation at Sale</t>
  </si>
  <si>
    <t>Cash Flow from Sale</t>
  </si>
  <si>
    <t>Less: Remaining Mortgage Balance</t>
  </si>
  <si>
    <t>Unleveraged Cash Flow</t>
  </si>
  <si>
    <t>Tax Determination for Condominiums</t>
  </si>
  <si>
    <t>Average Balance</t>
  </si>
  <si>
    <t>Interest Paid</t>
  </si>
  <si>
    <t>Interest Owed</t>
  </si>
  <si>
    <t>Net Present Value @ 15.0%</t>
  </si>
  <si>
    <t>Total Tax at Sale</t>
  </si>
  <si>
    <t>Factor</t>
  </si>
  <si>
    <t xml:space="preserve"> </t>
  </si>
  <si>
    <t>No. of Units</t>
  </si>
  <si>
    <t xml:space="preserve">    </t>
  </si>
  <si>
    <t>Annual Revenue/Cost</t>
  </si>
  <si>
    <t>Less: Vacancy</t>
  </si>
  <si>
    <t>Real Estate Taxes</t>
  </si>
  <si>
    <t>Insurance</t>
  </si>
  <si>
    <t>Total Expenses</t>
  </si>
  <si>
    <t>Net Operating Income</t>
  </si>
  <si>
    <t>Capitalization Rate</t>
  </si>
  <si>
    <t>Loan Terms</t>
  </si>
  <si>
    <t>Interest Rate</t>
  </si>
  <si>
    <t>Amortization (years)</t>
  </si>
  <si>
    <t>Using Debt Coverage Ratio (DCR)</t>
  </si>
  <si>
    <t>Maximum DCR</t>
  </si>
  <si>
    <t>Maximum Monthly Payment (NOI/DCR/12)</t>
  </si>
  <si>
    <t>Maximum Loan (Lesser of LTV or DCR Result)</t>
  </si>
  <si>
    <t>Annual Debt Service</t>
  </si>
  <si>
    <t>Rent/Month/Unit</t>
  </si>
  <si>
    <t>per unit</t>
  </si>
  <si>
    <t>Total Project Cost</t>
  </si>
  <si>
    <t>Operating Reserve</t>
  </si>
  <si>
    <t>Development Costs</t>
  </si>
  <si>
    <t>Land</t>
  </si>
  <si>
    <t>Approval Fees</t>
  </si>
  <si>
    <t>Soft Costs:</t>
  </si>
  <si>
    <t>Marketing</t>
  </si>
  <si>
    <t>Contingency</t>
  </si>
  <si>
    <t>Construction Interest</t>
  </si>
  <si>
    <t>Construction Period (months)</t>
  </si>
  <si>
    <t>Average Draw</t>
  </si>
  <si>
    <t>Total Project Costs</t>
  </si>
  <si>
    <t>Life (in years)</t>
  </si>
  <si>
    <t>– Development –</t>
  </si>
  <si>
    <t>– Lease-Up –</t>
  </si>
  <si>
    <t>Total</t>
  </si>
  <si>
    <t>Time Zero</t>
  </si>
  <si>
    <t>Year 1 Total</t>
  </si>
  <si>
    <t>Year 2 Total</t>
  </si>
  <si>
    <t>Land Carry</t>
  </si>
  <si>
    <t>Months to Reach Stabilized Occupancy</t>
  </si>
  <si>
    <t>Stabilized Vacancy (% of Gross Potential)</t>
  </si>
  <si>
    <t>Overall Vacancy Rate</t>
  </si>
  <si>
    <t>Operating Expenses</t>
  </si>
  <si>
    <t>Beginning Balance</t>
  </si>
  <si>
    <t>Operating Deficit</t>
  </si>
  <si>
    <t>Interest</t>
  </si>
  <si>
    <t>Interest Paid from Operations</t>
  </si>
  <si>
    <t>Ending Balance</t>
  </si>
  <si>
    <t>Capital Costs</t>
  </si>
  <si>
    <t>Total Development Cost Excluding Interest</t>
  </si>
  <si>
    <t>Depreciable Basis</t>
  </si>
  <si>
    <t>Land Cost</t>
  </si>
  <si>
    <t>Depreciable Basis (Capital Cost, minus Land)</t>
  </si>
  <si>
    <t>Total Project Cost (Capital Costs plus Operating Reserve)</t>
  </si>
  <si>
    <t>– Development Period –</t>
  </si>
  <si>
    <t>– Investment Period –</t>
  </si>
  <si>
    <t>Mortgage Calculation</t>
  </si>
  <si>
    <t>Initial Investment</t>
  </si>
  <si>
    <t>Amortization of Principal</t>
  </si>
  <si>
    <t>DEPRECIATION CALCULATION</t>
  </si>
  <si>
    <t>Less: Annual Depreciation</t>
  </si>
  <si>
    <t>Cumulative Depreciation Taken</t>
  </si>
  <si>
    <t>Cumulative Straight Line</t>
  </si>
  <si>
    <t>Recapture</t>
  </si>
  <si>
    <t>Remaining Book Value</t>
  </si>
  <si>
    <t>ANNUAL CASH FLOWS</t>
  </si>
  <si>
    <t>Gross Rent</t>
  </si>
  <si>
    <t>Vacancy Rate</t>
  </si>
  <si>
    <t>Vacancy ($)</t>
  </si>
  <si>
    <t>Taxable Income</t>
  </si>
  <si>
    <t>Passive Loss Carryforward</t>
  </si>
  <si>
    <t>Less: Taxes</t>
  </si>
  <si>
    <t>Less: Commission</t>
  </si>
  <si>
    <t>Adjusted Sales Price</t>
  </si>
  <si>
    <t>Total Taxable Gain</t>
  </si>
  <si>
    <t>Capital Gain</t>
  </si>
  <si>
    <t>Tax on Capital Gain</t>
  </si>
  <si>
    <t>Project Costs</t>
  </si>
  <si>
    <t>Financing Assumptions</t>
  </si>
  <si>
    <t>Equity</t>
  </si>
  <si>
    <t>Amortization</t>
  </si>
  <si>
    <t>Depreciation Assumptions</t>
  </si>
  <si>
    <t>Before-Tax Operating Cash Flow</t>
  </si>
  <si>
    <t>After-Tax Operating Cash Flow</t>
  </si>
  <si>
    <t>Before-Tax Cash Flow from Sale</t>
  </si>
  <si>
    <t>After-Tax Cash Flow from Sale</t>
  </si>
  <si>
    <t>RETURN MEASURES</t>
  </si>
  <si>
    <t>Investment</t>
  </si>
  <si>
    <t xml:space="preserve">Unleveraged IRR </t>
  </si>
  <si>
    <t>Project Cost</t>
  </si>
  <si>
    <t>Total Before-Tax Cash Flow</t>
  </si>
  <si>
    <t>Unleveraged IRR</t>
  </si>
  <si>
    <t>Before-Tax IRR</t>
  </si>
  <si>
    <t>Total After-Tax Cash Flow</t>
  </si>
  <si>
    <t>After-Tax IRR</t>
  </si>
  <si>
    <t>Simple Return Measures</t>
  </si>
  <si>
    <t>Total Depreciation Taken</t>
  </si>
  <si>
    <t>Recapture Tax @ 25%</t>
  </si>
  <si>
    <t>- Annual Debt Service</t>
  </si>
  <si>
    <t>Cumulative Preferred Return</t>
  </si>
  <si>
    <t>Investor Share of Remaining Cash Flow</t>
  </si>
  <si>
    <t>Beginning Equity Account Balance</t>
  </si>
  <si>
    <t>Preferred Return Earned</t>
  </si>
  <si>
    <t>Preferred Return Paid Currently</t>
  </si>
  <si>
    <t>Deferred Preferred Return</t>
  </si>
  <si>
    <t>Deferred Preferred Return Paid</t>
  </si>
  <si>
    <t>Equity Payback</t>
  </si>
  <si>
    <t>Total Payments on Equity</t>
  </si>
  <si>
    <t>Remaining Cash Flow</t>
  </si>
  <si>
    <t>Investor Before-Tax IRR</t>
  </si>
  <si>
    <t>Developer Cash Flows</t>
  </si>
  <si>
    <t>Before-Tax Cash Flow to Developer</t>
  </si>
  <si>
    <t>Net Present Value, at 15.0%</t>
  </si>
  <si>
    <t>List of Tables</t>
  </si>
  <si>
    <t>= link from another sheet</t>
  </si>
  <si>
    <t>Legal</t>
  </si>
  <si>
    <t>Number of Units</t>
  </si>
  <si>
    <t>Construction Hard Cost</t>
  </si>
  <si>
    <t>Total Project Cost before Operating Reserve</t>
  </si>
  <si>
    <t>Total Soft Costs</t>
  </si>
  <si>
    <t>Acceleration Factor</t>
  </si>
  <si>
    <t>Development Profit</t>
  </si>
  <si>
    <t>Property Management</t>
  </si>
  <si>
    <t>Cumulative Number of Apartments Leased</t>
  </si>
  <si>
    <t>Data</t>
  </si>
  <si>
    <t>USES</t>
  </si>
  <si>
    <t>SOURCES</t>
  </si>
  <si>
    <t>Total Capital Costs</t>
  </si>
  <si>
    <t>Check</t>
  </si>
  <si>
    <t>Trial Ending Balance</t>
  </si>
  <si>
    <t>Additional Equity Required</t>
  </si>
  <si>
    <t>Total Additional Equity Required</t>
  </si>
  <si>
    <t>Monthly NOI</t>
  </si>
  <si>
    <t>construction interest</t>
  </si>
  <si>
    <t>operating reserve</t>
  </si>
  <si>
    <t>Stage 1d (Table 10)</t>
  </si>
  <si>
    <t>Stage 3 (Table 14)</t>
  </si>
  <si>
    <t>figure 4-3e</t>
  </si>
  <si>
    <t>figure 4-3b
Stage 1b - Pro Forma NOI</t>
  </si>
  <si>
    <t>figure 4-3c
Stage 1c - Maximum Debt Calculation</t>
  </si>
  <si>
    <t>figure 4-3d
Stage 1d - Development Costs</t>
  </si>
  <si>
    <t>1 Bedroom, 1 Bath</t>
  </si>
  <si>
    <t>2 Bedroom, 2 Bath, Den</t>
  </si>
  <si>
    <t>2 Bedroom, 2 Bath</t>
  </si>
  <si>
    <t>2 Bedroom, 1 Bath</t>
  </si>
  <si>
    <t>1 Bedroom, 1.5 Bath</t>
  </si>
  <si>
    <t>Utilities</t>
  </si>
  <si>
    <t>– First Stabilized Year –</t>
  </si>
  <si>
    <t>Year 3 Total</t>
  </si>
  <si>
    <t>Dry Cleaners</t>
  </si>
  <si>
    <t>Apartment Unit Types</t>
  </si>
  <si>
    <t>Retail Tenants</t>
  </si>
  <si>
    <t>Restaurant</t>
  </si>
  <si>
    <t>Condominium Homes</t>
  </si>
  <si>
    <t>Total Apartment Rental Revenue</t>
  </si>
  <si>
    <t>Total Rental Revenue</t>
  </si>
  <si>
    <t>Sales/Unit</t>
  </si>
  <si>
    <t>Total Annual Rent</t>
  </si>
  <si>
    <t>Total Annual Sales</t>
  </si>
  <si>
    <t>Effective Gross Revenue</t>
  </si>
  <si>
    <t>of Effective Gross Revenue</t>
  </si>
  <si>
    <t>Less: Bad Debt</t>
  </si>
  <si>
    <t>of estimated total project cost</t>
  </si>
  <si>
    <t>of hard cost</t>
  </si>
  <si>
    <t>Appraisal &amp; Title</t>
  </si>
  <si>
    <r>
      <t xml:space="preserve">Total Retail Rental Revenue </t>
    </r>
    <r>
      <rPr>
        <i/>
        <sz val="8"/>
        <rFont val="Helvetica"/>
      </rPr>
      <t>(see below)</t>
    </r>
  </si>
  <si>
    <t>Replacement Reserve</t>
  </si>
  <si>
    <t>Debt Based on Loan to Value (LTV)</t>
  </si>
  <si>
    <t>Maximum Loan Based on LTV for Income Property</t>
  </si>
  <si>
    <t>Maximum Loan Based on DCR for Income Property</t>
  </si>
  <si>
    <t>Total Initial Project Debt</t>
  </si>
  <si>
    <t>Construction Loan</t>
  </si>
  <si>
    <t>Total Adjusted Cost</t>
  </si>
  <si>
    <t>Sales Revenue</t>
  </si>
  <si>
    <t>Condominium Sales Schedule</t>
  </si>
  <si>
    <t>Units Sold</t>
  </si>
  <si>
    <t>Cumulative Units Sold</t>
  </si>
  <si>
    <t>Condominium Net Revenues</t>
  </si>
  <si>
    <t>Revenue</t>
  </si>
  <si>
    <t>Cash Throw-Off (CTO or BTCF)</t>
  </si>
  <si>
    <t>Equity Required</t>
  </si>
  <si>
    <t>Equity Contribution Account</t>
  </si>
  <si>
    <t>Construction Loan Account and Interest Calculation</t>
  </si>
  <si>
    <t>YEAR</t>
  </si>
  <si>
    <t>Equity Sources</t>
  </si>
  <si>
    <t>Total Project Costs after Subsidies</t>
  </si>
  <si>
    <t>N/A</t>
  </si>
  <si>
    <t>Total Development Costs</t>
  </si>
  <si>
    <t>Construction Loan: Capitalized Interest</t>
  </si>
  <si>
    <t>Cash Flow from Operations</t>
  </si>
  <si>
    <t>Net Sales Revenue of Condominiums</t>
  </si>
  <si>
    <t>Net Operating Income of Apartments</t>
  </si>
  <si>
    <t>Less: Construction Loan Releases</t>
  </si>
  <si>
    <t>TOTAL USES</t>
  </si>
  <si>
    <t>TOTAL SOURCES</t>
  </si>
  <si>
    <t>Construction Loan Funding</t>
  </si>
  <si>
    <t>Net Construction Loan Funding</t>
  </si>
  <si>
    <t>Construction Loan Ending Balance for Income Property</t>
  </si>
  <si>
    <t>Permanent Mortgage Refinancing</t>
  </si>
  <si>
    <t>Total Net Project Costs</t>
  </si>
  <si>
    <t>Construction Loan Takeout at Stabilization</t>
  </si>
  <si>
    <t>Life Years</t>
  </si>
  <si>
    <t>Accel. Factor</t>
  </si>
  <si>
    <t>Annual Deprec.</t>
  </si>
  <si>
    <t>Bad Debt</t>
  </si>
  <si>
    <t>Annual Depreciation Estimate</t>
  </si>
  <si>
    <t>Passive Loss Offset</t>
  </si>
  <si>
    <t>Before-Tax Cash Flow from Refinancings</t>
  </si>
  <si>
    <t>After-Tax Cash Flow from Refinancings</t>
  </si>
  <si>
    <t>Taxes (see below)</t>
  </si>
  <si>
    <t>Tax Calculation from Sale</t>
  </si>
  <si>
    <t>Initial &amp; Additional Equity Required</t>
  </si>
  <si>
    <t>Average Loan Balance Before Interest</t>
  </si>
  <si>
    <t>Investor Share of Equity Payments</t>
  </si>
  <si>
    <t>Total Share to Investor</t>
  </si>
  <si>
    <t>Developer Share of Equity &amp; Remaining Cash Flow</t>
  </si>
  <si>
    <t>Developer Share of Equity Payments</t>
  </si>
  <si>
    <t>Developer Share of Remaining Cash Flow</t>
  </si>
  <si>
    <t>Investor Share of Equity &amp; Remaining Cash Flow (based on terms above)</t>
  </si>
  <si>
    <t>Investor Cash Flows</t>
  </si>
  <si>
    <t>Development Profit for Apartments</t>
  </si>
  <si>
    <t>Operating Reserves</t>
  </si>
  <si>
    <t xml:space="preserve">Equity </t>
  </si>
  <si>
    <t>Building Basis</t>
  </si>
  <si>
    <t>figure 4-6
Stage 3b Analysis
Development Cost Summary</t>
  </si>
  <si>
    <t>figure 4-4a
Stage 2a Analysis</t>
  </si>
  <si>
    <t>Constr loan balance</t>
  </si>
  <si>
    <t>figure 4-4b
Stage 2b Analysis
For-Sale Condominium Cash Flow</t>
  </si>
  <si>
    <t>Net Capital Gain</t>
  </si>
  <si>
    <t>Total
Usable</t>
  </si>
  <si>
    <t>Total Net Taxable Gain</t>
  </si>
  <si>
    <t>Add: Replacement/ Capital Reserve</t>
  </si>
  <si>
    <t>Disclaimer: These spreadsheets are intended for educational use only.  Users should consult with professional advisors and should not rely on the information contained herein for investment decisions. Any computations should be independently verified.</t>
  </si>
  <si>
    <r>
      <t>Rent/Ft</t>
    </r>
    <r>
      <rPr>
        <b/>
        <vertAlign val="superscript"/>
        <sz val="10"/>
        <rFont val="Helv"/>
      </rPr>
      <t>2</t>
    </r>
  </si>
  <si>
    <r>
      <t>Area/Unit (ft</t>
    </r>
    <r>
      <rPr>
        <b/>
        <vertAlign val="superscript"/>
        <sz val="10"/>
        <rFont val="Helv"/>
      </rPr>
      <t>2</t>
    </r>
    <r>
      <rPr>
        <b/>
        <sz val="10"/>
        <rFont val="Helv"/>
      </rPr>
      <t>)</t>
    </r>
  </si>
  <si>
    <r>
      <t>Total Ft</t>
    </r>
    <r>
      <rPr>
        <b/>
        <vertAlign val="superscript"/>
        <sz val="10"/>
        <rFont val="Helv"/>
      </rPr>
      <t>2</t>
    </r>
  </si>
  <si>
    <r>
      <t>Other Miscellaneous Revenue</t>
    </r>
    <r>
      <rPr>
        <vertAlign val="superscript"/>
        <sz val="10"/>
        <rFont val="Helvetica"/>
      </rPr>
      <t>b</t>
    </r>
    <r>
      <rPr>
        <sz val="10"/>
        <rFont val="Helvetica"/>
        <family val="2"/>
      </rPr>
      <t xml:space="preserve"> </t>
    </r>
  </si>
  <si>
    <r>
      <t>Sales/Ft</t>
    </r>
    <r>
      <rPr>
        <b/>
        <vertAlign val="superscript"/>
        <sz val="10"/>
        <rFont val="Helv"/>
      </rPr>
      <t>2</t>
    </r>
  </si>
  <si>
    <r>
      <rPr>
        <vertAlign val="superscript"/>
        <sz val="10"/>
        <rFont val="Arial"/>
        <family val="2"/>
      </rPr>
      <t>c</t>
    </r>
    <r>
      <rPr>
        <sz val="10"/>
        <rFont val="Arial"/>
        <family val="2"/>
      </rPr>
      <t>Controllable costs typically include salary, administrative, marketing, and maintenance expenses.</t>
    </r>
  </si>
  <si>
    <r>
      <rPr>
        <vertAlign val="superscript"/>
        <sz val="10"/>
        <rFont val="Arial"/>
        <family val="2"/>
      </rPr>
      <t>a</t>
    </r>
    <r>
      <rPr>
        <sz val="10"/>
        <rFont val="Arial"/>
        <family val="2"/>
      </rPr>
      <t>Gross Potential Revenue is provided by the prior Rental and Sales Revenue Summary exhibit.  Vacancy and Bad Debt are customary charges against gross revenue.</t>
    </r>
  </si>
  <si>
    <r>
      <t>Gross Potential Revenue</t>
    </r>
    <r>
      <rPr>
        <vertAlign val="superscript"/>
        <sz val="10"/>
        <color indexed="8"/>
        <rFont val="Helv"/>
      </rPr>
      <t>a</t>
    </r>
    <r>
      <rPr>
        <sz val="10"/>
        <color indexed="8"/>
        <rFont val="Helv"/>
      </rPr>
      <t xml:space="preserve"> </t>
    </r>
  </si>
  <si>
    <r>
      <t>Expenses</t>
    </r>
    <r>
      <rPr>
        <b/>
        <vertAlign val="superscript"/>
        <sz val="10"/>
        <color indexed="8"/>
        <rFont val="Helv"/>
      </rPr>
      <t>b</t>
    </r>
  </si>
  <si>
    <r>
      <rPr>
        <vertAlign val="superscript"/>
        <sz val="10"/>
        <rFont val="Arial"/>
        <family val="2"/>
      </rPr>
      <t>a</t>
    </r>
    <r>
      <rPr>
        <sz val="10"/>
        <rFont val="Arial"/>
        <family val="2"/>
      </rPr>
      <t>The pro forma NOI figure is provided by the prior eponymous exhibit and does not include any revenues from the condominiums.</t>
    </r>
  </si>
  <si>
    <r>
      <rPr>
        <vertAlign val="superscript"/>
        <sz val="10"/>
        <rFont val="Arial"/>
        <family val="2"/>
      </rPr>
      <t>b</t>
    </r>
    <r>
      <rPr>
        <sz val="10"/>
        <rFont val="Arial"/>
        <family val="2"/>
      </rPr>
      <t>The assumed interest rate and loan-to-value reflect the availability of financing that was current at the time of the project.</t>
    </r>
  </si>
  <si>
    <r>
      <rPr>
        <vertAlign val="superscript"/>
        <sz val="10"/>
        <rFont val="Arial"/>
        <family val="2"/>
      </rPr>
      <t>c</t>
    </r>
    <r>
      <rPr>
        <sz val="10"/>
        <rFont val="Arial"/>
        <family val="2"/>
      </rPr>
      <t>In the typical valuation of pure income properties, the maximum debt calculation ends with selecting the lesser of two loan values, based on LTV or DCR, as is shown in line 23.</t>
    </r>
  </si>
  <si>
    <r>
      <rPr>
        <vertAlign val="superscript"/>
        <sz val="10"/>
        <rFont val="Arial"/>
        <family val="2"/>
      </rPr>
      <t>d</t>
    </r>
    <r>
      <rPr>
        <sz val="10"/>
        <rFont val="Arial"/>
        <family val="2"/>
      </rPr>
      <t>It is assumed that an additional loan in the amount equal to 70 percent of the condominium sales revenue is provided by the construction loan lender.</t>
    </r>
  </si>
  <si>
    <r>
      <t>Pro Forma NOI</t>
    </r>
    <r>
      <rPr>
        <vertAlign val="superscript"/>
        <sz val="10"/>
        <rFont val="Helv"/>
      </rPr>
      <t>a</t>
    </r>
    <r>
      <rPr>
        <sz val="10"/>
        <rFont val="Helv"/>
      </rPr>
      <t xml:space="preserve"> </t>
    </r>
  </si>
  <si>
    <r>
      <t>Interest Rate</t>
    </r>
    <r>
      <rPr>
        <vertAlign val="superscript"/>
        <sz val="10"/>
        <rFont val="Helv"/>
      </rPr>
      <t>b</t>
    </r>
    <r>
      <rPr>
        <sz val="10"/>
        <rFont val="Helv"/>
      </rPr>
      <t xml:space="preserve"> </t>
    </r>
  </si>
  <si>
    <r>
      <t>Maximum LTV Percentage</t>
    </r>
    <r>
      <rPr>
        <vertAlign val="superscript"/>
        <sz val="10"/>
        <rFont val="Helv"/>
      </rPr>
      <t>b</t>
    </r>
    <r>
      <rPr>
        <sz val="10"/>
        <rFont val="Helv"/>
      </rPr>
      <t xml:space="preserve"> </t>
    </r>
  </si>
  <si>
    <r>
      <t>Maximum Loan for Income Property</t>
    </r>
    <r>
      <rPr>
        <vertAlign val="superscript"/>
        <sz val="10"/>
        <rFont val="Helv"/>
      </rPr>
      <t>c</t>
    </r>
    <r>
      <rPr>
        <sz val="10"/>
        <rFont val="Helv"/>
      </rPr>
      <t xml:space="preserve"> </t>
    </r>
  </si>
  <si>
    <r>
      <rPr>
        <vertAlign val="superscript"/>
        <sz val="10"/>
        <rFont val="Times New Roman"/>
        <family val="1"/>
      </rPr>
      <t>a</t>
    </r>
    <r>
      <rPr>
        <sz val="10"/>
        <rFont val="Times New Roman"/>
        <family val="1"/>
      </rPr>
      <t>The following outline of development costs include customary expenses.</t>
    </r>
  </si>
  <si>
    <r>
      <rPr>
        <vertAlign val="superscript"/>
        <sz val="10"/>
        <rFont val="Times New Roman"/>
        <family val="1"/>
      </rPr>
      <t>c</t>
    </r>
    <r>
      <rPr>
        <sz val="10"/>
        <rFont val="Times New Roman"/>
        <family val="1"/>
      </rPr>
      <t>This calculation is a preliminary estimate of interest during construction and reflects the availability of then-current market rate construction financing. A more accurate estimate will be made as part of the Stage 3 analysis and an even more accurate estimate would be appropriate for a Stage 4 analysis (not shown).</t>
    </r>
  </si>
  <si>
    <r>
      <t>Development Costs</t>
    </r>
    <r>
      <rPr>
        <b/>
        <vertAlign val="superscript"/>
        <sz val="10"/>
        <rFont val="Helv"/>
      </rPr>
      <t>a</t>
    </r>
    <r>
      <rPr>
        <b/>
        <sz val="10"/>
        <rFont val="Helv"/>
      </rPr>
      <t xml:space="preserve"> </t>
    </r>
  </si>
  <si>
    <r>
      <t>Land Carry</t>
    </r>
    <r>
      <rPr>
        <vertAlign val="superscript"/>
        <sz val="10"/>
        <rFont val="Helv"/>
      </rPr>
      <t xml:space="preserve">b </t>
    </r>
  </si>
  <si>
    <t>Architecture &amp; Engineering</t>
  </si>
  <si>
    <t>Taxes during Construction</t>
  </si>
  <si>
    <t>Insurance during Construction</t>
  </si>
  <si>
    <t>Total Development Cost before Interest and Operating Reserve</t>
  </si>
  <si>
    <r>
      <t>Estimate of Construction Interest</t>
    </r>
    <r>
      <rPr>
        <b/>
        <vertAlign val="superscript"/>
        <sz val="10"/>
        <rFont val="Helv"/>
      </rPr>
      <t>c</t>
    </r>
    <r>
      <rPr>
        <b/>
        <sz val="10"/>
        <rFont val="Helv"/>
      </rPr>
      <t xml:space="preserve"> </t>
    </r>
  </si>
  <si>
    <t>Estimated Construction Loan Interest</t>
  </si>
  <si>
    <r>
      <t>Estimate of Operating Reserve</t>
    </r>
    <r>
      <rPr>
        <b/>
        <vertAlign val="superscript"/>
        <sz val="10"/>
        <rFont val="Helv"/>
      </rPr>
      <t>d</t>
    </r>
    <r>
      <rPr>
        <b/>
        <sz val="10"/>
        <rFont val="Helv"/>
      </rPr>
      <t xml:space="preserve"> </t>
    </r>
  </si>
  <si>
    <t>Lease-Up Period (months until stabilization)</t>
  </si>
  <si>
    <t>Average Occupancy during Lease-Up</t>
  </si>
  <si>
    <t>Estimated Rent during Lease-Up</t>
  </si>
  <si>
    <t>Estimated Op. Expenses during Lease-Up</t>
  </si>
  <si>
    <t xml:space="preserve">         NOI during Lease-Up</t>
  </si>
  <si>
    <t>Construction Interest during Lease-Up</t>
  </si>
  <si>
    <t>First-Year Operating Reserve Required</t>
  </si>
  <si>
    <t>Overall Return, Overall Cap Rate (NOI/Total Adjusted Cost)</t>
  </si>
  <si>
    <r>
      <t>Annual Debt Service</t>
    </r>
    <r>
      <rPr>
        <vertAlign val="superscript"/>
        <sz val="10"/>
        <rFont val="Arial"/>
        <family val="2"/>
      </rPr>
      <t>a</t>
    </r>
    <r>
      <rPr>
        <sz val="10"/>
        <rFont val="Arial"/>
        <family val="2"/>
      </rPr>
      <t xml:space="preserve"> </t>
    </r>
  </si>
  <si>
    <r>
      <t>Permanent Mortgage</t>
    </r>
    <r>
      <rPr>
        <vertAlign val="superscript"/>
        <sz val="10"/>
        <rFont val="Arial"/>
        <family val="2"/>
      </rPr>
      <t>b</t>
    </r>
    <r>
      <rPr>
        <sz val="10"/>
        <rFont val="Arial"/>
        <family val="2"/>
      </rPr>
      <t xml:space="preserve"> </t>
    </r>
  </si>
  <si>
    <t>Cash-on-Cash Return (CTO/Equity)</t>
  </si>
  <si>
    <t>Capitalized Value (NOI/Cap Rate)</t>
  </si>
  <si>
    <r>
      <t>Add: Loan for For-Sale Property</t>
    </r>
    <r>
      <rPr>
        <i/>
        <vertAlign val="superscript"/>
        <sz val="10"/>
        <rFont val="Helv"/>
      </rPr>
      <t xml:space="preserve">d </t>
    </r>
  </si>
  <si>
    <r>
      <t>Less: Development Cost Subsidies</t>
    </r>
    <r>
      <rPr>
        <i/>
        <vertAlign val="superscript"/>
        <sz val="10"/>
        <rFont val="Helv"/>
      </rPr>
      <t>e</t>
    </r>
    <r>
      <rPr>
        <i/>
        <sz val="10"/>
        <rFont val="Helv"/>
      </rPr>
      <t xml:space="preserve"> </t>
    </r>
  </si>
  <si>
    <t>Total Project Cost after Subsidies</t>
  </si>
  <si>
    <r>
      <t>Mortgage Principal</t>
    </r>
    <r>
      <rPr>
        <vertAlign val="superscript"/>
        <sz val="10"/>
        <rFont val="Helv"/>
      </rPr>
      <t>a</t>
    </r>
    <r>
      <rPr>
        <sz val="10"/>
        <rFont val="Helv"/>
      </rPr>
      <t xml:space="preserve"> </t>
    </r>
  </si>
  <si>
    <r>
      <t>Building Basis</t>
    </r>
    <r>
      <rPr>
        <vertAlign val="superscript"/>
        <sz val="10"/>
        <rFont val="Helv"/>
      </rPr>
      <t>b</t>
    </r>
    <r>
      <rPr>
        <sz val="10"/>
        <rFont val="Helv"/>
      </rPr>
      <t xml:space="preserve"> </t>
    </r>
  </si>
  <si>
    <t>Straight Line (calculated)</t>
  </si>
  <si>
    <r>
      <t>Alternate Project Cost Assumptions for Vacancy Override</t>
    </r>
    <r>
      <rPr>
        <b/>
        <vertAlign val="superscript"/>
        <sz val="10"/>
        <rFont val="Helv"/>
      </rPr>
      <t>c</t>
    </r>
    <r>
      <rPr>
        <b/>
        <sz val="10"/>
        <rFont val="Helv"/>
      </rPr>
      <t xml:space="preserve"> </t>
    </r>
  </si>
  <si>
    <t>Straight Line</t>
  </si>
  <si>
    <r>
      <t xml:space="preserve">Taxes </t>
    </r>
    <r>
      <rPr>
        <sz val="8"/>
        <rFont val="Helv"/>
      </rPr>
      <t>(see below)</t>
    </r>
  </si>
  <si>
    <t>Taxable Income/(Loss)</t>
  </si>
  <si>
    <r>
      <t>Passive Loss Offset</t>
    </r>
    <r>
      <rPr>
        <vertAlign val="superscript"/>
        <sz val="10"/>
        <rFont val="Helv"/>
      </rPr>
      <t>d</t>
    </r>
  </si>
  <si>
    <r>
      <t>Passive Loss Carryforward</t>
    </r>
    <r>
      <rPr>
        <vertAlign val="superscript"/>
        <sz val="10"/>
        <rFont val="Helv"/>
      </rPr>
      <t xml:space="preserve">d </t>
    </r>
  </si>
  <si>
    <t>Add: Replacement/Capital Reserve</t>
  </si>
  <si>
    <r>
      <t xml:space="preserve">Total Tax at Sale </t>
    </r>
    <r>
      <rPr>
        <sz val="8"/>
        <rFont val="Helv"/>
      </rPr>
      <t>(recapture &amp; capital gain, see below)</t>
    </r>
  </si>
  <si>
    <r>
      <t>Passive Loss Carryforward</t>
    </r>
    <r>
      <rPr>
        <vertAlign val="superscript"/>
        <sz val="10"/>
        <rFont val="Helv"/>
      </rPr>
      <t>d</t>
    </r>
  </si>
  <si>
    <r>
      <t>Deduct: Capital Reserves</t>
    </r>
    <r>
      <rPr>
        <vertAlign val="superscript"/>
        <sz val="10"/>
        <rFont val="Helv"/>
      </rPr>
      <t>e</t>
    </r>
    <r>
      <rPr>
        <sz val="10"/>
        <rFont val="Helv"/>
      </rPr>
      <t xml:space="preserve"> </t>
    </r>
  </si>
  <si>
    <r>
      <t>For-Sale Revenues</t>
    </r>
    <r>
      <rPr>
        <vertAlign val="superscript"/>
        <sz val="10"/>
        <rFont val="Helv"/>
      </rPr>
      <t>f</t>
    </r>
    <r>
      <rPr>
        <sz val="10"/>
        <rFont val="Helv"/>
      </rPr>
      <t xml:space="preserve"> </t>
    </r>
  </si>
  <si>
    <r>
      <t>Net Present Value @ 8.0%</t>
    </r>
    <r>
      <rPr>
        <b/>
        <vertAlign val="superscript"/>
        <sz val="10"/>
        <rFont val="Helv"/>
      </rPr>
      <t>g</t>
    </r>
    <r>
      <rPr>
        <b/>
        <sz val="10"/>
        <rFont val="Helv"/>
      </rPr>
      <t xml:space="preserve"> </t>
    </r>
  </si>
  <si>
    <r>
      <t>Before-Tax Cash Flow from Condominiums</t>
    </r>
    <r>
      <rPr>
        <vertAlign val="superscript"/>
        <sz val="10"/>
        <rFont val="Helv"/>
      </rPr>
      <t>f</t>
    </r>
    <r>
      <rPr>
        <sz val="10"/>
        <rFont val="Helv"/>
      </rPr>
      <t xml:space="preserve"> </t>
    </r>
  </si>
  <si>
    <r>
      <t>After-Tax Cash Flow from Condominiums</t>
    </r>
    <r>
      <rPr>
        <vertAlign val="superscript"/>
        <sz val="10"/>
        <rFont val="Helv"/>
      </rPr>
      <t xml:space="preserve">f </t>
    </r>
  </si>
  <si>
    <t>NOI/Adjusted Project Cost Excluding For-Sale Condos</t>
  </si>
  <si>
    <t>Before-Tax Cash Flow / Equity</t>
  </si>
  <si>
    <t>Tax Shelter/Equity</t>
  </si>
  <si>
    <r>
      <rPr>
        <vertAlign val="superscript"/>
        <sz val="10"/>
        <rFont val="Arial"/>
        <family val="2"/>
      </rPr>
      <t>b</t>
    </r>
    <r>
      <rPr>
        <sz val="10"/>
        <rFont val="Arial"/>
        <family val="2"/>
      </rPr>
      <t>Customarily, the building basis is the difference between the total project cost and the land value. For this analysis, however, the building basis has also been adjusted to subtract the cost of the condominiums and the development cost subsidies based on the allocated development cost from Figure 4-3d.</t>
    </r>
  </si>
  <si>
    <r>
      <rPr>
        <vertAlign val="superscript"/>
        <sz val="10"/>
        <rFont val="Arial"/>
        <family val="2"/>
      </rPr>
      <t>f</t>
    </r>
    <r>
      <rPr>
        <sz val="10"/>
        <rFont val="Arial"/>
        <family val="2"/>
      </rPr>
      <t>Cash flows related to the sales and profit of the For-Sale Condominiums are calculated separately and shown in Figure 4-4b.</t>
    </r>
  </si>
  <si>
    <r>
      <t>Development Costs &amp; Expenses</t>
    </r>
    <r>
      <rPr>
        <vertAlign val="superscript"/>
        <sz val="10"/>
        <rFont val="Helv"/>
      </rPr>
      <t>a</t>
    </r>
    <r>
      <rPr>
        <sz val="10"/>
        <rFont val="Helv"/>
      </rPr>
      <t xml:space="preserve"> </t>
    </r>
  </si>
  <si>
    <r>
      <t>Mortgage Calculation for Condominiums</t>
    </r>
    <r>
      <rPr>
        <b/>
        <vertAlign val="superscript"/>
        <sz val="10"/>
        <rFont val="Helv"/>
      </rPr>
      <t>b</t>
    </r>
    <r>
      <rPr>
        <b/>
        <sz val="10"/>
        <rFont val="Helv"/>
      </rPr>
      <t xml:space="preserve"> </t>
    </r>
  </si>
  <si>
    <t>Cash Flow Determination for Condominiums</t>
  </si>
  <si>
    <t>Before-Tax Cash Flow</t>
  </si>
  <si>
    <t>After-Tax Cash Flow</t>
  </si>
  <si>
    <r>
      <rPr>
        <vertAlign val="superscript"/>
        <sz val="10"/>
        <rFont val="Helv"/>
      </rPr>
      <t>a</t>
    </r>
    <r>
      <rPr>
        <sz val="10"/>
        <rFont val="Helv"/>
      </rPr>
      <t>Specific to this case and Stage 2 analysis, operational expenses pertaining to the marketing and sales of the condominiums have been accounted for as a development cost.</t>
    </r>
  </si>
  <si>
    <t>Total Development Cost, Excluding Construction Loan Interest &amp; Operating Reserves</t>
  </si>
  <si>
    <t>Revenue per Unit</t>
  </si>
  <si>
    <r>
      <t>Expenses</t>
    </r>
    <r>
      <rPr>
        <vertAlign val="superscript"/>
        <sz val="10"/>
        <rFont val="Helv"/>
      </rPr>
      <t>a</t>
    </r>
    <r>
      <rPr>
        <sz val="10"/>
        <rFont val="Helv"/>
      </rPr>
      <t xml:space="preserve"> </t>
    </r>
  </si>
  <si>
    <t>Operating Income/ (Loss) during Lease-Up</t>
  </si>
  <si>
    <t>Initial Occupancy upon Opening</t>
  </si>
  <si>
    <t>Apartments Leased per Quarter</t>
  </si>
  <si>
    <r>
      <t>Vacancy Due to Lease-Up (% of Gross Potential)</t>
    </r>
    <r>
      <rPr>
        <vertAlign val="superscript"/>
        <sz val="10"/>
        <rFont val="Helv"/>
      </rPr>
      <t>b</t>
    </r>
    <r>
      <rPr>
        <sz val="10"/>
        <rFont val="Helv"/>
      </rPr>
      <t xml:space="preserve"> </t>
    </r>
  </si>
  <si>
    <r>
      <t>Gross Potential Revenue</t>
    </r>
    <r>
      <rPr>
        <vertAlign val="superscript"/>
        <sz val="10"/>
        <rFont val="Helv"/>
      </rPr>
      <t xml:space="preserve">c </t>
    </r>
  </si>
  <si>
    <r>
      <t>Vacancy Loss</t>
    </r>
    <r>
      <rPr>
        <vertAlign val="superscript"/>
        <sz val="10"/>
        <rFont val="Helv"/>
      </rPr>
      <t>d</t>
    </r>
    <r>
      <rPr>
        <sz val="10"/>
        <rFont val="Helv"/>
      </rPr>
      <t xml:space="preserve"> </t>
    </r>
  </si>
  <si>
    <r>
      <t>Bad Debt</t>
    </r>
    <r>
      <rPr>
        <vertAlign val="superscript"/>
        <sz val="10"/>
        <rFont val="Helv"/>
      </rPr>
      <t>c</t>
    </r>
  </si>
  <si>
    <r>
      <t>Operating Expenses</t>
    </r>
    <r>
      <rPr>
        <vertAlign val="superscript"/>
        <sz val="10"/>
        <rFont val="Helv"/>
      </rPr>
      <t xml:space="preserve">c </t>
    </r>
  </si>
  <si>
    <t>Net Cash Flow before Debt during First Three Years</t>
  </si>
  <si>
    <r>
      <t>Total Development Costs</t>
    </r>
    <r>
      <rPr>
        <vertAlign val="superscript"/>
        <sz val="10"/>
        <rFont val="Helv"/>
      </rPr>
      <t>e</t>
    </r>
    <r>
      <rPr>
        <sz val="10"/>
        <rFont val="Helv"/>
      </rPr>
      <t xml:space="preserve"> </t>
    </r>
  </si>
  <si>
    <r>
      <t>Maximum Loan Balance</t>
    </r>
    <r>
      <rPr>
        <vertAlign val="superscript"/>
        <sz val="10"/>
        <rFont val="Helv"/>
      </rPr>
      <t>e</t>
    </r>
    <r>
      <rPr>
        <sz val="10"/>
        <rFont val="Helv"/>
      </rPr>
      <t xml:space="preserve"> </t>
    </r>
  </si>
  <si>
    <r>
      <t>Equity Account Ending Balance</t>
    </r>
    <r>
      <rPr>
        <vertAlign val="superscript"/>
        <sz val="10"/>
        <rFont val="Helv"/>
      </rPr>
      <t>f</t>
    </r>
    <r>
      <rPr>
        <sz val="10"/>
        <rFont val="Helv"/>
      </rPr>
      <t xml:space="preserve"> </t>
    </r>
  </si>
  <si>
    <t>Loan Draw &amp; Releases</t>
  </si>
  <si>
    <r>
      <t>Construction Draw</t>
    </r>
    <r>
      <rPr>
        <sz val="10"/>
        <rFont val="Calibri"/>
        <family val="2"/>
      </rPr>
      <t>—</t>
    </r>
    <r>
      <rPr>
        <sz val="10"/>
        <rFont val="Helv"/>
      </rPr>
      <t>Initial Request</t>
    </r>
    <r>
      <rPr>
        <vertAlign val="superscript"/>
        <sz val="10"/>
        <rFont val="Helv"/>
      </rPr>
      <t>g</t>
    </r>
    <r>
      <rPr>
        <sz val="10"/>
        <rFont val="Helv"/>
      </rPr>
      <t xml:space="preserve"> </t>
    </r>
  </si>
  <si>
    <t>Trial Balance</t>
  </si>
  <si>
    <r>
      <t>Construction Draw</t>
    </r>
    <r>
      <rPr>
        <sz val="10"/>
        <rFont val="Calibri"/>
        <family val="2"/>
      </rPr>
      <t>—</t>
    </r>
    <r>
      <rPr>
        <sz val="10"/>
        <rFont val="Helv"/>
      </rPr>
      <t>Net Funded</t>
    </r>
    <r>
      <rPr>
        <vertAlign val="superscript"/>
        <sz val="10"/>
        <rFont val="Helv"/>
      </rPr>
      <t>g</t>
    </r>
    <r>
      <rPr>
        <sz val="10"/>
        <rFont val="Helv"/>
      </rPr>
      <t xml:space="preserve"> </t>
    </r>
  </si>
  <si>
    <t>Ending Balance before Interest</t>
  </si>
  <si>
    <t>Total Construction Loan Interest</t>
  </si>
  <si>
    <t>Interest Accrued during Construction Period</t>
  </si>
  <si>
    <t>Interest Accrued during Operating Period</t>
  </si>
  <si>
    <r>
      <t>Interest Paid from Condominium Sales</t>
    </r>
    <r>
      <rPr>
        <vertAlign val="superscript"/>
        <sz val="10"/>
        <rFont val="Helv"/>
      </rPr>
      <t>h</t>
    </r>
    <r>
      <rPr>
        <sz val="10"/>
        <rFont val="Helv"/>
      </rPr>
      <t xml:space="preserve"> </t>
    </r>
  </si>
  <si>
    <r>
      <t>Interest Accrued</t>
    </r>
    <r>
      <rPr>
        <sz val="10"/>
        <rFont val="Calibri"/>
        <family val="2"/>
      </rPr>
      <t>—</t>
    </r>
    <r>
      <rPr>
        <sz val="10"/>
        <rFont val="Helv"/>
      </rPr>
      <t>Net</t>
    </r>
    <r>
      <rPr>
        <vertAlign val="superscript"/>
        <sz val="10"/>
        <rFont val="Helv"/>
      </rPr>
      <t>i</t>
    </r>
    <r>
      <rPr>
        <sz val="10"/>
        <rFont val="Helv"/>
      </rPr>
      <t xml:space="preserve"> </t>
    </r>
  </si>
  <si>
    <t>Net Cash Flow after Debt</t>
  </si>
  <si>
    <r>
      <rPr>
        <vertAlign val="superscript"/>
        <sz val="10"/>
        <rFont val="Arial"/>
        <family val="2"/>
      </rPr>
      <t>a</t>
    </r>
    <r>
      <rPr>
        <sz val="10"/>
        <rFont val="Arial"/>
        <family val="2"/>
      </rPr>
      <t>Expenses related to the selling of condominium units have already been included as part of the development costs.</t>
    </r>
  </si>
  <si>
    <r>
      <rPr>
        <vertAlign val="superscript"/>
        <sz val="10"/>
        <rFont val="Arial"/>
        <family val="2"/>
      </rPr>
      <t>d</t>
    </r>
    <r>
      <rPr>
        <sz val="10"/>
        <rFont val="Arial"/>
        <family val="2"/>
      </rPr>
      <t>Vacancy Loss is a product of the Overall Vacancy Rate, which was determined by the absorption schedule in the preceding section.</t>
    </r>
  </si>
  <si>
    <r>
      <rPr>
        <vertAlign val="superscript"/>
        <sz val="10"/>
        <rFont val="Arial"/>
        <family val="2"/>
      </rPr>
      <t>e</t>
    </r>
    <r>
      <rPr>
        <sz val="10"/>
        <rFont val="Arial"/>
        <family val="2"/>
      </rPr>
      <t>The Total Development Costs after Subsidies was previously provided in the Development Costs worksheet, Figure 4-3b, and includes interest and operating reserves. The Maximum Loan Balance was previously provided by the Maximum Debt Calculation worksheet, Figure 4-3c, and is capped so as to not exceed the Development Costs.</t>
    </r>
  </si>
  <si>
    <r>
      <rPr>
        <vertAlign val="superscript"/>
        <sz val="10"/>
        <rFont val="Arial"/>
        <family val="2"/>
      </rPr>
      <t>f</t>
    </r>
    <r>
      <rPr>
        <sz val="10"/>
        <rFont val="Arial"/>
        <family val="2"/>
      </rPr>
      <t>Banks want to ensure that developers have sufficient equity up front so they require that all the equity be committed first, before draws from the construction loan are allowed.  Construction draws cover any remaining  shortfall in funding.</t>
    </r>
  </si>
  <si>
    <t>Less: Construction Loan Interest during Operations</t>
  </si>
  <si>
    <t>Construction Loan Balance to Be Refinanced</t>
  </si>
  <si>
    <r>
      <t>Less: Positive Cash Flow after Interest</t>
    </r>
    <r>
      <rPr>
        <sz val="10"/>
        <rFont val="Calibri"/>
        <family val="2"/>
      </rPr>
      <t>—</t>
    </r>
    <r>
      <rPr>
        <i/>
        <sz val="10"/>
        <rFont val="Helv"/>
      </rPr>
      <t>Distributed</t>
    </r>
  </si>
  <si>
    <r>
      <t>Equity for Capital Investment (Total Capital Costs</t>
    </r>
    <r>
      <rPr>
        <sz val="10"/>
        <rFont val="Calibri"/>
        <family val="2"/>
      </rPr>
      <t>—L</t>
    </r>
    <r>
      <rPr>
        <sz val="10"/>
        <rFont val="Helv"/>
      </rPr>
      <t>oan Sources)</t>
    </r>
  </si>
  <si>
    <r>
      <t>Equity for cap. Inv (equity sources+cash flow from ops</t>
    </r>
    <r>
      <rPr>
        <sz val="10"/>
        <rFont val="Calibri"/>
        <family val="2"/>
      </rPr>
      <t>—</t>
    </r>
    <r>
      <rPr>
        <sz val="10"/>
        <rFont val="Helv"/>
      </rPr>
      <t>positive cash flow after int)</t>
    </r>
    <r>
      <rPr>
        <vertAlign val="superscript"/>
        <sz val="10"/>
        <rFont val="Helv"/>
      </rPr>
      <t xml:space="preserve">a </t>
    </r>
  </si>
  <si>
    <t>Interest Accrued during Construction (Figure 5-4, Line 72)</t>
  </si>
  <si>
    <t>Operating Loss during Lease-Up (Figure 5-4, Line 45)</t>
  </si>
  <si>
    <t>Interest Accrued during Operating Period (Figure 5-4, Line 73)</t>
  </si>
  <si>
    <t>Interest Paid during Operating Period (Figure 5-4, Line 74)</t>
  </si>
  <si>
    <t>Positive Cash Flow after Interest</t>
  </si>
  <si>
    <t>Total Operating Reserve funded by Construction Loan</t>
  </si>
  <si>
    <t>Interest Paid from Condominium Sale</t>
  </si>
  <si>
    <t>Total Project Cost after First-Year Operations (Year 2)</t>
  </si>
  <si>
    <r>
      <t>Permanent Mortgage Amount for Income Property</t>
    </r>
    <r>
      <rPr>
        <vertAlign val="superscript"/>
        <sz val="10"/>
        <rFont val="Helv"/>
      </rPr>
      <t xml:space="preserve">b </t>
    </r>
  </si>
  <si>
    <t>Cash Proceeds from Construction Loan Takeout</t>
  </si>
  <si>
    <r>
      <rPr>
        <vertAlign val="superscript"/>
        <sz val="10"/>
        <rFont val="Arial"/>
        <family val="2"/>
      </rPr>
      <t>b</t>
    </r>
    <r>
      <rPr>
        <sz val="10"/>
        <rFont val="Arial"/>
        <family val="2"/>
      </rPr>
      <t>Specific to this underwriting, the Permanent Mortgage amount is assumed to be the lesser of the maximum loan amount for the income property only (as calculated in Figure 4-3c) or the balance of the construction loan. However, under certain conditions, this assumption can be conservative and cash proceeds can be generated at the time of refinancing.</t>
    </r>
  </si>
  <si>
    <r>
      <rPr>
        <vertAlign val="superscript"/>
        <sz val="10"/>
        <rFont val="Arial"/>
        <family val="2"/>
      </rPr>
      <t>a</t>
    </r>
    <r>
      <rPr>
        <sz val="10"/>
        <rFont val="Arial"/>
        <family val="2"/>
      </rPr>
      <t>Equity for Capital Investment provides a helpful check for Stage 3. One must be careful not to double-count this equity since it comes not only from new equity but also from positive operating cash flows during lease-up. Line 37 and Line 38 should be equal for each year.</t>
    </r>
  </si>
  <si>
    <r>
      <t>Beginning Balance</t>
    </r>
    <r>
      <rPr>
        <vertAlign val="superscript"/>
        <sz val="10"/>
        <rFont val="Helv"/>
      </rPr>
      <t>a</t>
    </r>
    <r>
      <rPr>
        <sz val="10"/>
        <rFont val="Helv"/>
      </rPr>
      <t xml:space="preserve"> </t>
    </r>
  </si>
  <si>
    <t>Interest/Annual Payment</t>
  </si>
  <si>
    <r>
      <t>Beginning Balance</t>
    </r>
    <r>
      <rPr>
        <vertAlign val="superscript"/>
        <sz val="10"/>
        <rFont val="Helv"/>
      </rPr>
      <t>b</t>
    </r>
    <r>
      <rPr>
        <sz val="10"/>
        <rFont val="Helv"/>
      </rPr>
      <t xml:space="preserve"> </t>
    </r>
  </si>
  <si>
    <r>
      <t>- Construction Loan Interest During Operating</t>
    </r>
    <r>
      <rPr>
        <vertAlign val="superscript"/>
        <sz val="10"/>
        <rFont val="Helv"/>
      </rPr>
      <t>c</t>
    </r>
    <r>
      <rPr>
        <sz val="10"/>
        <rFont val="Helv"/>
      </rPr>
      <t xml:space="preserve"> </t>
    </r>
  </si>
  <si>
    <r>
      <t>+ Operating Reserve Funded by Construction Loan</t>
    </r>
    <r>
      <rPr>
        <vertAlign val="superscript"/>
        <sz val="10"/>
        <rFont val="Helv"/>
      </rPr>
      <t xml:space="preserve">d </t>
    </r>
  </si>
  <si>
    <r>
      <t xml:space="preserve">Net Present Value @ 8.0% </t>
    </r>
    <r>
      <rPr>
        <b/>
        <vertAlign val="superscript"/>
        <sz val="10"/>
        <rFont val="Helv"/>
      </rPr>
      <t>g</t>
    </r>
  </si>
  <si>
    <r>
      <t>Before-Tax Cash Flow from Condominiums</t>
    </r>
    <r>
      <rPr>
        <vertAlign val="superscript"/>
        <sz val="10"/>
        <rFont val="Helv"/>
      </rPr>
      <t xml:space="preserve">f </t>
    </r>
  </si>
  <si>
    <r>
      <t>After-Tax Cash Flow from Condominiums</t>
    </r>
    <r>
      <rPr>
        <vertAlign val="superscript"/>
        <sz val="10"/>
        <rFont val="Helv"/>
      </rPr>
      <t>f</t>
    </r>
  </si>
  <si>
    <r>
      <rPr>
        <vertAlign val="superscript"/>
        <sz val="10"/>
        <rFont val="Arial"/>
        <family val="2"/>
      </rPr>
      <t>a</t>
    </r>
    <r>
      <rPr>
        <sz val="10"/>
        <rFont val="Arial"/>
        <family val="2"/>
      </rPr>
      <t>The permanent mortgage balance was determined based on value and cash flow from the retail and apartment portion of the project. The permanent mortgage would replace the outstanding construction loan upon stabilization of the project. Moreover, the portion of the loan amount pertaining to the condominiums would not be included since it would be paid off upon sale of the condominium units and before stabilization of the project. Note that the construction loan is interest only, whereas the permanent mortgage is amortizing.</t>
    </r>
  </si>
  <si>
    <r>
      <rPr>
        <vertAlign val="superscript"/>
        <sz val="10"/>
        <rFont val="Arial"/>
        <family val="2"/>
      </rPr>
      <t>b</t>
    </r>
    <r>
      <rPr>
        <sz val="10"/>
        <rFont val="Arial"/>
        <family val="2"/>
      </rPr>
      <t xml:space="preserve">The depreciable basis is the total project cost, excluding land costs and operating losses during the lease-up period. The remaining book value includes the land cost. Personal property is included in the depreciable basis here for simplicity. It can be tracked separately. Also, apartment buildings may be brought onstream at different successive months as construction is completed.  A separate depreciation spreadsheet may be added to account for these nuances. That level of accuracy, however, is inappropriate for Stage 3 analysis since other assumptions are at best good approximations. </t>
    </r>
  </si>
  <si>
    <r>
      <rPr>
        <vertAlign val="superscript"/>
        <sz val="10"/>
        <rFont val="Arial"/>
        <family val="2"/>
      </rPr>
      <t>c</t>
    </r>
    <r>
      <rPr>
        <sz val="10"/>
        <rFont val="Arial"/>
        <family val="2"/>
      </rPr>
      <t>Construction Interest During Operating represents the amount of interest charged during the operating period that was paid from operating revenues. Note that since condominium sales and profits have been consolidated and shown separately, the amount of interest paid from condominium sales are not shown. See Figure 4-4b for specific detail regarding the revenues, expenses, and taxes pertaining to the condominiums.</t>
    </r>
  </si>
  <si>
    <r>
      <rPr>
        <vertAlign val="superscript"/>
        <sz val="10"/>
        <rFont val="Arial"/>
        <family val="2"/>
      </rPr>
      <t>d</t>
    </r>
    <r>
      <rPr>
        <sz val="10"/>
        <rFont val="Arial"/>
        <family val="2"/>
      </rPr>
      <t>The operating reserve includes funds needed to cover operating costs and debt service during the lease-up period.</t>
    </r>
  </si>
  <si>
    <r>
      <rPr>
        <vertAlign val="superscript"/>
        <sz val="10"/>
        <rFont val="Arial"/>
        <family val="2"/>
      </rPr>
      <t>e</t>
    </r>
    <r>
      <rPr>
        <sz val="10"/>
        <rFont val="Arial"/>
        <family val="2"/>
      </rPr>
      <t xml:space="preserve">Specific to this model, a simplifying assumption has been made that the yearly replacement reserves (shown as being included in the net operating income in Figure 4-3b) are accumulated during the hold period and spent on capital needs immediately before the sale of the Property. Consequently, the replacement reserve amount spent on capital needs is not depreciated. As a result, the amount is deducted from the estimated capital gains from sale of the Property. </t>
    </r>
  </si>
  <si>
    <r>
      <rPr>
        <vertAlign val="superscript"/>
        <sz val="10"/>
        <rFont val="Arial"/>
        <family val="2"/>
      </rPr>
      <t>g</t>
    </r>
    <r>
      <rPr>
        <sz val="10"/>
        <rFont val="Arial"/>
        <family val="2"/>
      </rPr>
      <t>Net Present Value equals the present value of future cash flows, less the initial investment. Note that the analysis assumes all equity is invested at the beginning of the project. Also note that the unleveraged NPV represents the development profit.</t>
    </r>
  </si>
  <si>
    <r>
      <rPr>
        <vertAlign val="superscript"/>
        <sz val="10"/>
        <rFont val="Arial"/>
        <family val="2"/>
      </rPr>
      <t>a</t>
    </r>
    <r>
      <rPr>
        <sz val="10"/>
        <rFont val="Arial"/>
        <family val="2"/>
      </rPr>
      <t>Other Rental Revenue includes additional revenue derived from leasing space at the property. Examples of Other Rental Revenue include leases for parking, rooftop telecommunication devices, storage space, and billboards.</t>
    </r>
  </si>
  <si>
    <r>
      <rPr>
        <vertAlign val="superscript"/>
        <sz val="10"/>
        <rFont val="Arial"/>
        <family val="2"/>
      </rPr>
      <t>b</t>
    </r>
    <r>
      <rPr>
        <sz val="10"/>
        <rFont val="Arial"/>
        <family val="2"/>
      </rPr>
      <t>Other Miscellaneous Revenue includes additional revenue as a result of conducting daily business activities. Examples of Other Miscellaneous Revenue include late fees and penalties, forfeiture of deposits, and lost key fees. Specific to this case, miscellaneous revenue from participation in the tax increment financing program accounts for the majority of the line item amount.</t>
    </r>
  </si>
  <si>
    <r>
      <rPr>
        <vertAlign val="superscript"/>
        <sz val="10"/>
        <rFont val="Times New Roman"/>
        <family val="1"/>
      </rPr>
      <t>b</t>
    </r>
    <r>
      <rPr>
        <sz val="10"/>
        <rFont val="Times New Roman"/>
        <family val="1"/>
      </rPr>
      <t>Land carry refers to interest paid to the land seller as part of the land purchase contract. The interest rate is applied to the negotiated purchase price less any upfront paid amounts. Specific to this case, $500,000 was paid to the seller as part of the initial deposit.</t>
    </r>
  </si>
  <si>
    <r>
      <rPr>
        <vertAlign val="superscript"/>
        <sz val="10"/>
        <rFont val="Times New Roman"/>
        <family val="1"/>
      </rPr>
      <t>d</t>
    </r>
    <r>
      <rPr>
        <sz val="10"/>
        <rFont val="Times New Roman"/>
        <family val="1"/>
      </rPr>
      <t>Operating Reserve represents the amount that will be required to cover operating costs and debt service before the project reaches break-even occupancy. Customarily, the Operating Reserve is based on the average occupancy during the term in which the property leases up to full occupancy. Specific to this case, 30 percent of the units were preleased, hence the average occupancy is 65 percent ((30%+100%)/2). Additionally, based on the details of the case, the project was expected to be fully leased within six months and in fact did achieve that goal.</t>
    </r>
  </si>
  <si>
    <r>
      <rPr>
        <vertAlign val="superscript"/>
        <sz val="10"/>
        <rFont val="Times New Roman"/>
        <family val="1"/>
      </rPr>
      <t>e</t>
    </r>
    <r>
      <rPr>
        <sz val="10"/>
        <rFont val="Times New Roman"/>
        <family val="1"/>
      </rPr>
      <t>Specific to this case, several local and federal subsidies were procured to finance the development of the project. Subsidies include the tax-increment financing (TIF) subsidy, low-income housing tax credit (LIHTC) funds, a brownfield grant, a HUD Home grant, and a community development block grant (CDBG). The present value of these subsidies have been deducted from the total project cost as a means to simplify the overall setup of the analysis since project financing is outside the scope of this chapter. Also, due to the varying nature of the subsidies, the subsidies are prorationed based on the applicable portion of the project and not by square footage of the project as previously done for other development costs.</t>
    </r>
  </si>
  <si>
    <r>
      <rPr>
        <vertAlign val="superscript"/>
        <sz val="10"/>
        <rFont val="Arial"/>
        <family val="2"/>
      </rPr>
      <t>a</t>
    </r>
    <r>
      <rPr>
        <sz val="10"/>
        <rFont val="Arial"/>
        <family val="2"/>
      </rPr>
      <t>The Mortgage Principal is determined based on value and cash flow as shown in Figure 4-3c, but is capped so as to not exceed development costs. Note that the annual debt service for the For-Sale Condominiums reflects the interest-only construction loan shown on Figure 4-3d, which is based on interest payments during the construction period only.</t>
    </r>
  </si>
  <si>
    <r>
      <rPr>
        <vertAlign val="superscript"/>
        <sz val="10"/>
        <rFont val="Arial"/>
        <family val="2"/>
      </rPr>
      <t>c</t>
    </r>
    <r>
      <rPr>
        <sz val="10"/>
        <rFont val="Arial"/>
        <family val="2"/>
      </rPr>
      <t>If the user wants to incorporate vacancy rates during lease-up directly into this spreadsheet, the user may do so by entering the vacancy rates into cells E51 and F51. If these cells are left as zero, then the Total Project Costs and Equity are taken from lines 3</t>
    </r>
    <r>
      <rPr>
        <sz val="10"/>
        <rFont val="Symbol"/>
        <family val="1"/>
        <charset val="2"/>
      </rPr>
      <t>-</t>
    </r>
    <r>
      <rPr>
        <sz val="10"/>
        <rFont val="Arial"/>
        <family val="2"/>
      </rPr>
      <t>9. If they are not zero, then Total Project Cost, Building Basis, and Equity are taken from lines 24</t>
    </r>
    <r>
      <rPr>
        <sz val="10"/>
        <rFont val="Symbol"/>
        <family val="1"/>
        <charset val="2"/>
      </rPr>
      <t>-</t>
    </r>
    <r>
      <rPr>
        <sz val="10"/>
        <rFont val="Arial"/>
        <family val="2"/>
      </rPr>
      <t xml:space="preserve">28. </t>
    </r>
  </si>
  <si>
    <r>
      <rPr>
        <vertAlign val="superscript"/>
        <sz val="10"/>
        <rFont val="Arial"/>
        <family val="2"/>
      </rPr>
      <t>d</t>
    </r>
    <r>
      <rPr>
        <sz val="10"/>
        <rFont val="Arial"/>
        <family val="2"/>
      </rPr>
      <t>Current tax regulations treat real estate investments as a passive activity for non</t>
    </r>
    <r>
      <rPr>
        <sz val="10"/>
        <rFont val="Symbol"/>
        <family val="1"/>
        <charset val="2"/>
      </rPr>
      <t>-</t>
    </r>
    <r>
      <rPr>
        <sz val="10"/>
        <rFont val="Arial"/>
        <family val="2"/>
      </rPr>
      <t xml:space="preserve">real estate investors. As a result, tax losses in real estate are considered passive income losses and can only be taken against other passive income (with minor adjustments for small investors). In the event that an investor does not have any passive income, the passive losses are carried forward until they can be used against future passive income. See William B. Brueggeman and Jeffrey Fisher, </t>
    </r>
    <r>
      <rPr>
        <i/>
        <sz val="10"/>
        <rFont val="Arial"/>
        <family val="2"/>
      </rPr>
      <t>Real Estate Finance and Investments</t>
    </r>
    <r>
      <rPr>
        <sz val="10"/>
        <rFont val="Arial"/>
        <family val="2"/>
      </rPr>
      <t>, 13th ed. (New York: McGraw-Hill, 2010) for more information.</t>
    </r>
  </si>
  <si>
    <r>
      <rPr>
        <vertAlign val="superscript"/>
        <sz val="10"/>
        <rFont val="Arial"/>
        <family val="2"/>
      </rPr>
      <t>g</t>
    </r>
    <r>
      <rPr>
        <sz val="10"/>
        <rFont val="Arial"/>
        <family val="2"/>
      </rPr>
      <t>Net Present Value equals the present value of future cash flows, less the initial investment. Note that Stage 2 analysis assumes all equity is invested at the beginning of the project. Also note that the unleveraged NPV represents the development profit.</t>
    </r>
  </si>
  <si>
    <r>
      <rPr>
        <vertAlign val="superscript"/>
        <sz val="10"/>
        <rFont val="Helv"/>
      </rPr>
      <t>b</t>
    </r>
    <r>
      <rPr>
        <sz val="10"/>
        <rFont val="Helv"/>
      </rPr>
      <t>Specific to this case and Stage 2 analysis, it is assumed that the condominiums are effectively presold such that the construction loan is immediately repaid at the completion of the construction. The interest owed is the amount of interest that accrued while the project was being constructed. Note that this amount had previously been accounted for in determining the total development costs and initial equity required. As a result, the interest owed amount is not shown to affect the ultimate cash flows for the condominiums.</t>
    </r>
  </si>
  <si>
    <r>
      <rPr>
        <vertAlign val="superscript"/>
        <sz val="10"/>
        <rFont val="Arial"/>
        <family val="2"/>
      </rPr>
      <t>b</t>
    </r>
    <r>
      <rPr>
        <sz val="10"/>
        <rFont val="Arial"/>
        <family val="2"/>
      </rPr>
      <t>The Vacancy calculation assumes that the units leased in the present quarter are economically realized in the middle of the quarter. Hence, the Vacancy for the quarter is an average of the vacancy from the prior quarter and present quarter.</t>
    </r>
  </si>
  <si>
    <r>
      <rPr>
        <vertAlign val="superscript"/>
        <sz val="10"/>
        <rFont val="Arial"/>
        <family val="2"/>
      </rPr>
      <t>c</t>
    </r>
    <r>
      <rPr>
        <sz val="10"/>
        <rFont val="Arial"/>
        <family val="2"/>
      </rPr>
      <t>The following estimates pertaining to the revenue and expenses of the apartment and office portions of the project are taken from the pro forma, Figure 4-3b. Gross potential revenue  and operating expenses are inflated 3 percent in the second year.</t>
    </r>
  </si>
  <si>
    <r>
      <rPr>
        <vertAlign val="superscript"/>
        <sz val="10"/>
        <rFont val="Arial"/>
        <family val="2"/>
      </rPr>
      <t>g</t>
    </r>
    <r>
      <rPr>
        <sz val="10"/>
        <rFont val="Arial"/>
        <family val="2"/>
      </rPr>
      <t>Construction Draws are provided by the lender as construction progresses.  In the event that the draw request, together with the carried balance of the construction loan, exceeds the maximum draw limit, then additional equity is required to maintain the construction loan balance at the maximum draw limit. The net construction draw amount is the amount borrowed after additional equity is contributed, if any. Also note that any operating deficits that need to be funded by the lender are requested and included as part of the draw.</t>
    </r>
  </si>
  <si>
    <r>
      <rPr>
        <vertAlign val="superscript"/>
        <sz val="10"/>
        <rFont val="Arial"/>
        <family val="2"/>
      </rPr>
      <t>h</t>
    </r>
    <r>
      <rPr>
        <sz val="10"/>
        <rFont val="Arial"/>
        <family val="2"/>
      </rPr>
      <t>Construction releases are provided by sales of condominium units. Specific to this case, it is assumed that releases are scheduled as 70 percent of the revenues. Additionally, the portion of the interest accrued during the development period is paid as condominiums are sold. Refer to Figure 4-4b for revenue, expense, and tax calculations for the condominiums.</t>
    </r>
  </si>
  <si>
    <r>
      <rPr>
        <vertAlign val="superscript"/>
        <sz val="10"/>
        <rFont val="Arial"/>
        <family val="2"/>
      </rPr>
      <t>i</t>
    </r>
    <r>
      <rPr>
        <sz val="10"/>
        <rFont val="Arial"/>
        <family val="2"/>
      </rPr>
      <t>Accrued interest is added to the overall balance of the construction loan. In the event that the accrued interest, together with the carried balance of the construction loan, exceeds the maximum draw limit, then additional equity is required to maintain the construction loan balance at the maximum draw limit. The net accrued interest amount is the amount accrued after additional equity is contributed, if any.</t>
    </r>
  </si>
  <si>
    <t>figure 4-9
Stage 5 Analysis - Investor Return</t>
  </si>
  <si>
    <r>
      <t>Initial &amp; Additional Equity</t>
    </r>
    <r>
      <rPr>
        <vertAlign val="superscript"/>
        <sz val="8"/>
        <rFont val="Helv"/>
      </rPr>
      <t>a</t>
    </r>
    <r>
      <rPr>
        <sz val="10"/>
        <rFont val="Helv"/>
      </rPr>
      <t xml:space="preserve"> </t>
    </r>
  </si>
  <si>
    <r>
      <t>Investor Equity Contribution</t>
    </r>
    <r>
      <rPr>
        <vertAlign val="superscript"/>
        <sz val="8"/>
        <rFont val="Helv"/>
      </rPr>
      <t>b</t>
    </r>
    <r>
      <rPr>
        <sz val="10"/>
        <rFont val="Helv"/>
      </rPr>
      <t xml:space="preserve"> </t>
    </r>
  </si>
  <si>
    <r>
      <t>Investor Proportionate Payback of Equity</t>
    </r>
    <r>
      <rPr>
        <vertAlign val="superscript"/>
        <sz val="8"/>
        <rFont val="Helv"/>
      </rPr>
      <t>b</t>
    </r>
    <r>
      <rPr>
        <sz val="8"/>
        <rFont val="Helv"/>
      </rPr>
      <t xml:space="preserve"> </t>
    </r>
  </si>
  <si>
    <r>
      <t>Preferred Return</t>
    </r>
    <r>
      <rPr>
        <b/>
        <vertAlign val="superscript"/>
        <sz val="8"/>
        <rFont val="Helv"/>
      </rPr>
      <t>b</t>
    </r>
  </si>
  <si>
    <r>
      <t>Unpaid Return Account</t>
    </r>
    <r>
      <rPr>
        <b/>
        <vertAlign val="superscript"/>
        <sz val="8"/>
        <rFont val="Helv"/>
      </rPr>
      <t>b</t>
    </r>
    <r>
      <rPr>
        <b/>
        <sz val="10"/>
        <rFont val="Helv"/>
      </rPr>
      <t xml:space="preserve"> </t>
    </r>
  </si>
  <si>
    <r>
      <t>Equity Account Balance</t>
    </r>
    <r>
      <rPr>
        <b/>
        <vertAlign val="superscript"/>
        <sz val="8"/>
        <rFont val="Helv"/>
      </rPr>
      <t>b</t>
    </r>
  </si>
  <si>
    <r>
      <t>Equity Payments Recap</t>
    </r>
    <r>
      <rPr>
        <b/>
        <vertAlign val="superscript"/>
        <sz val="8"/>
        <rFont val="Helv"/>
      </rPr>
      <t>b</t>
    </r>
  </si>
  <si>
    <t>Before-Tax Cash Flow to Investor</t>
  </si>
  <si>
    <r>
      <rPr>
        <vertAlign val="superscript"/>
        <sz val="8"/>
        <rFont val="Arial"/>
        <family val="2"/>
      </rPr>
      <t>a</t>
    </r>
    <r>
      <rPr>
        <sz val="10"/>
        <rFont val="Arial"/>
        <family val="2"/>
      </rPr>
      <t>In this simplified investor return analysis, it is assumed that all equity, or committed capital by the investors, is invested in the initial year into an escrow account.</t>
    </r>
  </si>
  <si>
    <r>
      <rPr>
        <vertAlign val="superscript"/>
        <sz val="8"/>
        <rFont val="Arial"/>
        <family val="2"/>
      </rPr>
      <t>b</t>
    </r>
    <r>
      <rPr>
        <sz val="10"/>
        <rFont val="Arial"/>
        <family val="2"/>
      </rPr>
      <t>In this analysis, it is assumed that the investor and the developer have equal priority to the preferred return and that the payback of their respective equity is proportional to their contributed amount. Hence, the preferred return and equity balance calculations are performed for both the investor and the developer and later individually proportioned according to their proportionate share.</t>
    </r>
  </si>
  <si>
    <r>
      <t>Controllable Costs</t>
    </r>
    <r>
      <rPr>
        <vertAlign val="superscript"/>
        <sz val="8"/>
        <color indexed="8"/>
        <rFont val="Helv"/>
      </rPr>
      <t>c</t>
    </r>
  </si>
  <si>
    <r>
      <t>Other Rental Revenue</t>
    </r>
    <r>
      <rPr>
        <vertAlign val="superscript"/>
        <sz val="10"/>
        <rFont val="Helvetica"/>
      </rPr>
      <t>a</t>
    </r>
    <r>
      <rPr>
        <sz val="10"/>
        <rFont val="Helvetica"/>
      </rPr>
      <t xml:space="preserve"> </t>
    </r>
  </si>
  <si>
    <r>
      <t>per gross ft</t>
    </r>
    <r>
      <rPr>
        <vertAlign val="superscript"/>
        <sz val="10"/>
        <rFont val="Helv"/>
      </rPr>
      <t>2</t>
    </r>
  </si>
  <si>
    <t>per gross ft2</t>
  </si>
  <si>
    <t>Condominium Sales Revenue</t>
  </si>
  <si>
    <r>
      <t>Construction Releases</t>
    </r>
    <r>
      <rPr>
        <vertAlign val="superscript"/>
        <sz val="10"/>
        <rFont val="Helv"/>
      </rPr>
      <t>h</t>
    </r>
  </si>
  <si>
    <t>Cash Flow from Operations after Interest</t>
  </si>
  <si>
    <t>figure 4-9
Stage 5 Analysis
Investor Return</t>
  </si>
  <si>
    <t>figure 4-5
Stage 3a Analysis
Cash Flows during Development Period, Including Initial Lease-Up Activities</t>
  </si>
  <si>
    <t>figure 4-7
Stage 3c Analysis
Combined Annual Before- and After-Tax Cash Flows during Development and Operating Period</t>
  </si>
  <si>
    <t xml:space="preserve">figure 4-3e
Stage 1e Summary Analysis &amp; Simple Ratios
</t>
  </si>
  <si>
    <t>b Mortgage excludes financing of the For-Sale Condominiums.  Also, if applicable, the Mortgage amount is capped so as to not exceed the Total Project Cost after Subsidies.</t>
  </si>
  <si>
    <t>Total Proj Cost after Subsidies before Op Reserve</t>
  </si>
  <si>
    <r>
      <t>override vacancy rates</t>
    </r>
    <r>
      <rPr>
        <b/>
        <vertAlign val="superscript"/>
        <sz val="10"/>
        <rFont val="Helv"/>
      </rPr>
      <t xml:space="preserve"> c</t>
    </r>
  </si>
  <si>
    <r>
      <t>Less: Interest Paid</t>
    </r>
    <r>
      <rPr>
        <vertAlign val="superscript"/>
        <sz val="10"/>
        <rFont val="Helv"/>
      </rPr>
      <t>b</t>
    </r>
    <r>
      <rPr>
        <sz val="10"/>
        <rFont val="Helv"/>
      </rPr>
      <t xml:space="preserve"> </t>
    </r>
  </si>
  <si>
    <t>See Figure 4-8 in text for the following:</t>
  </si>
  <si>
    <r>
      <t>–</t>
    </r>
    <r>
      <rPr>
        <u/>
        <sz val="10"/>
        <rFont val="Helv"/>
      </rPr>
      <t xml:space="preserve"> Operating Period –</t>
    </r>
  </si>
  <si>
    <t>figure 4-3b
Stage 1b: Pro Forma NOI</t>
  </si>
  <si>
    <t>figure 4-3a
Stage 1a: Rent &amp; Sales Summary</t>
  </si>
  <si>
    <t>figure 4-3c
Stage 1c: Maximum Debt Calculation</t>
  </si>
  <si>
    <t>figure 4-3d
Stage 1d: Development Costs</t>
  </si>
  <si>
    <t>Stage 1e:  Summary Analysis &amp; Simple Ratios</t>
  </si>
  <si>
    <t>figure 4-4a
Stage 2a:  Analysis</t>
  </si>
  <si>
    <t>figure 4-6
Stage 3b: Development Cost Summary</t>
  </si>
  <si>
    <t>figure 4-4b
Stage 2 Analysis--For-Sale Condominium Cash Flow</t>
  </si>
  <si>
    <t>figure 4-5
Stage 3a--Analysis, Cash Flows During Development Period, Including Initial Lease-Up Activities</t>
  </si>
  <si>
    <t>figure 4-7
Stage 3c:  Analysis--Combined Annual Before- and After-Tax Cash Flows during Development and Operating Period</t>
  </si>
  <si>
    <r>
      <t xml:space="preserve">Gross </t>
    </r>
    <r>
      <rPr>
        <b/>
        <vertAlign val="superscript"/>
        <sz val="8"/>
        <rFont val="Helv"/>
      </rPr>
      <t>f</t>
    </r>
  </si>
  <si>
    <r>
      <rPr>
        <vertAlign val="superscript"/>
        <sz val="10"/>
        <rFont val="Times New Roman"/>
        <family val="1"/>
      </rPr>
      <t>f</t>
    </r>
    <r>
      <rPr>
        <sz val="10"/>
        <rFont val="Times New Roman"/>
        <family val="1"/>
      </rPr>
      <t>Total Gross Square Footage inadvertantly excludes the square footage for the parking garage - however the per gross square foot development costs below had accounted for the omission such that the total development cost before interest and reserve of $9,926,951 is indeed correct and includes building the parking garage.  Future users of this spreadsheet would be well served to appropriately update the gross square footage in the space provided and update the estimated per gross square foot development costs.</t>
    </r>
  </si>
  <si>
    <t>Square Footage (Input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</si>
</sst>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
    <numFmt numFmtId="165" formatCode="&quot;Year &quot;0"/>
    <numFmt numFmtId="166" formatCode="#,##0.000_);\(#,##0.000\)"/>
    <numFmt numFmtId="167" formatCode="&quot;$&quot;#,##0"/>
    <numFmt numFmtId="168" formatCode="0.0%"/>
    <numFmt numFmtId="169" formatCode="#,##0.0_);\(#,##0.0\)"/>
    <numFmt numFmtId="170" formatCode="&quot;Quarter &quot;0"/>
    <numFmt numFmtId="171" formatCode="_(&quot;$&quot;* #,##0_);_(&quot;$&quot;* \(#,##0\);_(&quot;$&quot;* &quot;-&quot;??_);_(@_)"/>
    <numFmt numFmtId="172" formatCode="_(* #,##0_);_(* \(#,##0\);_(* &quot;-&quot;??_);_(@_)"/>
    <numFmt numFmtId="173" formatCode="0.0"/>
    <numFmt numFmtId="174" formatCode="0.00%&quot; rate&quot;"/>
    <numFmt numFmtId="175" formatCode="General&quot; months&quot;"/>
    <numFmt numFmtId="176" formatCode="&quot;Year &quot;General"/>
    <numFmt numFmtId="177" formatCode="0.000%"/>
    <numFmt numFmtId="178" formatCode="0.00%&quot; inflation&quot;"/>
    <numFmt numFmtId="179" formatCode="0.00%&quot; vacancy&quot;"/>
    <numFmt numFmtId="180" formatCode="0.00%&quot; bad debt&quot;"/>
    <numFmt numFmtId="181" formatCode="0.0%&quot; cap rate&quot;"/>
    <numFmt numFmtId="182" formatCode="#,##0.0_)&quot; Accel. Factor&quot;;\(#,##0.0\)"/>
    <numFmt numFmtId="183" formatCode="#,##0.0_)&quot; Life Years&quot;;\(#,##0.0\)"/>
  </numFmts>
  <fonts count="58" x14ac:knownFonts="1">
    <font>
      <sz val="10"/>
      <name val="Arial"/>
    </font>
    <font>
      <sz val="10"/>
      <name val="Arial"/>
      <family val="2"/>
    </font>
    <font>
      <i/>
      <sz val="10"/>
      <name val="Helv"/>
    </font>
    <font>
      <sz val="10"/>
      <name val="Helv"/>
    </font>
    <font>
      <b/>
      <sz val="14"/>
      <name val="Helv"/>
    </font>
    <font>
      <i/>
      <sz val="9"/>
      <name val="Helv"/>
    </font>
    <font>
      <sz val="12"/>
      <color indexed="8"/>
      <name val="Helv"/>
    </font>
    <font>
      <i/>
      <sz val="10"/>
      <color indexed="8"/>
      <name val="Helv"/>
    </font>
    <font>
      <b/>
      <sz val="10"/>
      <name val="Helv"/>
    </font>
    <font>
      <sz val="10"/>
      <color indexed="8"/>
      <name val="Helv"/>
    </font>
    <font>
      <b/>
      <sz val="10"/>
      <color indexed="8"/>
      <name val="Helv"/>
    </font>
    <font>
      <b/>
      <sz val="12"/>
      <name val="Helv"/>
    </font>
    <font>
      <u/>
      <sz val="10"/>
      <name val="Helv"/>
    </font>
    <font>
      <b/>
      <u/>
      <sz val="10"/>
      <name val="Helv"/>
    </font>
    <font>
      <i/>
      <u/>
      <sz val="10"/>
      <name val="Helv"/>
    </font>
    <font>
      <sz val="10"/>
      <name val="Times New Roman"/>
      <family val="1"/>
    </font>
    <font>
      <i/>
      <u/>
      <sz val="10"/>
      <color indexed="8"/>
      <name val="Helv"/>
    </font>
    <font>
      <b/>
      <sz val="10"/>
      <name val="Arial"/>
      <family val="2"/>
    </font>
    <font>
      <sz val="10"/>
      <name val="Helvetica"/>
      <family val="2"/>
    </font>
    <font>
      <sz val="10"/>
      <name val="Arial"/>
      <family val="2"/>
    </font>
    <font>
      <i/>
      <sz val="9"/>
      <color indexed="9"/>
      <name val="Helv"/>
    </font>
    <font>
      <sz val="10"/>
      <color indexed="10"/>
      <name val="Arial"/>
      <family val="2"/>
    </font>
    <font>
      <i/>
      <sz val="8"/>
      <name val="Helvetica"/>
    </font>
    <font>
      <i/>
      <sz val="10"/>
      <name val="Arial"/>
      <family val="2"/>
    </font>
    <font>
      <sz val="8"/>
      <name val="Arial"/>
      <family val="2"/>
    </font>
    <font>
      <sz val="8"/>
      <name val="Helv"/>
    </font>
    <font>
      <sz val="10"/>
      <name val="Arial"/>
      <family val="2"/>
    </font>
    <font>
      <i/>
      <sz val="10"/>
      <name val="Times New Roman"/>
      <family val="1"/>
    </font>
    <font>
      <u/>
      <sz val="10"/>
      <name val="Arial"/>
      <family val="2"/>
    </font>
    <font>
      <sz val="10"/>
      <color indexed="12"/>
      <name val="Helv"/>
    </font>
    <font>
      <u val="singleAccounting"/>
      <sz val="10"/>
      <name val="Arial"/>
      <family val="2"/>
    </font>
    <font>
      <sz val="11"/>
      <name val="Calibri"/>
      <family val="2"/>
    </font>
    <font>
      <sz val="11"/>
      <color indexed="8"/>
      <name val="Calibri"/>
      <family val="2"/>
    </font>
    <font>
      <b/>
      <sz val="11"/>
      <color indexed="8"/>
      <name val="Calibri"/>
      <family val="2"/>
    </font>
    <font>
      <u val="singleAccounting"/>
      <sz val="10"/>
      <name val="Helv"/>
    </font>
    <font>
      <b/>
      <sz val="10"/>
      <color indexed="10"/>
      <name val="Helv"/>
    </font>
    <font>
      <vertAlign val="superscript"/>
      <sz val="10"/>
      <name val="Arial"/>
      <family val="2"/>
    </font>
    <font>
      <b/>
      <vertAlign val="superscript"/>
      <sz val="10"/>
      <name val="Helv"/>
    </font>
    <font>
      <vertAlign val="superscript"/>
      <sz val="10"/>
      <name val="Helvetica"/>
    </font>
    <font>
      <b/>
      <sz val="10"/>
      <color indexed="10"/>
      <name val="Arial"/>
      <family val="2"/>
    </font>
    <font>
      <vertAlign val="superscript"/>
      <sz val="10"/>
      <color indexed="8"/>
      <name val="Helv"/>
    </font>
    <font>
      <b/>
      <vertAlign val="superscript"/>
      <sz val="10"/>
      <color indexed="8"/>
      <name val="Helv"/>
    </font>
    <font>
      <vertAlign val="superscript"/>
      <sz val="10"/>
      <name val="Helv"/>
    </font>
    <font>
      <b/>
      <sz val="10"/>
      <color indexed="10"/>
      <name val="Times New Roman"/>
      <family val="1"/>
    </font>
    <font>
      <vertAlign val="superscript"/>
      <sz val="10"/>
      <name val="Times New Roman"/>
      <family val="1"/>
    </font>
    <font>
      <i/>
      <vertAlign val="superscript"/>
      <sz val="10"/>
      <name val="Helv"/>
    </font>
    <font>
      <b/>
      <sz val="9"/>
      <name val="Helv"/>
    </font>
    <font>
      <b/>
      <sz val="8"/>
      <name val="Helv"/>
    </font>
    <font>
      <sz val="10"/>
      <name val="Symbol"/>
      <family val="1"/>
      <charset val="2"/>
    </font>
    <font>
      <sz val="10"/>
      <name val="Calibri"/>
      <family val="2"/>
    </font>
    <font>
      <vertAlign val="superscript"/>
      <sz val="8"/>
      <name val="Helv"/>
    </font>
    <font>
      <b/>
      <vertAlign val="superscript"/>
      <sz val="8"/>
      <name val="Helv"/>
    </font>
    <font>
      <vertAlign val="superscript"/>
      <sz val="8"/>
      <name val="Arial"/>
      <family val="2"/>
    </font>
    <font>
      <vertAlign val="superscript"/>
      <sz val="8"/>
      <color indexed="8"/>
      <name val="Helv"/>
    </font>
    <font>
      <sz val="10"/>
      <name val="Helvetica"/>
    </font>
    <font>
      <b/>
      <sz val="10"/>
      <color indexed="36"/>
      <name val="Arial"/>
      <family val="2"/>
    </font>
    <font>
      <sz val="10"/>
      <name val="Arial Narrow"/>
      <family val="2"/>
    </font>
    <font>
      <b/>
      <sz val="10"/>
      <name val="Helvetica"/>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55"/>
        <bgColor indexed="64"/>
      </patternFill>
    </fill>
    <fill>
      <patternFill patternType="solid">
        <fgColor indexed="26"/>
        <bgColor indexed="64"/>
      </patternFill>
    </fill>
  </fills>
  <borders count="57">
    <border>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right/>
      <top style="thick">
        <color indexed="64"/>
      </top>
      <bottom style="medium">
        <color indexed="64"/>
      </bottom>
      <diagonal/>
    </border>
    <border>
      <left style="thin">
        <color indexed="64"/>
      </left>
      <right style="double">
        <color indexed="64"/>
      </right>
      <top style="thick">
        <color indexed="64"/>
      </top>
      <bottom style="medium">
        <color indexed="64"/>
      </bottom>
      <diagonal/>
    </border>
    <border>
      <left style="double">
        <color indexed="64"/>
      </left>
      <right style="double">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double">
        <color indexed="64"/>
      </right>
      <top style="thick">
        <color indexed="64"/>
      </top>
      <bottom style="medium">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style="thick">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s>
  <cellStyleXfs count="26">
    <xf numFmtId="0" fontId="0" fillId="0" borderId="0"/>
    <xf numFmtId="37" fontId="2" fillId="0" borderId="1" applyNumberFormat="0" applyFill="0">
      <alignment horizontal="right" wrapText="1"/>
    </xf>
    <xf numFmtId="43" fontId="1" fillId="0" borderId="0" applyFont="0" applyFill="0" applyBorder="0" applyAlignment="0" applyProtection="0"/>
    <xf numFmtId="43" fontId="26"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4" fontId="1" fillId="0" borderId="0" applyFont="0" applyFill="0" applyBorder="0" applyAlignment="0" applyProtection="0"/>
    <xf numFmtId="164"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37" fontId="3" fillId="0" borderId="0" applyFill="0" applyBorder="0" applyAlignment="0"/>
    <xf numFmtId="9" fontId="1" fillId="0" borderId="0" applyFont="0" applyFill="0" applyBorder="0" applyAlignment="0" applyProtection="0"/>
    <xf numFmtId="37" fontId="4" fillId="0" borderId="0" applyNumberFormat="0" applyFill="0" applyBorder="0" applyProtection="0">
      <alignment horizontal="centerContinuous"/>
    </xf>
    <xf numFmtId="165" fontId="5" fillId="0" borderId="1" applyFill="0">
      <alignment horizontal="right" wrapText="1"/>
    </xf>
  </cellStyleXfs>
  <cellXfs count="816">
    <xf numFmtId="0" fontId="0" fillId="0" borderId="0" xfId="0"/>
    <xf numFmtId="165" fontId="4" fillId="0" borderId="0" xfId="24" applyNumberFormat="1" applyFont="1" applyBorder="1" applyAlignment="1">
      <alignment horizontal="centerContinuous" wrapText="1"/>
    </xf>
    <xf numFmtId="37" fontId="6" fillId="0" borderId="0" xfId="18" applyFont="1" applyAlignment="1" applyProtection="1">
      <alignment horizontal="centerContinuous"/>
      <protection locked="0"/>
    </xf>
    <xf numFmtId="37" fontId="6" fillId="0" borderId="0" xfId="18" applyFont="1" applyProtection="1">
      <protection locked="0"/>
    </xf>
    <xf numFmtId="37" fontId="2" fillId="0" borderId="1" xfId="1">
      <alignment horizontal="right" wrapText="1"/>
    </xf>
    <xf numFmtId="37" fontId="3" fillId="0" borderId="0" xfId="18"/>
    <xf numFmtId="37" fontId="4" fillId="0" borderId="0" xfId="24" applyFont="1" applyAlignment="1">
      <alignment horizontal="centerContinuous" wrapText="1"/>
    </xf>
    <xf numFmtId="37" fontId="4" fillId="0" borderId="0" xfId="24">
      <alignment horizontal="centerContinuous"/>
    </xf>
    <xf numFmtId="37" fontId="3" fillId="0" borderId="0" xfId="19"/>
    <xf numFmtId="37" fontId="3" fillId="0" borderId="0" xfId="13"/>
    <xf numFmtId="37" fontId="4" fillId="0" borderId="0" xfId="24" applyAlignment="1">
      <alignment horizontal="centerContinuous" wrapText="1"/>
    </xf>
    <xf numFmtId="9" fontId="3" fillId="0" borderId="0" xfId="23" applyFont="1"/>
    <xf numFmtId="37" fontId="3" fillId="0" borderId="0" xfId="21"/>
    <xf numFmtId="37" fontId="3" fillId="0" borderId="1" xfId="21" applyBorder="1"/>
    <xf numFmtId="37" fontId="8" fillId="0" borderId="0" xfId="21" applyFont="1"/>
    <xf numFmtId="37" fontId="3" fillId="0" borderId="0" xfId="21" applyFont="1"/>
    <xf numFmtId="165" fontId="3" fillId="0" borderId="0" xfId="21" applyNumberFormat="1"/>
    <xf numFmtId="165" fontId="5" fillId="0" borderId="0" xfId="25" applyBorder="1">
      <alignment horizontal="right" wrapText="1"/>
    </xf>
    <xf numFmtId="37" fontId="8" fillId="0" borderId="1" xfId="21" applyFont="1" applyBorder="1" applyAlignment="1">
      <alignment horizontal="left"/>
    </xf>
    <xf numFmtId="37" fontId="8" fillId="0" borderId="0" xfId="21" applyFont="1" applyBorder="1" applyAlignment="1">
      <alignment horizontal="left"/>
    </xf>
    <xf numFmtId="37" fontId="3" fillId="0" borderId="0" xfId="21" applyAlignment="1" applyProtection="1">
      <alignment horizontal="left"/>
    </xf>
    <xf numFmtId="37" fontId="3" fillId="0" borderId="0" xfId="21" applyNumberFormat="1" applyBorder="1" applyProtection="1"/>
    <xf numFmtId="37" fontId="3" fillId="0" borderId="0" xfId="21" applyBorder="1" applyAlignment="1" applyProtection="1">
      <alignment horizontal="left"/>
    </xf>
    <xf numFmtId="37" fontId="3" fillId="0" borderId="0" xfId="21" applyBorder="1"/>
    <xf numFmtId="37" fontId="8" fillId="0" borderId="0" xfId="21" applyFont="1" applyBorder="1" applyAlignment="1" applyProtection="1">
      <alignment horizontal="left"/>
    </xf>
    <xf numFmtId="37" fontId="3" fillId="0" borderId="0" xfId="21" applyBorder="1" applyAlignment="1" applyProtection="1">
      <alignment horizontal="fill"/>
    </xf>
    <xf numFmtId="37" fontId="8" fillId="0" borderId="1" xfId="21" applyFont="1" applyBorder="1" applyAlignment="1" applyProtection="1">
      <alignment horizontal="left"/>
    </xf>
    <xf numFmtId="10" fontId="3" fillId="0" borderId="0" xfId="23" applyNumberFormat="1" applyFont="1" applyProtection="1"/>
    <xf numFmtId="37" fontId="3" fillId="0" borderId="0" xfId="21" applyNumberFormat="1" applyProtection="1"/>
    <xf numFmtId="10" fontId="3" fillId="0" borderId="0" xfId="21" applyNumberFormat="1" applyProtection="1"/>
    <xf numFmtId="37" fontId="3" fillId="0" borderId="1" xfId="21" applyNumberFormat="1" applyBorder="1" applyProtection="1"/>
    <xf numFmtId="164" fontId="3" fillId="0" borderId="0" xfId="12"/>
    <xf numFmtId="164" fontId="3" fillId="0" borderId="0" xfId="12" applyProtection="1"/>
    <xf numFmtId="164" fontId="3" fillId="0" borderId="3" xfId="12" applyBorder="1" applyProtection="1"/>
    <xf numFmtId="37" fontId="3" fillId="0" borderId="0" xfId="21" applyNumberFormat="1" applyAlignment="1" applyProtection="1">
      <alignment horizontal="left"/>
    </xf>
    <xf numFmtId="37" fontId="3" fillId="0" borderId="0" xfId="21" applyAlignment="1" applyProtection="1">
      <alignment horizontal="fill"/>
    </xf>
    <xf numFmtId="37" fontId="8" fillId="0" borderId="1" xfId="21" applyFont="1" applyBorder="1"/>
    <xf numFmtId="37" fontId="8" fillId="0" borderId="0" xfId="21" applyFont="1" applyBorder="1"/>
    <xf numFmtId="10" fontId="3" fillId="0" borderId="0" xfId="21" applyNumberFormat="1" applyFont="1" applyProtection="1"/>
    <xf numFmtId="37" fontId="8" fillId="0" borderId="0" xfId="21" applyFont="1" applyAlignment="1">
      <alignment horizontal="left"/>
    </xf>
    <xf numFmtId="37" fontId="0" fillId="0" borderId="0" xfId="0" applyNumberFormat="1"/>
    <xf numFmtId="5" fontId="0" fillId="0" borderId="0" xfId="0" applyNumberFormat="1"/>
    <xf numFmtId="0" fontId="0" fillId="0" borderId="1" xfId="0" applyBorder="1"/>
    <xf numFmtId="37" fontId="3" fillId="0" borderId="0" xfId="15"/>
    <xf numFmtId="37" fontId="4" fillId="0" borderId="0" xfId="24" applyBorder="1">
      <alignment horizontal="centerContinuous"/>
    </xf>
    <xf numFmtId="37" fontId="3" fillId="0" borderId="0" xfId="15" applyBorder="1"/>
    <xf numFmtId="37" fontId="8" fillId="0" borderId="0" xfId="15" applyFont="1"/>
    <xf numFmtId="37" fontId="12" fillId="0" borderId="0" xfId="15" applyFont="1" applyBorder="1" applyAlignment="1">
      <alignment horizontal="centerContinuous"/>
    </xf>
    <xf numFmtId="37" fontId="11" fillId="0" borderId="1" xfId="15" applyFont="1" applyBorder="1" applyAlignment="1">
      <alignment horizontal="left"/>
    </xf>
    <xf numFmtId="37" fontId="2" fillId="0" borderId="1" xfId="15" applyFont="1" applyBorder="1" applyAlignment="1">
      <alignment horizontal="center" wrapText="1"/>
    </xf>
    <xf numFmtId="37" fontId="3" fillId="0" borderId="1" xfId="15" applyBorder="1"/>
    <xf numFmtId="9" fontId="0" fillId="0" borderId="0" xfId="0" applyNumberFormat="1"/>
    <xf numFmtId="37" fontId="8" fillId="0" borderId="1" xfId="15" applyFont="1" applyBorder="1"/>
    <xf numFmtId="39" fontId="3" fillId="0" borderId="0" xfId="15" applyNumberFormat="1"/>
    <xf numFmtId="37" fontId="3" fillId="0" borderId="4" xfId="15" applyBorder="1"/>
    <xf numFmtId="37" fontId="3" fillId="0" borderId="5" xfId="15" applyBorder="1"/>
    <xf numFmtId="0" fontId="0" fillId="0" borderId="5" xfId="0" applyBorder="1"/>
    <xf numFmtId="0" fontId="0" fillId="0" borderId="0" xfId="0" applyBorder="1"/>
    <xf numFmtId="10" fontId="0" fillId="0" borderId="0" xfId="0" applyNumberFormat="1"/>
    <xf numFmtId="9" fontId="0" fillId="0" borderId="0" xfId="0" applyNumberFormat="1" applyBorder="1"/>
    <xf numFmtId="3" fontId="0" fillId="0" borderId="0" xfId="0" applyNumberFormat="1" applyBorder="1"/>
    <xf numFmtId="37" fontId="0" fillId="0" borderId="0" xfId="0" applyNumberFormat="1" applyBorder="1"/>
    <xf numFmtId="3" fontId="0" fillId="0" borderId="5" xfId="0" applyNumberFormat="1" applyBorder="1"/>
    <xf numFmtId="5" fontId="0" fillId="0" borderId="6" xfId="0" applyNumberFormat="1" applyBorder="1"/>
    <xf numFmtId="37" fontId="8" fillId="0" borderId="0" xfId="15" applyFont="1" applyBorder="1"/>
    <xf numFmtId="170" fontId="3" fillId="0" borderId="0" xfId="15" applyNumberFormat="1" applyBorder="1"/>
    <xf numFmtId="37" fontId="3" fillId="0" borderId="0" xfId="20" applyAlignment="1">
      <alignment horizontal="centerContinuous"/>
    </xf>
    <xf numFmtId="37" fontId="4" fillId="0" borderId="0" xfId="24" applyBorder="1" applyAlignment="1">
      <alignment horizontal="centerContinuous"/>
    </xf>
    <xf numFmtId="3" fontId="0" fillId="0" borderId="1" xfId="0" applyNumberFormat="1" applyBorder="1"/>
    <xf numFmtId="37" fontId="3" fillId="0" borderId="0" xfId="22"/>
    <xf numFmtId="37" fontId="14" fillId="0" borderId="0" xfId="22" applyFont="1" applyBorder="1" applyAlignment="1">
      <alignment horizontal="centerContinuous"/>
    </xf>
    <xf numFmtId="37" fontId="14" fillId="0" borderId="0" xfId="22" applyFont="1" applyAlignment="1">
      <alignment horizontal="centerContinuous"/>
    </xf>
    <xf numFmtId="165" fontId="11" fillId="0" borderId="1" xfId="25" applyFont="1" applyAlignment="1">
      <alignment horizontal="left" wrapText="1"/>
    </xf>
    <xf numFmtId="165" fontId="5" fillId="0" borderId="1" xfId="25">
      <alignment horizontal="right" wrapText="1"/>
    </xf>
    <xf numFmtId="37" fontId="3" fillId="0" borderId="0" xfId="22" applyAlignment="1" applyProtection="1">
      <alignment horizontal="left"/>
    </xf>
    <xf numFmtId="37" fontId="3" fillId="0" borderId="0" xfId="22" applyNumberFormat="1" applyProtection="1"/>
    <xf numFmtId="37" fontId="3" fillId="0" borderId="7" xfId="22" applyNumberFormat="1" applyBorder="1" applyProtection="1"/>
    <xf numFmtId="37" fontId="3" fillId="0" borderId="8" xfId="22" applyNumberFormat="1" applyBorder="1" applyProtection="1"/>
    <xf numFmtId="37" fontId="3" fillId="0" borderId="1" xfId="22" applyBorder="1" applyAlignment="1" applyProtection="1">
      <alignment horizontal="left"/>
    </xf>
    <xf numFmtId="37" fontId="3" fillId="0" borderId="1" xfId="22" applyBorder="1"/>
    <xf numFmtId="37" fontId="3" fillId="0" borderId="1" xfId="22" applyNumberFormat="1" applyBorder="1" applyProtection="1"/>
    <xf numFmtId="37" fontId="3" fillId="0" borderId="9" xfId="22" applyNumberFormat="1" applyBorder="1" applyProtection="1"/>
    <xf numFmtId="37" fontId="3" fillId="0" borderId="10" xfId="22" applyNumberFormat="1" applyBorder="1" applyProtection="1"/>
    <xf numFmtId="37" fontId="3" fillId="0" borderId="0" xfId="22" applyNumberFormat="1" applyBorder="1" applyProtection="1"/>
    <xf numFmtId="37" fontId="8" fillId="0" borderId="1" xfId="22" applyFont="1" applyBorder="1" applyAlignment="1" applyProtection="1">
      <alignment horizontal="left"/>
    </xf>
    <xf numFmtId="37" fontId="3" fillId="0" borderId="1" xfId="22" applyBorder="1" applyAlignment="1" applyProtection="1">
      <alignment horizontal="fill"/>
    </xf>
    <xf numFmtId="37" fontId="3" fillId="0" borderId="1" xfId="22" applyNumberFormat="1" applyBorder="1" applyAlignment="1" applyProtection="1">
      <alignment horizontal="center"/>
    </xf>
    <xf numFmtId="10" fontId="3" fillId="0" borderId="0" xfId="22" applyNumberFormat="1" applyProtection="1"/>
    <xf numFmtId="10" fontId="3" fillId="0" borderId="1" xfId="22" applyNumberFormat="1" applyBorder="1" applyProtection="1"/>
    <xf numFmtId="37" fontId="3" fillId="0" borderId="0" xfId="22" applyFont="1" applyAlignment="1" applyProtection="1">
      <alignment horizontal="left"/>
    </xf>
    <xf numFmtId="37" fontId="3" fillId="0" borderId="0" xfId="22" applyFont="1"/>
    <xf numFmtId="37" fontId="3" fillId="0" borderId="0" xfId="22" applyNumberFormat="1" applyFont="1" applyProtection="1"/>
    <xf numFmtId="37" fontId="3" fillId="0" borderId="7" xfId="22" applyNumberFormat="1" applyFont="1" applyBorder="1" applyProtection="1"/>
    <xf numFmtId="37" fontId="3" fillId="0" borderId="8" xfId="22" applyNumberFormat="1" applyFont="1" applyBorder="1" applyProtection="1"/>
    <xf numFmtId="37" fontId="3" fillId="0" borderId="3" xfId="22" applyBorder="1"/>
    <xf numFmtId="37" fontId="3" fillId="0" borderId="3" xfId="22" applyNumberFormat="1" applyBorder="1" applyProtection="1"/>
    <xf numFmtId="37" fontId="3" fillId="0" borderId="3" xfId="22" applyNumberFormat="1" applyBorder="1" applyAlignment="1" applyProtection="1">
      <alignment horizontal="right"/>
    </xf>
    <xf numFmtId="37" fontId="8" fillId="0" borderId="4" xfId="22" applyFont="1" applyBorder="1" applyAlignment="1" applyProtection="1">
      <alignment horizontal="left"/>
    </xf>
    <xf numFmtId="37" fontId="8" fillId="0" borderId="4" xfId="22" applyFont="1" applyBorder="1"/>
    <xf numFmtId="37" fontId="8" fillId="0" borderId="4" xfId="22" applyNumberFormat="1" applyFont="1" applyBorder="1" applyProtection="1"/>
    <xf numFmtId="37" fontId="8" fillId="0" borderId="11" xfId="22" applyNumberFormat="1" applyFont="1" applyBorder="1" applyProtection="1"/>
    <xf numFmtId="37" fontId="8" fillId="0" borderId="12" xfId="22" applyNumberFormat="1" applyFont="1" applyBorder="1" applyProtection="1"/>
    <xf numFmtId="37" fontId="8" fillId="0" borderId="0" xfId="22" applyFont="1" applyBorder="1" applyAlignment="1" applyProtection="1">
      <alignment horizontal="left"/>
    </xf>
    <xf numFmtId="37" fontId="8" fillId="0" borderId="0" xfId="22" applyFont="1" applyBorder="1"/>
    <xf numFmtId="37" fontId="8" fillId="0" borderId="0" xfId="22" applyNumberFormat="1" applyFont="1" applyBorder="1" applyProtection="1"/>
    <xf numFmtId="0" fontId="0" fillId="0" borderId="0" xfId="0" applyFill="1"/>
    <xf numFmtId="37" fontId="2" fillId="0" borderId="0" xfId="1" applyFill="1" applyBorder="1">
      <alignment horizontal="right" wrapText="1"/>
    </xf>
    <xf numFmtId="37" fontId="9" fillId="0" borderId="0" xfId="19" applyFont="1" applyFill="1" applyProtection="1">
      <protection locked="0"/>
    </xf>
    <xf numFmtId="37" fontId="9" fillId="0" borderId="0" xfId="19" applyFont="1" applyFill="1"/>
    <xf numFmtId="5" fontId="9" fillId="0" borderId="0" xfId="19" applyNumberFormat="1" applyFont="1" applyFill="1" applyProtection="1">
      <protection locked="0"/>
    </xf>
    <xf numFmtId="10" fontId="9" fillId="0" borderId="0" xfId="19" applyNumberFormat="1" applyFont="1" applyFill="1" applyProtection="1">
      <protection locked="0"/>
    </xf>
    <xf numFmtId="7" fontId="9" fillId="0" borderId="0" xfId="19" applyNumberFormat="1" applyFont="1" applyFill="1" applyProtection="1">
      <protection locked="0"/>
    </xf>
    <xf numFmtId="37" fontId="9" fillId="0" borderId="1" xfId="19" applyFont="1" applyFill="1" applyBorder="1" applyProtection="1">
      <protection locked="0"/>
    </xf>
    <xf numFmtId="37" fontId="9" fillId="0" borderId="1" xfId="19" applyFont="1" applyFill="1" applyBorder="1"/>
    <xf numFmtId="7" fontId="10" fillId="0" borderId="0" xfId="19" applyNumberFormat="1" applyFont="1" applyFill="1" applyProtection="1">
      <protection locked="0"/>
    </xf>
    <xf numFmtId="37" fontId="10" fillId="0" borderId="0" xfId="19" applyFont="1" applyFill="1" applyAlignment="1" applyProtection="1">
      <alignment horizontal="left"/>
    </xf>
    <xf numFmtId="5" fontId="10" fillId="0" borderId="0" xfId="19" applyNumberFormat="1" applyFont="1" applyFill="1" applyProtection="1">
      <protection locked="0"/>
    </xf>
    <xf numFmtId="7" fontId="9" fillId="0" borderId="0" xfId="19" applyNumberFormat="1" applyFont="1" applyFill="1" applyProtection="1"/>
    <xf numFmtId="166" fontId="9" fillId="0" borderId="0" xfId="19" applyNumberFormat="1" applyFont="1" applyFill="1" applyProtection="1">
      <protection locked="0"/>
    </xf>
    <xf numFmtId="37" fontId="9" fillId="0" borderId="0" xfId="19" applyFont="1" applyFill="1" applyAlignment="1" applyProtection="1">
      <alignment horizontal="left"/>
    </xf>
    <xf numFmtId="5" fontId="9" fillId="0" borderId="1" xfId="19" applyNumberFormat="1" applyFont="1" applyFill="1" applyBorder="1" applyProtection="1">
      <protection locked="0"/>
    </xf>
    <xf numFmtId="7" fontId="10" fillId="0" borderId="0" xfId="19" applyNumberFormat="1" applyFont="1" applyFill="1" applyProtection="1"/>
    <xf numFmtId="5" fontId="10" fillId="0" borderId="0" xfId="19" applyNumberFormat="1" applyFont="1" applyFill="1" applyProtection="1"/>
    <xf numFmtId="9" fontId="3" fillId="0" borderId="0" xfId="22" applyNumberFormat="1"/>
    <xf numFmtId="37" fontId="3" fillId="0" borderId="0" xfId="16"/>
    <xf numFmtId="37" fontId="3" fillId="0" borderId="5" xfId="16" applyBorder="1"/>
    <xf numFmtId="164" fontId="3" fillId="0" borderId="5" xfId="9" applyBorder="1"/>
    <xf numFmtId="37" fontId="3" fillId="0" borderId="4" xfId="16" applyBorder="1"/>
    <xf numFmtId="37" fontId="14" fillId="0" borderId="0" xfId="16" applyFont="1" applyAlignment="1">
      <alignment horizontal="centerContinuous"/>
    </xf>
    <xf numFmtId="164" fontId="3" fillId="0" borderId="0" xfId="9"/>
    <xf numFmtId="37" fontId="8" fillId="0" borderId="0" xfId="16" applyFont="1"/>
    <xf numFmtId="37" fontId="3" fillId="0" borderId="1" xfId="16" applyBorder="1"/>
    <xf numFmtId="37" fontId="3" fillId="0" borderId="0" xfId="16" applyFont="1"/>
    <xf numFmtId="37" fontId="3" fillId="0" borderId="0" xfId="16" applyAlignment="1">
      <alignment horizontal="left"/>
    </xf>
    <xf numFmtId="164" fontId="3" fillId="0" borderId="1" xfId="9" applyBorder="1"/>
    <xf numFmtId="164" fontId="3" fillId="0" borderId="0" xfId="9" applyBorder="1"/>
    <xf numFmtId="10" fontId="8" fillId="0" borderId="0" xfId="23" applyNumberFormat="1" applyFont="1"/>
    <xf numFmtId="37" fontId="8" fillId="0" borderId="0" xfId="16" applyFont="1" applyBorder="1"/>
    <xf numFmtId="37" fontId="3" fillId="0" borderId="0" xfId="16" applyBorder="1"/>
    <xf numFmtId="37" fontId="4" fillId="0" borderId="0" xfId="24" applyFont="1">
      <alignment horizontal="centerContinuous"/>
    </xf>
    <xf numFmtId="37" fontId="3" fillId="0" borderId="0" xfId="17"/>
    <xf numFmtId="37" fontId="3" fillId="0" borderId="0" xfId="17" applyAlignment="1">
      <alignment wrapText="1"/>
    </xf>
    <xf numFmtId="37" fontId="4" fillId="0" borderId="0" xfId="24" applyFill="1">
      <alignment horizontal="centerContinuous"/>
    </xf>
    <xf numFmtId="37" fontId="3" fillId="0" borderId="0" xfId="13" applyFill="1"/>
    <xf numFmtId="5" fontId="3" fillId="0" borderId="0" xfId="7" applyNumberFormat="1" applyFill="1"/>
    <xf numFmtId="10" fontId="3" fillId="0" borderId="0" xfId="23" applyNumberFormat="1" applyFont="1" applyFill="1"/>
    <xf numFmtId="39" fontId="3" fillId="0" borderId="0" xfId="13" applyNumberFormat="1" applyFill="1"/>
    <xf numFmtId="37" fontId="3" fillId="0" borderId="0" xfId="14" applyFont="1" applyFill="1"/>
    <xf numFmtId="37" fontId="8" fillId="0" borderId="0" xfId="14" applyFont="1" applyFill="1" applyBorder="1"/>
    <xf numFmtId="5" fontId="9" fillId="2" borderId="0" xfId="19" applyNumberFormat="1" applyFont="1" applyFill="1" applyProtection="1">
      <protection locked="0"/>
    </xf>
    <xf numFmtId="0" fontId="0" fillId="2" borderId="0" xfId="0" applyFill="1"/>
    <xf numFmtId="0" fontId="0" fillId="0" borderId="0" xfId="0" quotePrefix="1"/>
    <xf numFmtId="5" fontId="3" fillId="2" borderId="0" xfId="7" applyNumberFormat="1" applyFill="1"/>
    <xf numFmtId="164" fontId="3" fillId="2" borderId="0" xfId="12" applyFill="1" applyProtection="1"/>
    <xf numFmtId="5" fontId="0" fillId="2" borderId="0" xfId="0" applyNumberFormat="1" applyFill="1"/>
    <xf numFmtId="10" fontId="0" fillId="0" borderId="1" xfId="0" applyNumberFormat="1" applyBorder="1"/>
    <xf numFmtId="37" fontId="3" fillId="2" borderId="0" xfId="22" applyNumberFormat="1" applyFill="1" applyProtection="1"/>
    <xf numFmtId="37" fontId="3" fillId="2" borderId="8" xfId="22" applyNumberFormat="1" applyFill="1" applyBorder="1" applyProtection="1"/>
    <xf numFmtId="37" fontId="3" fillId="0" borderId="0" xfId="19" applyAlignment="1">
      <alignment wrapText="1"/>
    </xf>
    <xf numFmtId="37" fontId="2" fillId="0" borderId="1" xfId="1" applyAlignment="1">
      <alignment horizontal="right" wrapText="1"/>
    </xf>
    <xf numFmtId="37" fontId="8" fillId="0" borderId="0" xfId="19" applyFont="1" applyFill="1" applyBorder="1" applyAlignment="1">
      <alignment horizontal="left" wrapText="1"/>
    </xf>
    <xf numFmtId="37" fontId="9" fillId="0" borderId="0" xfId="19" applyFont="1" applyFill="1" applyAlignment="1" applyProtection="1">
      <alignment horizontal="left" wrapText="1"/>
      <protection locked="0"/>
    </xf>
    <xf numFmtId="37" fontId="9" fillId="0" borderId="0" xfId="19" applyFont="1" applyFill="1" applyAlignment="1" applyProtection="1">
      <alignment wrapText="1"/>
      <protection locked="0"/>
    </xf>
    <xf numFmtId="37" fontId="9" fillId="0" borderId="1" xfId="19" applyFont="1" applyFill="1" applyBorder="1" applyAlignment="1" applyProtection="1">
      <alignment wrapText="1"/>
      <protection locked="0"/>
    </xf>
    <xf numFmtId="37" fontId="10" fillId="0" borderId="0" xfId="19" applyFont="1" applyFill="1" applyAlignment="1" applyProtection="1">
      <alignment horizontal="left" wrapText="1"/>
      <protection locked="0"/>
    </xf>
    <xf numFmtId="0" fontId="0" fillId="0" borderId="0" xfId="0" applyFill="1" applyAlignment="1">
      <alignment wrapText="1"/>
    </xf>
    <xf numFmtId="0" fontId="0" fillId="2" borderId="0" xfId="0" applyFill="1" applyAlignment="1">
      <alignment wrapText="1"/>
    </xf>
    <xf numFmtId="0" fontId="0" fillId="0" borderId="0" xfId="0" applyAlignment="1">
      <alignment wrapText="1"/>
    </xf>
    <xf numFmtId="171" fontId="9" fillId="0" borderId="0" xfId="6" applyNumberFormat="1" applyFont="1" applyFill="1" applyProtection="1">
      <protection locked="0"/>
    </xf>
    <xf numFmtId="7" fontId="0" fillId="0" borderId="0" xfId="0" applyNumberFormat="1"/>
    <xf numFmtId="164" fontId="8" fillId="0" borderId="3" xfId="8" applyFont="1" applyBorder="1" applyAlignment="1">
      <alignment horizontal="right"/>
    </xf>
    <xf numFmtId="0" fontId="15" fillId="0" borderId="0" xfId="0" applyFont="1" applyAlignment="1">
      <alignment horizontal="right"/>
    </xf>
    <xf numFmtId="0" fontId="15" fillId="0" borderId="0" xfId="0" applyFont="1"/>
    <xf numFmtId="0" fontId="15" fillId="0" borderId="0" xfId="0" applyFont="1" applyFill="1"/>
    <xf numFmtId="37" fontId="3" fillId="0" borderId="0" xfId="14" applyFont="1" applyFill="1" applyAlignment="1">
      <alignment horizontal="right"/>
    </xf>
    <xf numFmtId="37" fontId="8" fillId="0" borderId="0" xfId="14" applyFont="1" applyFill="1" applyBorder="1" applyAlignment="1">
      <alignment horizontal="left"/>
    </xf>
    <xf numFmtId="37" fontId="3" fillId="0" borderId="0" xfId="14" applyFont="1" applyFill="1" applyBorder="1"/>
    <xf numFmtId="37" fontId="3" fillId="0" borderId="0" xfId="14" applyFont="1" applyFill="1" applyBorder="1" applyAlignment="1">
      <alignment horizontal="right"/>
    </xf>
    <xf numFmtId="164" fontId="3" fillId="0" borderId="0" xfId="8" applyFont="1" applyFill="1" applyAlignment="1">
      <alignment horizontal="right"/>
    </xf>
    <xf numFmtId="37" fontId="3" fillId="0" borderId="0" xfId="14" applyNumberFormat="1" applyFont="1" applyFill="1" applyBorder="1" applyAlignment="1">
      <alignment horizontal="right"/>
    </xf>
    <xf numFmtId="37" fontId="3" fillId="0" borderId="1" xfId="14" applyFont="1" applyFill="1" applyBorder="1" applyAlignment="1">
      <alignment horizontal="right"/>
    </xf>
    <xf numFmtId="37" fontId="3" fillId="0" borderId="0" xfId="14" applyFont="1" applyBorder="1" applyAlignment="1">
      <alignment horizontal="right"/>
    </xf>
    <xf numFmtId="37" fontId="3" fillId="0" borderId="0" xfId="14" applyFont="1" applyAlignment="1">
      <alignment horizontal="right"/>
    </xf>
    <xf numFmtId="164" fontId="3" fillId="0" borderId="0" xfId="8" applyFont="1" applyBorder="1" applyAlignment="1">
      <alignment horizontal="right"/>
    </xf>
    <xf numFmtId="0" fontId="15" fillId="0" borderId="0" xfId="0" applyFont="1" applyAlignment="1">
      <alignment horizontal="left"/>
    </xf>
    <xf numFmtId="0" fontId="15" fillId="0" borderId="0" xfId="0" applyFont="1" applyFill="1" applyAlignment="1">
      <alignment horizontal="left"/>
    </xf>
    <xf numFmtId="37" fontId="3" fillId="0" borderId="0" xfId="14" applyFont="1" applyFill="1" applyAlignment="1">
      <alignment horizontal="left"/>
    </xf>
    <xf numFmtId="37" fontId="3" fillId="0" borderId="0" xfId="14" applyFont="1" applyFill="1" applyBorder="1" applyAlignment="1">
      <alignment horizontal="left"/>
    </xf>
    <xf numFmtId="37" fontId="16" fillId="0" borderId="0" xfId="14" applyFont="1" applyFill="1" applyAlignment="1" applyProtection="1">
      <alignment horizontal="left"/>
      <protection locked="0"/>
    </xf>
    <xf numFmtId="37" fontId="3" fillId="0" borderId="0" xfId="14" applyFont="1" applyAlignment="1">
      <alignment horizontal="left"/>
    </xf>
    <xf numFmtId="37" fontId="8" fillId="0" borderId="0" xfId="14" applyFont="1" applyAlignment="1">
      <alignment horizontal="left"/>
    </xf>
    <xf numFmtId="37" fontId="8" fillId="0" borderId="0" xfId="14" applyFont="1" applyBorder="1" applyAlignment="1">
      <alignment horizontal="left"/>
    </xf>
    <xf numFmtId="37" fontId="3" fillId="0" borderId="0" xfId="14" applyFont="1" applyFill="1" applyBorder="1" applyAlignment="1">
      <alignment horizontal="left" wrapText="1"/>
    </xf>
    <xf numFmtId="172" fontId="0" fillId="0" borderId="0" xfId="2" applyNumberFormat="1" applyFont="1"/>
    <xf numFmtId="172" fontId="3" fillId="0" borderId="0" xfId="2" applyNumberFormat="1" applyFont="1"/>
    <xf numFmtId="172" fontId="5" fillId="0" borderId="0" xfId="2" applyNumberFormat="1" applyFont="1" applyBorder="1" applyAlignment="1">
      <alignment horizontal="right" wrapText="1"/>
    </xf>
    <xf numFmtId="172" fontId="3" fillId="2" borderId="0" xfId="2" applyNumberFormat="1" applyFont="1" applyFill="1" applyProtection="1"/>
    <xf numFmtId="172" fontId="3" fillId="0" borderId="0" xfId="2" applyNumberFormat="1" applyFont="1" applyProtection="1"/>
    <xf numFmtId="172" fontId="3" fillId="0" borderId="0" xfId="2" applyNumberFormat="1" applyFont="1" applyBorder="1" applyProtection="1"/>
    <xf numFmtId="172" fontId="3" fillId="0" borderId="0" xfId="2" applyNumberFormat="1" applyFont="1" applyBorder="1" applyAlignment="1" applyProtection="1">
      <alignment horizontal="fill"/>
    </xf>
    <xf numFmtId="172" fontId="3" fillId="0" borderId="1" xfId="2" applyNumberFormat="1" applyFont="1" applyBorder="1" applyProtection="1"/>
    <xf numFmtId="172" fontId="3" fillId="0" borderId="1" xfId="2" applyNumberFormat="1" applyFont="1" applyBorder="1" applyAlignment="1" applyProtection="1">
      <alignment horizontal="fill"/>
    </xf>
    <xf numFmtId="172" fontId="3" fillId="0" borderId="5" xfId="2" applyNumberFormat="1" applyFont="1" applyBorder="1" applyProtection="1"/>
    <xf numFmtId="172" fontId="3" fillId="0" borderId="0" xfId="2" applyNumberFormat="1" applyFont="1" applyBorder="1" applyAlignment="1" applyProtection="1">
      <alignment horizontal="left"/>
    </xf>
    <xf numFmtId="172" fontId="3" fillId="0" borderId="1" xfId="2" applyNumberFormat="1" applyFont="1" applyBorder="1" applyAlignment="1" applyProtection="1">
      <alignment horizontal="left"/>
    </xf>
    <xf numFmtId="172" fontId="3" fillId="0" borderId="3" xfId="2" applyNumberFormat="1" applyFont="1" applyBorder="1" applyProtection="1"/>
    <xf numFmtId="172" fontId="3" fillId="0" borderId="13" xfId="2" applyNumberFormat="1" applyFont="1" applyBorder="1" applyProtection="1"/>
    <xf numFmtId="172" fontId="3" fillId="0" borderId="0" xfId="2" applyNumberFormat="1" applyFont="1" applyAlignment="1" applyProtection="1">
      <alignment horizontal="left"/>
    </xf>
    <xf numFmtId="172" fontId="3" fillId="0" borderId="0" xfId="2" applyNumberFormat="1" applyFont="1" applyAlignment="1" applyProtection="1">
      <alignment horizontal="fill"/>
    </xf>
    <xf numFmtId="172" fontId="3" fillId="0" borderId="0" xfId="2" applyNumberFormat="1" applyFont="1" applyBorder="1" applyAlignment="1" applyProtection="1">
      <alignment horizontal="right"/>
    </xf>
    <xf numFmtId="172" fontId="3" fillId="0" borderId="1" xfId="2" applyNumberFormat="1" applyFont="1" applyBorder="1" applyAlignment="1" applyProtection="1">
      <alignment horizontal="right"/>
    </xf>
    <xf numFmtId="172" fontId="3" fillId="0" borderId="0" xfId="2" applyNumberFormat="1" applyFont="1" applyBorder="1"/>
    <xf numFmtId="172" fontId="0" fillId="0" borderId="1" xfId="2" applyNumberFormat="1" applyFont="1" applyBorder="1"/>
    <xf numFmtId="172" fontId="0" fillId="0" borderId="5" xfId="2" applyNumberFormat="1" applyFont="1" applyBorder="1"/>
    <xf numFmtId="172" fontId="0" fillId="0" borderId="13" xfId="2" applyNumberFormat="1" applyFont="1" applyBorder="1"/>
    <xf numFmtId="0" fontId="17" fillId="0" borderId="0" xfId="0" applyFont="1"/>
    <xf numFmtId="164" fontId="8" fillId="0" borderId="0" xfId="4" applyNumberFormat="1" applyFont="1" applyFill="1" applyBorder="1" applyAlignment="1">
      <alignment horizontal="right"/>
    </xf>
    <xf numFmtId="37" fontId="3" fillId="0" borderId="0" xfId="15" applyFont="1"/>
    <xf numFmtId="0" fontId="15" fillId="0" borderId="0" xfId="0" applyFont="1" applyFill="1" applyAlignment="1">
      <alignment horizontal="left" wrapText="1"/>
    </xf>
    <xf numFmtId="37" fontId="3" fillId="0" borderId="0" xfId="14" applyFont="1" applyFill="1" applyAlignment="1">
      <alignment horizontal="left" wrapText="1"/>
    </xf>
    <xf numFmtId="37" fontId="2" fillId="0" borderId="0" xfId="14" applyFont="1" applyFill="1" applyBorder="1" applyAlignment="1">
      <alignment horizontal="left" wrapText="1"/>
    </xf>
    <xf numFmtId="7" fontId="9" fillId="0" borderId="0" xfId="14" applyNumberFormat="1" applyFont="1" applyFill="1" applyAlignment="1" applyProtection="1">
      <alignment horizontal="left"/>
      <protection locked="0"/>
    </xf>
    <xf numFmtId="5" fontId="3" fillId="0" borderId="0" xfId="6" applyNumberFormat="1" applyFont="1" applyFill="1" applyAlignment="1">
      <alignment horizontal="left"/>
    </xf>
    <xf numFmtId="5" fontId="3" fillId="0" borderId="0" xfId="14" applyNumberFormat="1" applyFont="1" applyFill="1" applyAlignment="1">
      <alignment horizontal="left"/>
    </xf>
    <xf numFmtId="9" fontId="3" fillId="0" borderId="0" xfId="14" applyNumberFormat="1" applyFont="1" applyFill="1" applyAlignment="1">
      <alignment horizontal="left"/>
    </xf>
    <xf numFmtId="9" fontId="3" fillId="0" borderId="0" xfId="23" applyFont="1" applyFill="1" applyAlignment="1">
      <alignment horizontal="left"/>
    </xf>
    <xf numFmtId="5" fontId="3" fillId="2" borderId="0" xfId="8" applyNumberFormat="1" applyFont="1" applyFill="1" applyAlignment="1">
      <alignment horizontal="left"/>
    </xf>
    <xf numFmtId="10" fontId="3" fillId="0" borderId="0" xfId="23" applyNumberFormat="1" applyFont="1" applyFill="1" applyAlignment="1">
      <alignment horizontal="left"/>
    </xf>
    <xf numFmtId="37" fontId="3" fillId="0" borderId="0" xfId="4" applyFont="1" applyFill="1" applyAlignment="1">
      <alignment horizontal="left"/>
    </xf>
    <xf numFmtId="37" fontId="8" fillId="0" borderId="0" xfId="14" applyFont="1" applyFill="1" applyAlignment="1">
      <alignment horizontal="left" wrapText="1"/>
    </xf>
    <xf numFmtId="37" fontId="8" fillId="0" borderId="0" xfId="14" applyFont="1" applyFill="1" applyAlignment="1">
      <alignment horizontal="left"/>
    </xf>
    <xf numFmtId="37" fontId="8" fillId="0" borderId="0" xfId="14" applyFont="1" applyFill="1" applyBorder="1" applyAlignment="1">
      <alignment horizontal="left" wrapText="1"/>
    </xf>
    <xf numFmtId="168" fontId="0" fillId="0" borderId="0" xfId="6" applyNumberFormat="1" applyFont="1"/>
    <xf numFmtId="3" fontId="0" fillId="0" borderId="0" xfId="6" applyNumberFormat="1" applyFont="1"/>
    <xf numFmtId="168" fontId="17" fillId="0" borderId="0" xfId="6" applyNumberFormat="1" applyFont="1"/>
    <xf numFmtId="37" fontId="18" fillId="0" borderId="0" xfId="18" applyFont="1" applyFill="1" applyAlignment="1">
      <alignment horizontal="left"/>
    </xf>
    <xf numFmtId="37" fontId="18" fillId="0" borderId="0" xfId="18" applyFont="1" applyFill="1"/>
    <xf numFmtId="7" fontId="18" fillId="0" borderId="0" xfId="10" applyNumberFormat="1" applyFont="1" applyFill="1"/>
    <xf numFmtId="5" fontId="18" fillId="0" borderId="0" xfId="10" applyNumberFormat="1" applyFont="1" applyFill="1"/>
    <xf numFmtId="37" fontId="18" fillId="0" borderId="1" xfId="18" applyFont="1" applyFill="1" applyBorder="1" applyAlignment="1">
      <alignment horizontal="left"/>
    </xf>
    <xf numFmtId="7" fontId="18" fillId="0" borderId="1" xfId="10" applyNumberFormat="1" applyFont="1" applyFill="1" applyBorder="1" applyAlignment="1">
      <alignment horizontal="left"/>
    </xf>
    <xf numFmtId="37" fontId="18" fillId="0" borderId="1" xfId="18" applyFont="1" applyFill="1" applyBorder="1" applyAlignment="1">
      <alignment horizontal="right"/>
    </xf>
    <xf numFmtId="7" fontId="18" fillId="0" borderId="1" xfId="10" applyNumberFormat="1" applyFont="1" applyFill="1" applyBorder="1" applyAlignment="1">
      <alignment horizontal="right"/>
    </xf>
    <xf numFmtId="5" fontId="18" fillId="0" borderId="1" xfId="10" applyNumberFormat="1" applyFont="1" applyFill="1" applyBorder="1" applyAlignment="1">
      <alignment horizontal="right"/>
    </xf>
    <xf numFmtId="44" fontId="18" fillId="0" borderId="0" xfId="6" applyFont="1" applyFill="1"/>
    <xf numFmtId="6" fontId="18" fillId="0" borderId="0" xfId="18" applyNumberFormat="1" applyFont="1" applyFill="1"/>
    <xf numFmtId="6" fontId="18" fillId="0" borderId="1" xfId="0" applyNumberFormat="1" applyFont="1" applyFill="1" applyBorder="1"/>
    <xf numFmtId="0" fontId="18" fillId="0" borderId="0" xfId="0" applyFont="1"/>
    <xf numFmtId="0" fontId="18" fillId="0" borderId="1" xfId="0" applyFont="1" applyFill="1" applyBorder="1"/>
    <xf numFmtId="37" fontId="3" fillId="0" borderId="8" xfId="15" applyBorder="1"/>
    <xf numFmtId="37" fontId="3" fillId="2" borderId="0" xfId="15" applyFill="1" applyBorder="1"/>
    <xf numFmtId="172" fontId="0" fillId="0" borderId="0" xfId="2" applyNumberFormat="1" applyFont="1" applyBorder="1"/>
    <xf numFmtId="172" fontId="3" fillId="0" borderId="0" xfId="2" applyNumberFormat="1" applyFont="1" applyFill="1" applyAlignment="1">
      <alignment wrapText="1"/>
    </xf>
    <xf numFmtId="172" fontId="0" fillId="2" borderId="0" xfId="2" applyNumberFormat="1" applyFont="1" applyFill="1"/>
    <xf numFmtId="172" fontId="3" fillId="0" borderId="0" xfId="2" applyNumberFormat="1" applyFont="1" applyFill="1" applyBorder="1"/>
    <xf numFmtId="37" fontId="3" fillId="0" borderId="4" xfId="15" applyFont="1" applyBorder="1"/>
    <xf numFmtId="172" fontId="3" fillId="0" borderId="0" xfId="2" applyNumberFormat="1" applyFont="1" applyBorder="1" applyAlignment="1">
      <alignment horizontal="left"/>
    </xf>
    <xf numFmtId="37" fontId="3" fillId="0" borderId="0" xfId="22" applyNumberFormat="1" applyFont="1" applyBorder="1" applyProtection="1"/>
    <xf numFmtId="37" fontId="3" fillId="0" borderId="0" xfId="22" quotePrefix="1" applyFont="1" applyAlignment="1" applyProtection="1">
      <alignment horizontal="left"/>
    </xf>
    <xf numFmtId="37" fontId="3" fillId="2" borderId="8" xfId="22" applyNumberFormat="1" applyFont="1" applyFill="1" applyBorder="1" applyProtection="1"/>
    <xf numFmtId="37" fontId="3" fillId="2" borderId="7" xfId="22" applyNumberFormat="1" applyFill="1" applyBorder="1" applyProtection="1"/>
    <xf numFmtId="172" fontId="4" fillId="0" borderId="0" xfId="2" applyNumberFormat="1" applyFont="1" applyAlignment="1">
      <alignment horizontal="centerContinuous" wrapText="1"/>
    </xf>
    <xf numFmtId="172" fontId="3" fillId="0" borderId="8" xfId="2" applyNumberFormat="1" applyFont="1" applyBorder="1" applyProtection="1"/>
    <xf numFmtId="0" fontId="0" fillId="0" borderId="7" xfId="0" applyBorder="1"/>
    <xf numFmtId="37" fontId="3" fillId="0" borderId="1" xfId="15" applyFont="1" applyBorder="1"/>
    <xf numFmtId="172" fontId="0" fillId="0" borderId="9" xfId="2" applyNumberFormat="1" applyFont="1" applyBorder="1"/>
    <xf numFmtId="37" fontId="3" fillId="0" borderId="0" xfId="17" applyFont="1" applyAlignment="1">
      <alignment wrapText="1"/>
    </xf>
    <xf numFmtId="0" fontId="19" fillId="0" borderId="0" xfId="0" applyFont="1"/>
    <xf numFmtId="37" fontId="19" fillId="0" borderId="0" xfId="0" applyNumberFormat="1" applyFont="1"/>
    <xf numFmtId="0" fontId="17" fillId="0" borderId="0" xfId="0" applyFont="1" applyAlignment="1">
      <alignment wrapText="1"/>
    </xf>
    <xf numFmtId="0" fontId="17" fillId="0" borderId="0" xfId="0" applyFont="1" applyAlignment="1">
      <alignment horizontal="left" wrapText="1"/>
    </xf>
    <xf numFmtId="37" fontId="3" fillId="0" borderId="0" xfId="18" applyAlignment="1">
      <alignment horizontal="right"/>
    </xf>
    <xf numFmtId="37" fontId="18" fillId="0" borderId="0" xfId="18" applyFont="1" applyFill="1" applyAlignment="1">
      <alignment horizontal="right"/>
    </xf>
    <xf numFmtId="0" fontId="18" fillId="0" borderId="1" xfId="0" applyFont="1" applyFill="1" applyBorder="1" applyAlignment="1">
      <alignment horizontal="right"/>
    </xf>
    <xf numFmtId="37" fontId="2" fillId="0" borderId="0" xfId="1" applyFont="1" applyFill="1" applyBorder="1">
      <alignment horizontal="right" wrapText="1"/>
    </xf>
    <xf numFmtId="0" fontId="0" fillId="0" borderId="0" xfId="0" applyAlignment="1">
      <alignment horizontal="right"/>
    </xf>
    <xf numFmtId="0" fontId="17" fillId="0" borderId="0" xfId="0" applyFont="1" applyAlignment="1">
      <alignment horizontal="left"/>
    </xf>
    <xf numFmtId="165" fontId="20" fillId="0" borderId="1" xfId="25" applyFont="1" applyBorder="1">
      <alignment horizontal="right" wrapText="1"/>
    </xf>
    <xf numFmtId="172" fontId="3" fillId="0" borderId="0" xfId="2" applyNumberFormat="1" applyFont="1" applyFill="1" applyBorder="1" applyProtection="1"/>
    <xf numFmtId="5" fontId="21" fillId="0" borderId="0" xfId="0" applyNumberFormat="1" applyFont="1"/>
    <xf numFmtId="0" fontId="21" fillId="0" borderId="0" xfId="0" applyFont="1"/>
    <xf numFmtId="37" fontId="21" fillId="0" borderId="0" xfId="0" applyNumberFormat="1" applyFont="1"/>
    <xf numFmtId="172" fontId="21" fillId="0" borderId="0" xfId="2" applyNumberFormat="1" applyFont="1"/>
    <xf numFmtId="10" fontId="3" fillId="2" borderId="7" xfId="22" applyNumberFormat="1" applyFill="1" applyBorder="1" applyProtection="1"/>
    <xf numFmtId="37" fontId="18" fillId="0" borderId="0" xfId="18" applyFont="1" applyFill="1" applyAlignment="1">
      <alignment horizontal="left" indent="1"/>
    </xf>
    <xf numFmtId="0" fontId="18" fillId="0" borderId="1" xfId="0" applyFont="1" applyFill="1" applyBorder="1" applyAlignment="1">
      <alignment horizontal="left" indent="1"/>
    </xf>
    <xf numFmtId="5" fontId="18" fillId="0" borderId="0" xfId="6" applyNumberFormat="1" applyFont="1" applyFill="1"/>
    <xf numFmtId="5" fontId="18" fillId="0" borderId="1" xfId="0" applyNumberFormat="1" applyFont="1" applyFill="1" applyBorder="1"/>
    <xf numFmtId="0" fontId="0" fillId="0" borderId="0" xfId="0" applyAlignment="1"/>
    <xf numFmtId="37" fontId="9" fillId="0" borderId="0" xfId="19" applyFont="1" applyFill="1" applyBorder="1"/>
    <xf numFmtId="5" fontId="9" fillId="0" borderId="0" xfId="19" applyNumberFormat="1" applyFont="1" applyFill="1" applyBorder="1" applyProtection="1">
      <protection locked="0"/>
    </xf>
    <xf numFmtId="167" fontId="0" fillId="0" borderId="0" xfId="0" applyNumberFormat="1"/>
    <xf numFmtId="5" fontId="9" fillId="0" borderId="0" xfId="19" applyNumberFormat="1" applyFont="1" applyFill="1" applyProtection="1"/>
    <xf numFmtId="0" fontId="3" fillId="0" borderId="0" xfId="0" applyFont="1"/>
    <xf numFmtId="0" fontId="3" fillId="0" borderId="0" xfId="0" applyFont="1" applyFill="1" applyAlignment="1">
      <alignment horizontal="left"/>
    </xf>
    <xf numFmtId="0" fontId="3" fillId="0" borderId="0" xfId="0" applyFont="1" applyFill="1" applyAlignment="1">
      <alignment horizontal="left" wrapText="1"/>
    </xf>
    <xf numFmtId="10" fontId="3" fillId="0" borderId="0" xfId="0" applyNumberFormat="1" applyFont="1" applyFill="1" applyAlignment="1">
      <alignment horizontal="left"/>
    </xf>
    <xf numFmtId="6" fontId="3" fillId="0" borderId="0" xfId="0" applyNumberFormat="1" applyFont="1" applyFill="1" applyAlignment="1">
      <alignment horizontal="left"/>
    </xf>
    <xf numFmtId="37" fontId="9" fillId="0" borderId="0" xfId="19" applyFont="1" applyFill="1" applyBorder="1" applyAlignment="1" applyProtection="1">
      <alignment wrapText="1"/>
      <protection locked="0"/>
    </xf>
    <xf numFmtId="37" fontId="8" fillId="0" borderId="0" xfId="13" applyFont="1" applyAlignment="1">
      <alignment horizontal="left" indent="1"/>
    </xf>
    <xf numFmtId="37" fontId="3" fillId="0" borderId="0" xfId="13" applyFont="1" applyAlignment="1">
      <alignment horizontal="left" indent="1"/>
    </xf>
    <xf numFmtId="37" fontId="3" fillId="0" borderId="0" xfId="13" applyAlignment="1">
      <alignment horizontal="left" indent="1"/>
    </xf>
    <xf numFmtId="5" fontId="3" fillId="0" borderId="1" xfId="7" applyNumberFormat="1" applyFill="1" applyBorder="1"/>
    <xf numFmtId="10" fontId="3" fillId="0" borderId="1" xfId="23" applyNumberFormat="1" applyFont="1" applyFill="1" applyBorder="1"/>
    <xf numFmtId="167" fontId="0" fillId="0" borderId="0" xfId="0" applyNumberFormat="1" applyBorder="1"/>
    <xf numFmtId="37" fontId="2" fillId="0" borderId="0" xfId="13" applyFont="1"/>
    <xf numFmtId="10" fontId="0" fillId="0" borderId="0" xfId="23" applyNumberFormat="1" applyFont="1"/>
    <xf numFmtId="5" fontId="15" fillId="0" borderId="0" xfId="0" applyNumberFormat="1" applyFont="1"/>
    <xf numFmtId="43" fontId="15" fillId="0" borderId="0" xfId="2" applyFont="1"/>
    <xf numFmtId="43" fontId="15" fillId="0" borderId="0" xfId="0" applyNumberFormat="1" applyFont="1"/>
    <xf numFmtId="0" fontId="0" fillId="0" borderId="0" xfId="0" applyAlignment="1">
      <alignment horizontal="left" indent="1"/>
    </xf>
    <xf numFmtId="37" fontId="3" fillId="0" borderId="0" xfId="21" applyFont="1" applyAlignment="1" applyProtection="1">
      <alignment horizontal="left"/>
    </xf>
    <xf numFmtId="37" fontId="3" fillId="0" borderId="0" xfId="21" applyAlignment="1"/>
    <xf numFmtId="172" fontId="3" fillId="0" borderId="0" xfId="2" applyNumberFormat="1" applyFont="1" applyAlignment="1" applyProtection="1"/>
    <xf numFmtId="0" fontId="0" fillId="0" borderId="0" xfId="0" applyFill="1" applyAlignment="1">
      <alignment horizontal="left"/>
    </xf>
    <xf numFmtId="0" fontId="3" fillId="0" borderId="0" xfId="0" applyFont="1" applyAlignment="1">
      <alignment horizontal="left"/>
    </xf>
    <xf numFmtId="37" fontId="3" fillId="0" borderId="0" xfId="0" applyNumberFormat="1" applyFont="1"/>
    <xf numFmtId="37" fontId="3" fillId="0" borderId="1" xfId="0" applyNumberFormat="1" applyFont="1" applyBorder="1"/>
    <xf numFmtId="37" fontId="3" fillId="0" borderId="0" xfId="0" applyNumberFormat="1" applyFont="1" applyBorder="1"/>
    <xf numFmtId="171" fontId="3" fillId="0" borderId="0" xfId="6" applyNumberFormat="1" applyFont="1"/>
    <xf numFmtId="165" fontId="8" fillId="0" borderId="0" xfId="24" applyNumberFormat="1" applyFont="1" applyBorder="1" applyAlignment="1">
      <alignment horizontal="centerContinuous" wrapText="1"/>
    </xf>
    <xf numFmtId="172" fontId="8" fillId="0" borderId="0" xfId="2" applyNumberFormat="1" applyFont="1" applyAlignment="1">
      <alignment horizontal="centerContinuous"/>
    </xf>
    <xf numFmtId="0" fontId="8" fillId="0" borderId="0" xfId="0" applyFont="1"/>
    <xf numFmtId="37" fontId="9" fillId="2" borderId="0" xfId="4" applyNumberFormat="1" applyFont="1" applyFill="1" applyAlignment="1" applyProtection="1">
      <alignment horizontal="right"/>
      <protection locked="0"/>
    </xf>
    <xf numFmtId="37" fontId="3" fillId="2" borderId="0" xfId="14" applyFont="1" applyFill="1" applyBorder="1" applyAlignment="1">
      <alignment horizontal="right" wrapText="1"/>
    </xf>
    <xf numFmtId="174" fontId="9" fillId="0" borderId="0" xfId="23" applyNumberFormat="1" applyFont="1" applyFill="1" applyAlignment="1" applyProtection="1">
      <alignment horizontal="left"/>
      <protection locked="0"/>
    </xf>
    <xf numFmtId="175" fontId="9" fillId="0" borderId="0" xfId="4" applyNumberFormat="1" applyFont="1" applyFill="1" applyAlignment="1" applyProtection="1">
      <alignment horizontal="left"/>
      <protection locked="0"/>
    </xf>
    <xf numFmtId="37" fontId="3" fillId="0" borderId="1" xfId="4" applyFont="1" applyBorder="1" applyAlignment="1">
      <alignment horizontal="right"/>
    </xf>
    <xf numFmtId="37" fontId="3" fillId="0" borderId="0" xfId="8" applyNumberFormat="1" applyFont="1" applyFill="1" applyAlignment="1">
      <alignment horizontal="right"/>
    </xf>
    <xf numFmtId="37" fontId="3" fillId="0" borderId="0" xfId="8" applyNumberFormat="1" applyFont="1" applyFill="1" applyBorder="1" applyAlignment="1">
      <alignment horizontal="right"/>
    </xf>
    <xf numFmtId="37" fontId="3" fillId="0" borderId="1" xfId="8" applyNumberFormat="1" applyFont="1" applyFill="1" applyBorder="1" applyAlignment="1">
      <alignment horizontal="right"/>
    </xf>
    <xf numFmtId="37" fontId="3" fillId="2" borderId="0" xfId="0" applyNumberFormat="1" applyFont="1" applyFill="1"/>
    <xf numFmtId="164" fontId="8" fillId="0" borderId="0" xfId="8" applyFont="1" applyFill="1" applyAlignment="1">
      <alignment horizontal="right"/>
    </xf>
    <xf numFmtId="164" fontId="8" fillId="0" borderId="13" xfId="8" applyFont="1" applyFill="1" applyBorder="1" applyAlignment="1">
      <alignment horizontal="right"/>
    </xf>
    <xf numFmtId="37" fontId="3" fillId="0" borderId="0" xfId="6" applyNumberFormat="1" applyFont="1" applyBorder="1"/>
    <xf numFmtId="0" fontId="3" fillId="0" borderId="0" xfId="0" applyFont="1" applyBorder="1"/>
    <xf numFmtId="37" fontId="3" fillId="0" borderId="0" xfId="0" applyNumberFormat="1" applyFont="1" applyBorder="1" applyProtection="1"/>
    <xf numFmtId="37" fontId="3" fillId="0" borderId="0" xfId="6" applyNumberFormat="1" applyFont="1" applyBorder="1" applyProtection="1"/>
    <xf numFmtId="10" fontId="3" fillId="0" borderId="0" xfId="23" applyNumberFormat="1" applyFont="1" applyBorder="1"/>
    <xf numFmtId="176" fontId="5" fillId="0" borderId="1" xfId="2" applyNumberFormat="1" applyFont="1" applyBorder="1" applyAlignment="1">
      <alignment horizontal="right" wrapText="1"/>
    </xf>
    <xf numFmtId="37" fontId="3" fillId="0" borderId="0" xfId="21" applyFont="1" applyAlignment="1">
      <alignment horizontal="right"/>
    </xf>
    <xf numFmtId="176" fontId="2" fillId="0" borderId="0" xfId="0" applyNumberFormat="1" applyFont="1"/>
    <xf numFmtId="176" fontId="2" fillId="0" borderId="0" xfId="0" applyNumberFormat="1" applyFont="1" applyBorder="1"/>
    <xf numFmtId="165" fontId="3" fillId="0" borderId="0" xfId="24" applyNumberFormat="1" applyFont="1" applyBorder="1" applyAlignment="1">
      <alignment horizontal="left" wrapText="1"/>
    </xf>
    <xf numFmtId="165" fontId="3" fillId="0" borderId="0" xfId="24" applyNumberFormat="1" applyFont="1" applyBorder="1" applyAlignment="1">
      <alignment horizontal="centerContinuous" wrapText="1"/>
    </xf>
    <xf numFmtId="168" fontId="3" fillId="0" borderId="1" xfId="23" applyNumberFormat="1" applyFont="1" applyBorder="1"/>
    <xf numFmtId="164" fontId="3" fillId="0" borderId="0" xfId="12" applyFill="1" applyProtection="1"/>
    <xf numFmtId="0" fontId="15" fillId="0" borderId="0" xfId="0" applyFont="1" applyAlignment="1">
      <alignment horizontal="left" indent="1"/>
    </xf>
    <xf numFmtId="0" fontId="15" fillId="0" borderId="0" xfId="0" applyFont="1" applyAlignment="1">
      <alignment horizontal="left" indent="2"/>
    </xf>
    <xf numFmtId="37" fontId="15" fillId="0" borderId="0" xfId="0" applyNumberFormat="1" applyFont="1"/>
    <xf numFmtId="9" fontId="15" fillId="0" borderId="0" xfId="0" applyNumberFormat="1" applyFont="1"/>
    <xf numFmtId="177" fontId="15" fillId="0" borderId="0" xfId="0" applyNumberFormat="1" applyFont="1"/>
    <xf numFmtId="172" fontId="3" fillId="2" borderId="0" xfId="2" applyNumberFormat="1" applyFont="1" applyFill="1" applyBorder="1" applyProtection="1"/>
    <xf numFmtId="37" fontId="3" fillId="0" borderId="1" xfId="21" applyBorder="1" applyAlignment="1" applyProtection="1">
      <alignment horizontal="fill"/>
    </xf>
    <xf numFmtId="37" fontId="0" fillId="2" borderId="0" xfId="6" applyNumberFormat="1" applyFont="1" applyFill="1"/>
    <xf numFmtId="37" fontId="0" fillId="0" borderId="0" xfId="6" applyNumberFormat="1" applyFont="1"/>
    <xf numFmtId="37" fontId="19" fillId="2" borderId="1" xfId="6" applyNumberFormat="1" applyFont="1" applyFill="1" applyBorder="1"/>
    <xf numFmtId="37" fontId="17" fillId="0" borderId="0" xfId="6" applyNumberFormat="1" applyFont="1"/>
    <xf numFmtId="172" fontId="3" fillId="0" borderId="1" xfId="2" applyNumberFormat="1" applyFont="1" applyBorder="1" applyAlignment="1">
      <alignment horizontal="left"/>
    </xf>
    <xf numFmtId="37" fontId="2" fillId="0" borderId="0" xfId="21" applyFont="1" applyAlignment="1" applyProtection="1">
      <alignment horizontal="left"/>
    </xf>
    <xf numFmtId="37" fontId="2" fillId="0" borderId="0" xfId="21" applyFont="1"/>
    <xf numFmtId="172" fontId="2" fillId="0" borderId="0" xfId="2" applyNumberFormat="1" applyFont="1" applyBorder="1" applyProtection="1"/>
    <xf numFmtId="37" fontId="7" fillId="0" borderId="0" xfId="19" applyFont="1" applyFill="1" applyBorder="1"/>
    <xf numFmtId="37" fontId="7" fillId="0" borderId="1" xfId="19" applyFont="1" applyFill="1" applyBorder="1"/>
    <xf numFmtId="37" fontId="2" fillId="0" borderId="0" xfId="21" applyFont="1" applyAlignment="1">
      <alignment horizontal="right"/>
    </xf>
    <xf numFmtId="37" fontId="2" fillId="0" borderId="0" xfId="21" applyFont="1" applyAlignment="1">
      <alignment horizontal="left" indent="1"/>
    </xf>
    <xf numFmtId="37" fontId="3" fillId="0" borderId="0" xfId="21" applyFont="1" applyAlignment="1">
      <alignment horizontal="left" indent="1"/>
    </xf>
    <xf numFmtId="37" fontId="2" fillId="0" borderId="0" xfId="21" applyNumberFormat="1" applyFont="1" applyProtection="1"/>
    <xf numFmtId="172" fontId="2" fillId="0" borderId="0" xfId="2" applyNumberFormat="1" applyFont="1" applyProtection="1"/>
    <xf numFmtId="178" fontId="3" fillId="0" borderId="0" xfId="23" applyNumberFormat="1" applyFont="1" applyAlignment="1" applyProtection="1">
      <alignment horizontal="left"/>
    </xf>
    <xf numFmtId="181" fontId="3" fillId="0" borderId="0" xfId="21" applyNumberFormat="1"/>
    <xf numFmtId="174" fontId="3" fillId="0" borderId="0" xfId="21" applyNumberFormat="1" applyProtection="1"/>
    <xf numFmtId="172" fontId="3" fillId="0" borderId="14" xfId="2" applyNumberFormat="1" applyFont="1" applyBorder="1" applyProtection="1"/>
    <xf numFmtId="174" fontId="2" fillId="0" borderId="0" xfId="21" applyNumberFormat="1" applyFont="1" applyProtection="1"/>
    <xf numFmtId="172" fontId="23" fillId="0" borderId="0" xfId="2" applyNumberFormat="1" applyFont="1" applyBorder="1"/>
    <xf numFmtId="172" fontId="23" fillId="0" borderId="0" xfId="2" applyNumberFormat="1" applyFont="1"/>
    <xf numFmtId="37" fontId="3" fillId="0" borderId="0" xfId="21" applyAlignment="1">
      <alignment horizontal="left" indent="1"/>
    </xf>
    <xf numFmtId="37" fontId="8" fillId="0" borderId="15" xfId="21" applyFont="1" applyBorder="1"/>
    <xf numFmtId="37" fontId="8" fillId="0" borderId="5" xfId="21" applyFont="1" applyBorder="1"/>
    <xf numFmtId="10" fontId="8" fillId="0" borderId="16" xfId="21" applyNumberFormat="1" applyFont="1" applyBorder="1" applyProtection="1"/>
    <xf numFmtId="37" fontId="8" fillId="0" borderId="9" xfId="21" applyFont="1" applyBorder="1"/>
    <xf numFmtId="6" fontId="8" fillId="0" borderId="10" xfId="21" applyNumberFormat="1" applyFont="1" applyBorder="1" applyProtection="1"/>
    <xf numFmtId="37" fontId="25" fillId="0" borderId="0" xfId="21" applyFont="1"/>
    <xf numFmtId="37" fontId="25" fillId="0" borderId="0" xfId="21" applyNumberFormat="1" applyFont="1" applyProtection="1"/>
    <xf numFmtId="37" fontId="25" fillId="0" borderId="0" xfId="21" applyFont="1" applyAlignment="1" applyProtection="1">
      <alignment horizontal="left"/>
    </xf>
    <xf numFmtId="168" fontId="25" fillId="0" borderId="0" xfId="23" applyNumberFormat="1" applyFont="1" applyProtection="1"/>
    <xf numFmtId="37" fontId="25" fillId="0" borderId="0" xfId="21" applyNumberFormat="1" applyFont="1" applyBorder="1" applyProtection="1"/>
    <xf numFmtId="168" fontId="25" fillId="0" borderId="0" xfId="23" applyNumberFormat="1" applyFont="1" applyBorder="1" applyProtection="1"/>
    <xf numFmtId="37" fontId="25" fillId="0" borderId="1" xfId="21" applyFont="1" applyBorder="1"/>
    <xf numFmtId="37" fontId="25" fillId="0" borderId="1" xfId="21" applyNumberFormat="1" applyFont="1" applyBorder="1" applyProtection="1"/>
    <xf numFmtId="37" fontId="3" fillId="2" borderId="1" xfId="0" applyNumberFormat="1" applyFont="1" applyFill="1" applyBorder="1"/>
    <xf numFmtId="37" fontId="3" fillId="0" borderId="0" xfId="0" applyNumberFormat="1" applyFont="1" applyFill="1"/>
    <xf numFmtId="172" fontId="0" fillId="0" borderId="0" xfId="2" applyNumberFormat="1" applyFont="1" applyAlignment="1">
      <alignment horizontal="centerContinuous" wrapText="1"/>
    </xf>
    <xf numFmtId="172" fontId="0" fillId="0" borderId="0" xfId="2" applyNumberFormat="1" applyFont="1" applyBorder="1" applyAlignment="1">
      <alignment horizontal="right"/>
    </xf>
    <xf numFmtId="37" fontId="3" fillId="0" borderId="0" xfId="21" applyFont="1" applyBorder="1"/>
    <xf numFmtId="5" fontId="3" fillId="2" borderId="0" xfId="12" applyNumberFormat="1" applyFill="1" applyBorder="1"/>
    <xf numFmtId="5" fontId="3" fillId="2" borderId="0" xfId="21" applyNumberFormat="1" applyFill="1" applyBorder="1"/>
    <xf numFmtId="10" fontId="3" fillId="2" borderId="0" xfId="23" applyNumberFormat="1" applyFont="1" applyFill="1" applyBorder="1"/>
    <xf numFmtId="5" fontId="3" fillId="0" borderId="0" xfId="21" applyNumberFormat="1" applyFill="1" applyBorder="1"/>
    <xf numFmtId="37" fontId="3" fillId="0" borderId="0" xfId="21" applyFont="1" applyBorder="1" applyAlignment="1">
      <alignment horizontal="left"/>
    </xf>
    <xf numFmtId="37" fontId="3" fillId="0" borderId="0" xfId="21" applyBorder="1" applyAlignment="1">
      <alignment horizontal="left"/>
    </xf>
    <xf numFmtId="5" fontId="3" fillId="0" borderId="0" xfId="5" applyNumberFormat="1" applyBorder="1"/>
    <xf numFmtId="169" fontId="3" fillId="0" borderId="0" xfId="21" applyNumberFormat="1" applyBorder="1"/>
    <xf numFmtId="5" fontId="3" fillId="0" borderId="0" xfId="21" applyNumberFormat="1" applyBorder="1"/>
    <xf numFmtId="39" fontId="3" fillId="2" borderId="0" xfId="15" applyNumberFormat="1" applyFill="1"/>
    <xf numFmtId="168" fontId="3" fillId="2" borderId="0" xfId="23" applyNumberFormat="1" applyFont="1" applyFill="1"/>
    <xf numFmtId="37" fontId="0" fillId="0" borderId="5" xfId="0" applyNumberFormat="1" applyBorder="1"/>
    <xf numFmtId="37" fontId="3" fillId="0" borderId="5" xfId="15" applyFont="1" applyBorder="1"/>
    <xf numFmtId="37" fontId="3" fillId="0" borderId="0" xfId="15" applyFont="1" applyBorder="1"/>
    <xf numFmtId="37" fontId="3" fillId="0" borderId="0" xfId="15" applyBorder="1" applyAlignment="1">
      <alignment horizontal="center"/>
    </xf>
    <xf numFmtId="39" fontId="3" fillId="0" borderId="0" xfId="15" applyNumberFormat="1" applyBorder="1"/>
    <xf numFmtId="39" fontId="3" fillId="0" borderId="5" xfId="15" applyNumberFormat="1" applyFill="1" applyBorder="1"/>
    <xf numFmtId="37" fontId="3" fillId="0" borderId="1" xfId="15" applyFill="1" applyBorder="1"/>
    <xf numFmtId="37" fontId="3" fillId="0" borderId="5" xfId="15" applyFill="1" applyBorder="1"/>
    <xf numFmtId="0" fontId="0" fillId="0" borderId="4" xfId="0" applyBorder="1"/>
    <xf numFmtId="3" fontId="0" fillId="0" borderId="4" xfId="0" applyNumberFormat="1" applyBorder="1"/>
    <xf numFmtId="9" fontId="3" fillId="0" borderId="0" xfId="23" applyFont="1" applyBorder="1"/>
    <xf numFmtId="9" fontId="3" fillId="0" borderId="0" xfId="15" applyNumberFormat="1" applyBorder="1"/>
    <xf numFmtId="10" fontId="0" fillId="0" borderId="0" xfId="0" applyNumberFormat="1" applyBorder="1"/>
    <xf numFmtId="37" fontId="3" fillId="2" borderId="16" xfId="15" applyFill="1" applyBorder="1"/>
    <xf numFmtId="172" fontId="3" fillId="0" borderId="1" xfId="2" applyNumberFormat="1" applyFont="1" applyBorder="1"/>
    <xf numFmtId="5" fontId="0" fillId="0" borderId="4" xfId="0" applyNumberFormat="1" applyBorder="1"/>
    <xf numFmtId="170" fontId="3" fillId="0" borderId="1" xfId="15" applyNumberFormat="1" applyBorder="1"/>
    <xf numFmtId="37" fontId="3" fillId="2" borderId="0" xfId="15" applyFill="1"/>
    <xf numFmtId="37" fontId="3" fillId="0" borderId="6" xfId="15" applyFont="1" applyBorder="1"/>
    <xf numFmtId="37" fontId="3" fillId="0" borderId="6" xfId="15" applyBorder="1"/>
    <xf numFmtId="37" fontId="12" fillId="0" borderId="0" xfId="15" applyFont="1"/>
    <xf numFmtId="37" fontId="12" fillId="0" borderId="0" xfId="15" applyFont="1" applyBorder="1"/>
    <xf numFmtId="0" fontId="27" fillId="0" borderId="0" xfId="0" applyFont="1"/>
    <xf numFmtId="0" fontId="27" fillId="0" borderId="0" xfId="0" applyFont="1" applyFill="1"/>
    <xf numFmtId="37" fontId="2" fillId="0" borderId="0" xfId="14" applyFont="1" applyFill="1" applyAlignment="1">
      <alignment horizontal="left"/>
    </xf>
    <xf numFmtId="37" fontId="2" fillId="0" borderId="0" xfId="14" applyFont="1" applyAlignment="1">
      <alignment horizontal="left"/>
    </xf>
    <xf numFmtId="10" fontId="15" fillId="0" borderId="0" xfId="23" applyNumberFormat="1" applyFont="1"/>
    <xf numFmtId="10" fontId="15" fillId="0" borderId="0" xfId="0" applyNumberFormat="1" applyFont="1"/>
    <xf numFmtId="8" fontId="15" fillId="0" borderId="0" xfId="0" applyNumberFormat="1" applyFont="1"/>
    <xf numFmtId="8" fontId="0" fillId="0" borderId="0" xfId="0" applyNumberFormat="1"/>
    <xf numFmtId="169" fontId="3" fillId="0" borderId="0" xfId="14" applyNumberFormat="1" applyFont="1" applyFill="1" applyAlignment="1">
      <alignment horizontal="left"/>
    </xf>
    <xf numFmtId="176" fontId="5" fillId="0" borderId="0" xfId="2" applyNumberFormat="1" applyFont="1" applyBorder="1" applyAlignment="1">
      <alignment horizontal="right" wrapText="1"/>
    </xf>
    <xf numFmtId="172" fontId="3" fillId="2" borderId="0" xfId="2" applyNumberFormat="1" applyFont="1" applyFill="1" applyBorder="1"/>
    <xf numFmtId="5" fontId="0" fillId="0" borderId="0" xfId="0" applyNumberFormat="1" applyBorder="1"/>
    <xf numFmtId="0" fontId="0" fillId="0" borderId="15" xfId="0" applyBorder="1"/>
    <xf numFmtId="1" fontId="0" fillId="0" borderId="0" xfId="0" applyNumberFormat="1" applyBorder="1"/>
    <xf numFmtId="37" fontId="3" fillId="0" borderId="14" xfId="15" applyBorder="1"/>
    <xf numFmtId="37" fontId="3" fillId="0" borderId="17" xfId="15" applyBorder="1"/>
    <xf numFmtId="37" fontId="0" fillId="0" borderId="14" xfId="0" applyNumberFormat="1" applyBorder="1"/>
    <xf numFmtId="170" fontId="2" fillId="0" borderId="0" xfId="15" applyNumberFormat="1" applyFont="1" applyBorder="1" applyAlignment="1">
      <alignment horizontal="center" wrapText="1"/>
    </xf>
    <xf numFmtId="37" fontId="3" fillId="0" borderId="18" xfId="15" applyBorder="1"/>
    <xf numFmtId="0" fontId="0" fillId="0" borderId="18" xfId="0" applyBorder="1"/>
    <xf numFmtId="3" fontId="0" fillId="0" borderId="18" xfId="0" applyNumberFormat="1" applyBorder="1"/>
    <xf numFmtId="0" fontId="19" fillId="0" borderId="0" xfId="0" applyFont="1" applyAlignment="1">
      <alignment horizontal="left"/>
    </xf>
    <xf numFmtId="172" fontId="0" fillId="0" borderId="0" xfId="0" applyNumberFormat="1"/>
    <xf numFmtId="0" fontId="0" fillId="3" borderId="0" xfId="0" applyFill="1"/>
    <xf numFmtId="0" fontId="26" fillId="0" borderId="0" xfId="0" applyFont="1"/>
    <xf numFmtId="0" fontId="28" fillId="0" borderId="0" xfId="0" applyFont="1"/>
    <xf numFmtId="164" fontId="0" fillId="0" borderId="0" xfId="0" applyNumberFormat="1"/>
    <xf numFmtId="182" fontId="3" fillId="0" borderId="0" xfId="22" applyNumberFormat="1" applyProtection="1"/>
    <xf numFmtId="183" fontId="3" fillId="0" borderId="0" xfId="22" applyNumberFormat="1" applyFont="1"/>
    <xf numFmtId="37" fontId="3" fillId="0" borderId="8" xfId="22" applyNumberFormat="1" applyFill="1" applyBorder="1" applyProtection="1"/>
    <xf numFmtId="37" fontId="3" fillId="0" borderId="1" xfId="22" applyFont="1" applyBorder="1" applyAlignment="1" applyProtection="1">
      <alignment horizontal="left"/>
    </xf>
    <xf numFmtId="37" fontId="3" fillId="2" borderId="9" xfId="22" applyNumberFormat="1" applyFill="1" applyBorder="1" applyProtection="1"/>
    <xf numFmtId="37" fontId="2" fillId="0" borderId="14" xfId="15" applyFont="1" applyBorder="1" applyAlignment="1">
      <alignment horizontal="center" wrapText="1"/>
    </xf>
    <xf numFmtId="170" fontId="2" fillId="0" borderId="14" xfId="15" applyNumberFormat="1" applyFont="1" applyBorder="1" applyAlignment="1">
      <alignment horizontal="center" wrapText="1"/>
    </xf>
    <xf numFmtId="166" fontId="8" fillId="0" borderId="0" xfId="22" applyNumberFormat="1" applyFont="1" applyBorder="1" applyProtection="1"/>
    <xf numFmtId="10" fontId="3" fillId="0" borderId="1" xfId="23" applyNumberFormat="1" applyFont="1" applyBorder="1"/>
    <xf numFmtId="181" fontId="3" fillId="2" borderId="0" xfId="21" applyNumberFormat="1" applyFill="1"/>
    <xf numFmtId="37" fontId="3" fillId="0" borderId="0" xfId="22" applyFont="1" applyBorder="1" applyAlignment="1" applyProtection="1">
      <alignment horizontal="left"/>
    </xf>
    <xf numFmtId="37" fontId="3" fillId="0" borderId="0" xfId="22" applyFont="1" applyBorder="1"/>
    <xf numFmtId="37" fontId="3" fillId="0" borderId="0" xfId="21" applyAlignment="1">
      <alignment horizontal="left"/>
    </xf>
    <xf numFmtId="10" fontId="3" fillId="0" borderId="0" xfId="21" applyNumberFormat="1" applyAlignment="1" applyProtection="1">
      <alignment horizontal="left"/>
    </xf>
    <xf numFmtId="37" fontId="3" fillId="0" borderId="0" xfId="21" applyFont="1" applyAlignment="1">
      <alignment horizontal="left"/>
    </xf>
    <xf numFmtId="37" fontId="3" fillId="0" borderId="19" xfId="15" applyBorder="1"/>
    <xf numFmtId="37" fontId="0" fillId="0" borderId="19" xfId="0" applyNumberFormat="1" applyBorder="1"/>
    <xf numFmtId="172" fontId="0" fillId="0" borderId="19" xfId="2" applyNumberFormat="1" applyFont="1" applyBorder="1"/>
    <xf numFmtId="0" fontId="0" fillId="0" borderId="20" xfId="0" applyBorder="1"/>
    <xf numFmtId="5" fontId="0" fillId="0" borderId="21" xfId="0" applyNumberFormat="1" applyBorder="1"/>
    <xf numFmtId="0" fontId="0" fillId="0" borderId="22" xfId="0" applyBorder="1"/>
    <xf numFmtId="0" fontId="0" fillId="0" borderId="19" xfId="0" applyBorder="1"/>
    <xf numFmtId="3" fontId="0" fillId="0" borderId="19" xfId="0" applyNumberFormat="1" applyBorder="1"/>
    <xf numFmtId="3" fontId="0" fillId="0" borderId="22" xfId="0" applyNumberFormat="1" applyBorder="1"/>
    <xf numFmtId="3" fontId="0" fillId="0" borderId="20" xfId="0" applyNumberFormat="1" applyBorder="1"/>
    <xf numFmtId="3" fontId="0" fillId="0" borderId="23" xfId="0" applyNumberFormat="1" applyBorder="1"/>
    <xf numFmtId="37" fontId="0" fillId="0" borderId="20" xfId="0" applyNumberFormat="1" applyBorder="1"/>
    <xf numFmtId="37" fontId="3" fillId="0" borderId="20" xfId="15" applyBorder="1"/>
    <xf numFmtId="37" fontId="3" fillId="0" borderId="21" xfId="15" applyBorder="1"/>
    <xf numFmtId="37" fontId="3" fillId="0" borderId="24" xfId="15" applyBorder="1"/>
    <xf numFmtId="37" fontId="3" fillId="0" borderId="25" xfId="15" applyBorder="1"/>
    <xf numFmtId="0" fontId="0" fillId="0" borderId="24" xfId="0" applyBorder="1"/>
    <xf numFmtId="37" fontId="3" fillId="0" borderId="26" xfId="15" applyBorder="1"/>
    <xf numFmtId="37" fontId="0" fillId="0" borderId="27" xfId="0" applyNumberFormat="1" applyBorder="1"/>
    <xf numFmtId="37" fontId="0" fillId="0" borderId="22" xfId="0" applyNumberFormat="1" applyBorder="1"/>
    <xf numFmtId="37" fontId="0" fillId="0" borderId="24" xfId="0" applyNumberFormat="1" applyBorder="1"/>
    <xf numFmtId="172" fontId="0" fillId="0" borderId="26" xfId="2" applyNumberFormat="1" applyFont="1" applyBorder="1"/>
    <xf numFmtId="37" fontId="0" fillId="0" borderId="28" xfId="0" applyNumberFormat="1" applyBorder="1"/>
    <xf numFmtId="37" fontId="0" fillId="0" borderId="25" xfId="0" applyNumberFormat="1" applyBorder="1"/>
    <xf numFmtId="37" fontId="0" fillId="0" borderId="26" xfId="0" applyNumberFormat="1" applyBorder="1"/>
    <xf numFmtId="172" fontId="0" fillId="0" borderId="24" xfId="2" applyNumberFormat="1" applyFont="1" applyBorder="1"/>
    <xf numFmtId="0" fontId="0" fillId="0" borderId="26" xfId="0" applyBorder="1"/>
    <xf numFmtId="37" fontId="3" fillId="0" borderId="29" xfId="15" applyBorder="1"/>
    <xf numFmtId="37" fontId="3" fillId="0" borderId="30" xfId="15" applyBorder="1"/>
    <xf numFmtId="37" fontId="3" fillId="0" borderId="30" xfId="15" applyBorder="1" applyAlignment="1">
      <alignment horizontal="right"/>
    </xf>
    <xf numFmtId="37" fontId="3" fillId="0" borderId="31" xfId="15" applyBorder="1"/>
    <xf numFmtId="37" fontId="3" fillId="0" borderId="32" xfId="15" applyBorder="1"/>
    <xf numFmtId="37" fontId="3" fillId="0" borderId="29" xfId="15" applyBorder="1" applyAlignment="1">
      <alignment horizontal="center"/>
    </xf>
    <xf numFmtId="10" fontId="3" fillId="0" borderId="29" xfId="23" applyNumberFormat="1" applyFont="1" applyBorder="1" applyAlignment="1">
      <alignment horizontal="center"/>
    </xf>
    <xf numFmtId="10" fontId="3" fillId="0" borderId="30" xfId="23" applyNumberFormat="1" applyFont="1" applyBorder="1" applyAlignment="1">
      <alignment horizontal="center"/>
    </xf>
    <xf numFmtId="37" fontId="3" fillId="0" borderId="32" xfId="15" applyBorder="1" applyAlignment="1">
      <alignment horizontal="center"/>
    </xf>
    <xf numFmtId="172" fontId="3" fillId="0" borderId="30" xfId="2" applyNumberFormat="1" applyFont="1" applyBorder="1" applyAlignment="1">
      <alignment horizontal="center"/>
    </xf>
    <xf numFmtId="37" fontId="3" fillId="0" borderId="33" xfId="15" applyBorder="1" applyAlignment="1">
      <alignment horizontal="center"/>
    </xf>
    <xf numFmtId="37" fontId="3" fillId="0" borderId="30" xfId="15" applyBorder="1" applyAlignment="1">
      <alignment horizontal="center"/>
    </xf>
    <xf numFmtId="37" fontId="0" fillId="0" borderId="29" xfId="0" applyNumberFormat="1" applyBorder="1"/>
    <xf numFmtId="5" fontId="0" fillId="0" borderId="29" xfId="0" applyNumberFormat="1" applyBorder="1"/>
    <xf numFmtId="0" fontId="0" fillId="0" borderId="29" xfId="0" applyBorder="1"/>
    <xf numFmtId="172" fontId="0" fillId="0" borderId="29" xfId="2" applyNumberFormat="1" applyFont="1" applyBorder="1"/>
    <xf numFmtId="0" fontId="0" fillId="0" borderId="30" xfId="0" applyBorder="1"/>
    <xf numFmtId="5" fontId="0" fillId="0" borderId="31" xfId="0" applyNumberFormat="1" applyBorder="1"/>
    <xf numFmtId="37" fontId="3" fillId="0" borderId="18" xfId="15" applyBorder="1" applyAlignment="1">
      <alignment horizontal="center"/>
    </xf>
    <xf numFmtId="37" fontId="3" fillId="0" borderId="34" xfId="15" applyFont="1" applyBorder="1"/>
    <xf numFmtId="37" fontId="3" fillId="0" borderId="34" xfId="15" applyBorder="1"/>
    <xf numFmtId="37" fontId="3" fillId="0" borderId="35" xfId="15" applyBorder="1"/>
    <xf numFmtId="37" fontId="0" fillId="0" borderId="36" xfId="0" applyNumberFormat="1" applyBorder="1"/>
    <xf numFmtId="37" fontId="0" fillId="0" borderId="34" xfId="0" applyNumberFormat="1" applyBorder="1"/>
    <xf numFmtId="37" fontId="0" fillId="0" borderId="35" xfId="0" applyNumberFormat="1" applyBorder="1"/>
    <xf numFmtId="37" fontId="0" fillId="0" borderId="37" xfId="0" applyNumberFormat="1" applyBorder="1"/>
    <xf numFmtId="5" fontId="0" fillId="0" borderId="34" xfId="0" applyNumberFormat="1" applyBorder="1"/>
    <xf numFmtId="0" fontId="0" fillId="0" borderId="34" xfId="0" applyBorder="1"/>
    <xf numFmtId="5" fontId="0" fillId="0" borderId="36" xfId="0" applyNumberFormat="1" applyBorder="1"/>
    <xf numFmtId="37" fontId="3" fillId="0" borderId="38" xfId="15" applyBorder="1"/>
    <xf numFmtId="0" fontId="0" fillId="0" borderId="14" xfId="0" applyBorder="1"/>
    <xf numFmtId="0" fontId="0" fillId="0" borderId="17" xfId="0" applyBorder="1"/>
    <xf numFmtId="37" fontId="3" fillId="0" borderId="39" xfId="15" applyBorder="1"/>
    <xf numFmtId="37" fontId="0" fillId="0" borderId="40" xfId="0" applyNumberFormat="1" applyBorder="1"/>
    <xf numFmtId="5" fontId="3" fillId="0" borderId="0" xfId="5" applyNumberFormat="1" applyFill="1" applyBorder="1"/>
    <xf numFmtId="37" fontId="3" fillId="0" borderId="5" xfId="16" applyFont="1" applyBorder="1"/>
    <xf numFmtId="37" fontId="3" fillId="0" borderId="41" xfId="15" applyBorder="1"/>
    <xf numFmtId="8" fontId="0" fillId="0" borderId="0" xfId="0" applyNumberFormat="1" applyBorder="1"/>
    <xf numFmtId="37" fontId="0" fillId="0" borderId="0" xfId="6" applyNumberFormat="1" applyFont="1" applyFill="1"/>
    <xf numFmtId="172" fontId="3" fillId="0" borderId="0" xfId="5" applyNumberFormat="1" applyFill="1" applyBorder="1"/>
    <xf numFmtId="37" fontId="3" fillId="0" borderId="15" xfId="22" applyNumberFormat="1" applyBorder="1" applyProtection="1"/>
    <xf numFmtId="37" fontId="3" fillId="2" borderId="0" xfId="22" applyNumberFormat="1" applyFill="1" applyBorder="1" applyProtection="1"/>
    <xf numFmtId="37" fontId="3" fillId="0" borderId="0" xfId="22" applyNumberFormat="1" applyFill="1" applyBorder="1" applyProtection="1"/>
    <xf numFmtId="10" fontId="3" fillId="0" borderId="0" xfId="22" applyNumberFormat="1" applyBorder="1" applyProtection="1"/>
    <xf numFmtId="37" fontId="3" fillId="0" borderId="16" xfId="22" applyNumberFormat="1" applyBorder="1" applyProtection="1"/>
    <xf numFmtId="37" fontId="3" fillId="2" borderId="16" xfId="22" applyNumberFormat="1" applyFill="1" applyBorder="1" applyProtection="1"/>
    <xf numFmtId="37" fontId="3" fillId="2" borderId="15" xfId="22" applyNumberFormat="1" applyFill="1" applyBorder="1" applyProtection="1"/>
    <xf numFmtId="10" fontId="3" fillId="2" borderId="8" xfId="22" applyNumberFormat="1" applyFill="1" applyBorder="1" applyProtection="1"/>
    <xf numFmtId="37" fontId="3" fillId="2" borderId="10" xfId="22" applyNumberFormat="1" applyFill="1" applyBorder="1" applyProtection="1"/>
    <xf numFmtId="37" fontId="3" fillId="0" borderId="7" xfId="22" applyNumberFormat="1" applyFill="1" applyBorder="1" applyProtection="1"/>
    <xf numFmtId="37" fontId="3" fillId="0" borderId="5" xfId="22" applyNumberFormat="1" applyBorder="1" applyProtection="1"/>
    <xf numFmtId="10" fontId="3" fillId="0" borderId="7" xfId="22" applyNumberFormat="1" applyBorder="1" applyProtection="1"/>
    <xf numFmtId="10" fontId="3" fillId="0" borderId="8" xfId="22" applyNumberFormat="1" applyBorder="1" applyProtection="1"/>
    <xf numFmtId="172" fontId="0" fillId="0" borderId="15" xfId="2" applyNumberFormat="1" applyFont="1" applyBorder="1"/>
    <xf numFmtId="172" fontId="0" fillId="0" borderId="16" xfId="2" applyNumberFormat="1" applyFont="1" applyBorder="1"/>
    <xf numFmtId="172" fontId="3" fillId="0" borderId="7" xfId="2" applyNumberFormat="1" applyFont="1" applyBorder="1" applyProtection="1"/>
    <xf numFmtId="172" fontId="2" fillId="0" borderId="7" xfId="2" applyNumberFormat="1" applyFont="1" applyBorder="1" applyProtection="1"/>
    <xf numFmtId="172" fontId="3" fillId="0" borderId="15" xfId="2" applyNumberFormat="1" applyFont="1" applyBorder="1" applyProtection="1"/>
    <xf numFmtId="172" fontId="3" fillId="0" borderId="16" xfId="2" applyNumberFormat="1" applyFont="1" applyBorder="1" applyProtection="1"/>
    <xf numFmtId="172" fontId="3" fillId="0" borderId="9" xfId="2" applyNumberFormat="1" applyFont="1" applyBorder="1" applyProtection="1"/>
    <xf numFmtId="172" fontId="3" fillId="0" borderId="10" xfId="2" applyNumberFormat="1" applyFont="1" applyBorder="1" applyProtection="1"/>
    <xf numFmtId="172" fontId="3" fillId="0" borderId="15" xfId="2" applyNumberFormat="1" applyFont="1" applyBorder="1" applyAlignment="1" applyProtection="1">
      <alignment horizontal="fill"/>
    </xf>
    <xf numFmtId="172" fontId="3" fillId="0" borderId="42" xfId="2" applyNumberFormat="1" applyFont="1" applyBorder="1" applyProtection="1"/>
    <xf numFmtId="172" fontId="3" fillId="0" borderId="43" xfId="2" applyNumberFormat="1" applyFont="1" applyBorder="1" applyProtection="1"/>
    <xf numFmtId="37" fontId="3" fillId="2" borderId="7" xfId="22" applyNumberFormat="1" applyFont="1" applyFill="1" applyBorder="1" applyProtection="1"/>
    <xf numFmtId="37" fontId="3" fillId="0" borderId="0" xfId="16" applyFont="1" applyBorder="1"/>
    <xf numFmtId="164" fontId="8" fillId="0" borderId="0" xfId="9" applyFont="1" applyBorder="1"/>
    <xf numFmtId="37" fontId="3" fillId="0" borderId="0" xfId="16" applyFill="1" applyBorder="1"/>
    <xf numFmtId="37" fontId="3" fillId="0" borderId="13" xfId="16" applyBorder="1"/>
    <xf numFmtId="164" fontId="3" fillId="0" borderId="14" xfId="9" applyBorder="1"/>
    <xf numFmtId="37" fontId="8" fillId="0" borderId="0" xfId="16" applyFont="1" applyAlignment="1">
      <alignment horizontal="left" indent="2"/>
    </xf>
    <xf numFmtId="37" fontId="8" fillId="0" borderId="0" xfId="16" applyFont="1" applyBorder="1" applyAlignment="1">
      <alignment horizontal="left" indent="2"/>
    </xf>
    <xf numFmtId="37" fontId="3" fillId="0" borderId="0" xfId="16" applyFont="1" applyAlignment="1">
      <alignment horizontal="left"/>
    </xf>
    <xf numFmtId="9" fontId="29" fillId="0" borderId="0" xfId="23" applyFont="1" applyBorder="1"/>
    <xf numFmtId="9" fontId="29" fillId="0" borderId="0" xfId="23" applyFont="1"/>
    <xf numFmtId="9" fontId="29" fillId="0" borderId="4" xfId="23" applyFont="1" applyBorder="1"/>
    <xf numFmtId="172" fontId="3" fillId="2" borderId="0" xfId="12" applyNumberFormat="1" applyFill="1" applyBorder="1"/>
    <xf numFmtId="172" fontId="3" fillId="2" borderId="0" xfId="21" applyNumberFormat="1" applyFill="1" applyBorder="1"/>
    <xf numFmtId="172" fontId="3" fillId="0" borderId="0" xfId="21" applyNumberFormat="1" applyBorder="1"/>
    <xf numFmtId="168" fontId="8" fillId="0" borderId="0" xfId="2" applyNumberFormat="1" applyFont="1" applyBorder="1" applyProtection="1"/>
    <xf numFmtId="172" fontId="28" fillId="0" borderId="0" xfId="0" applyNumberFormat="1" applyFont="1"/>
    <xf numFmtId="7" fontId="19" fillId="0" borderId="0" xfId="0" applyNumberFormat="1" applyFont="1"/>
    <xf numFmtId="172" fontId="30" fillId="0" borderId="0" xfId="0" applyNumberFormat="1" applyFont="1"/>
    <xf numFmtId="172" fontId="17" fillId="0" borderId="0" xfId="0" applyNumberFormat="1" applyFont="1"/>
    <xf numFmtId="0" fontId="31" fillId="0" borderId="0" xfId="0" applyFont="1"/>
    <xf numFmtId="3" fontId="32" fillId="0" borderId="0" xfId="0" applyNumberFormat="1" applyFont="1" applyAlignment="1">
      <alignment horizontal="right"/>
    </xf>
    <xf numFmtId="3" fontId="33" fillId="0" borderId="0" xfId="0" applyNumberFormat="1" applyFont="1" applyAlignment="1">
      <alignment horizontal="right"/>
    </xf>
    <xf numFmtId="3" fontId="19" fillId="0" borderId="0" xfId="0" applyNumberFormat="1" applyFont="1" applyBorder="1" applyAlignment="1">
      <alignment horizontal="right"/>
    </xf>
    <xf numFmtId="0" fontId="19" fillId="4" borderId="0" xfId="0" applyFont="1" applyFill="1"/>
    <xf numFmtId="0" fontId="0" fillId="4" borderId="0" xfId="0" applyFill="1"/>
    <xf numFmtId="164" fontId="19" fillId="4" borderId="0" xfId="0" applyNumberFormat="1" applyFont="1" applyFill="1"/>
    <xf numFmtId="37" fontId="19" fillId="4" borderId="0" xfId="0" applyNumberFormat="1" applyFont="1" applyFill="1"/>
    <xf numFmtId="37" fontId="28" fillId="0" borderId="0" xfId="0" applyNumberFormat="1" applyFont="1"/>
    <xf numFmtId="5" fontId="32" fillId="0" borderId="0" xfId="0" applyNumberFormat="1" applyFont="1" applyAlignment="1">
      <alignment horizontal="right"/>
    </xf>
    <xf numFmtId="37" fontId="32" fillId="0" borderId="0" xfId="0" applyNumberFormat="1" applyFont="1" applyAlignment="1">
      <alignment horizontal="right"/>
    </xf>
    <xf numFmtId="3" fontId="26" fillId="0" borderId="0" xfId="0" applyNumberFormat="1" applyFont="1"/>
    <xf numFmtId="5" fontId="28" fillId="0" borderId="0" xfId="0" applyNumberFormat="1" applyFont="1"/>
    <xf numFmtId="9" fontId="0" fillId="0" borderId="19" xfId="0" applyNumberFormat="1" applyBorder="1"/>
    <xf numFmtId="9" fontId="0" fillId="0" borderId="20" xfId="0" applyNumberFormat="1" applyBorder="1"/>
    <xf numFmtId="37" fontId="0" fillId="0" borderId="44" xfId="0" applyNumberFormat="1" applyBorder="1"/>
    <xf numFmtId="9" fontId="0" fillId="0" borderId="44" xfId="0" applyNumberFormat="1" applyBorder="1"/>
    <xf numFmtId="9" fontId="0" fillId="0" borderId="45" xfId="0" applyNumberFormat="1" applyBorder="1"/>
    <xf numFmtId="9" fontId="0" fillId="0" borderId="1" xfId="0" applyNumberFormat="1" applyBorder="1"/>
    <xf numFmtId="37" fontId="0" fillId="0" borderId="1" xfId="0" applyNumberFormat="1" applyBorder="1"/>
    <xf numFmtId="37" fontId="12" fillId="0" borderId="44" xfId="15" applyFont="1" applyBorder="1" applyAlignment="1">
      <alignment horizontal="centerContinuous"/>
    </xf>
    <xf numFmtId="37" fontId="12" fillId="0" borderId="19" xfId="15" applyFont="1" applyBorder="1" applyAlignment="1">
      <alignment horizontal="centerContinuous"/>
    </xf>
    <xf numFmtId="170" fontId="2" fillId="0" borderId="46" xfId="15" applyNumberFormat="1" applyFont="1" applyBorder="1" applyAlignment="1">
      <alignment horizontal="center" wrapText="1"/>
    </xf>
    <xf numFmtId="170" fontId="2" fillId="0" borderId="39" xfId="15" applyNumberFormat="1" applyFont="1" applyBorder="1" applyAlignment="1">
      <alignment horizontal="center" wrapText="1"/>
    </xf>
    <xf numFmtId="0" fontId="0" fillId="0" borderId="44" xfId="0" applyBorder="1"/>
    <xf numFmtId="172" fontId="0" fillId="0" borderId="44" xfId="2" applyNumberFormat="1" applyFont="1" applyBorder="1"/>
    <xf numFmtId="5" fontId="0" fillId="0" borderId="47" xfId="0" applyNumberFormat="1" applyBorder="1"/>
    <xf numFmtId="0" fontId="0" fillId="0" borderId="48" xfId="0" applyBorder="1"/>
    <xf numFmtId="167" fontId="0" fillId="0" borderId="44" xfId="0" applyNumberFormat="1" applyBorder="1"/>
    <xf numFmtId="167" fontId="0" fillId="0" borderId="20" xfId="0" applyNumberFormat="1" applyBorder="1"/>
    <xf numFmtId="3" fontId="0" fillId="0" borderId="48" xfId="0" applyNumberFormat="1" applyBorder="1"/>
    <xf numFmtId="3" fontId="0" fillId="0" borderId="45" xfId="0" applyNumberFormat="1" applyBorder="1"/>
    <xf numFmtId="3" fontId="0" fillId="0" borderId="49" xfId="0" applyNumberFormat="1" applyBorder="1"/>
    <xf numFmtId="1" fontId="0" fillId="0" borderId="44" xfId="0" applyNumberFormat="1" applyBorder="1"/>
    <xf numFmtId="1" fontId="0" fillId="0" borderId="19" xfId="0" applyNumberFormat="1" applyBorder="1"/>
    <xf numFmtId="10" fontId="0" fillId="0" borderId="44" xfId="0" applyNumberFormat="1" applyBorder="1"/>
    <xf numFmtId="10" fontId="0" fillId="0" borderId="19" xfId="0" applyNumberFormat="1" applyBorder="1"/>
    <xf numFmtId="10" fontId="0" fillId="0" borderId="45" xfId="0" applyNumberFormat="1" applyBorder="1"/>
    <xf numFmtId="10" fontId="0" fillId="0" borderId="20" xfId="0" applyNumberFormat="1" applyBorder="1"/>
    <xf numFmtId="3" fontId="0" fillId="0" borderId="44" xfId="0" applyNumberFormat="1" applyBorder="1"/>
    <xf numFmtId="172" fontId="0" fillId="0" borderId="45" xfId="2" applyNumberFormat="1" applyFont="1" applyBorder="1"/>
    <xf numFmtId="5" fontId="0" fillId="0" borderId="49" xfId="0" applyNumberFormat="1" applyBorder="1"/>
    <xf numFmtId="5" fontId="0" fillId="0" borderId="23" xfId="0" applyNumberFormat="1" applyBorder="1"/>
    <xf numFmtId="37" fontId="0" fillId="0" borderId="50" xfId="0" applyNumberFormat="1" applyBorder="1"/>
    <xf numFmtId="37" fontId="3" fillId="0" borderId="48" xfId="15" applyBorder="1"/>
    <xf numFmtId="37" fontId="3" fillId="0" borderId="22" xfId="15" applyBorder="1"/>
    <xf numFmtId="37" fontId="3" fillId="0" borderId="44" xfId="15" applyBorder="1"/>
    <xf numFmtId="37" fontId="3" fillId="0" borderId="45" xfId="15" applyBorder="1"/>
    <xf numFmtId="37" fontId="3" fillId="0" borderId="47" xfId="15" applyBorder="1"/>
    <xf numFmtId="37" fontId="0" fillId="0" borderId="46" xfId="0" applyNumberFormat="1" applyBorder="1"/>
    <xf numFmtId="37" fontId="0" fillId="0" borderId="39" xfId="0" applyNumberFormat="1" applyBorder="1"/>
    <xf numFmtId="5" fontId="0" fillId="0" borderId="50" xfId="0" applyNumberFormat="1" applyBorder="1"/>
    <xf numFmtId="5" fontId="0" fillId="0" borderId="38" xfId="0" applyNumberFormat="1" applyBorder="1"/>
    <xf numFmtId="167" fontId="0" fillId="0" borderId="7" xfId="0" applyNumberFormat="1" applyBorder="1"/>
    <xf numFmtId="3" fontId="0" fillId="0" borderId="15" xfId="0" applyNumberFormat="1" applyBorder="1"/>
    <xf numFmtId="3" fontId="0" fillId="0" borderId="9" xfId="0" applyNumberFormat="1" applyBorder="1"/>
    <xf numFmtId="3" fontId="0" fillId="0" borderId="11" xfId="0" applyNumberFormat="1" applyBorder="1"/>
    <xf numFmtId="172" fontId="0" fillId="0" borderId="20" xfId="2" applyNumberFormat="1" applyFont="1" applyBorder="1"/>
    <xf numFmtId="167" fontId="0" fillId="0" borderId="19" xfId="0" applyNumberFormat="1" applyBorder="1"/>
    <xf numFmtId="37" fontId="8" fillId="0" borderId="0" xfId="24" applyFont="1">
      <alignment horizontal="centerContinuous"/>
    </xf>
    <xf numFmtId="37" fontId="8" fillId="0" borderId="0" xfId="24" applyFont="1" applyAlignment="1">
      <alignment horizontal="centerContinuous" wrapText="1"/>
    </xf>
    <xf numFmtId="0" fontId="1" fillId="0" borderId="0" xfId="0" applyFont="1"/>
    <xf numFmtId="0" fontId="23" fillId="0" borderId="0" xfId="0" applyFont="1"/>
    <xf numFmtId="172" fontId="23" fillId="0" borderId="1" xfId="2" applyNumberFormat="1" applyFont="1" applyBorder="1"/>
    <xf numFmtId="172" fontId="0" fillId="0" borderId="14" xfId="2" applyNumberFormat="1" applyFont="1" applyBorder="1"/>
    <xf numFmtId="168" fontId="8" fillId="0" borderId="0" xfId="2" applyNumberFormat="1" applyFont="1"/>
    <xf numFmtId="37" fontId="8" fillId="0" borderId="0" xfId="21" applyFont="1" applyAlignment="1">
      <alignment horizontal="right"/>
    </xf>
    <xf numFmtId="37" fontId="8" fillId="0" borderId="14" xfId="15" applyFont="1" applyBorder="1"/>
    <xf numFmtId="0" fontId="0" fillId="5" borderId="0" xfId="0" applyFill="1"/>
    <xf numFmtId="0" fontId="17" fillId="5" borderId="0" xfId="0" applyFont="1" applyFill="1"/>
    <xf numFmtId="172" fontId="17" fillId="5" borderId="0" xfId="0" applyNumberFormat="1" applyFont="1" applyFill="1"/>
    <xf numFmtId="172" fontId="3" fillId="0" borderId="0" xfId="3" applyNumberFormat="1" applyFont="1"/>
    <xf numFmtId="0" fontId="3" fillId="0" borderId="7" xfId="0" applyFont="1" applyBorder="1"/>
    <xf numFmtId="0" fontId="3" fillId="0" borderId="51" xfId="0" applyFont="1" applyBorder="1"/>
    <xf numFmtId="5" fontId="3" fillId="0" borderId="7" xfId="0" applyNumberFormat="1" applyFont="1" applyBorder="1"/>
    <xf numFmtId="5" fontId="3" fillId="0" borderId="51" xfId="0" applyNumberFormat="1" applyFont="1" applyBorder="1"/>
    <xf numFmtId="5" fontId="3" fillId="0" borderId="9" xfId="0" applyNumberFormat="1" applyFont="1" applyBorder="1"/>
    <xf numFmtId="37" fontId="3" fillId="0" borderId="52" xfId="0" applyNumberFormat="1" applyFont="1" applyBorder="1"/>
    <xf numFmtId="0" fontId="12" fillId="0" borderId="0" xfId="0" applyFont="1" applyAlignment="1">
      <alignment horizontal="left" indent="2"/>
    </xf>
    <xf numFmtId="0" fontId="3" fillId="0" borderId="0" xfId="0" applyFont="1" applyAlignment="1">
      <alignment horizontal="left" indent="2"/>
    </xf>
    <xf numFmtId="37" fontId="3" fillId="0" borderId="7" xfId="0" applyNumberFormat="1" applyFont="1" applyBorder="1"/>
    <xf numFmtId="37" fontId="3" fillId="0" borderId="51" xfId="0" applyNumberFormat="1" applyFont="1" applyBorder="1"/>
    <xf numFmtId="0" fontId="2" fillId="0" borderId="0" xfId="0" applyFont="1" applyAlignment="1">
      <alignment horizontal="left" indent="2"/>
    </xf>
    <xf numFmtId="0" fontId="2" fillId="0" borderId="0" xfId="0" applyFont="1"/>
    <xf numFmtId="37" fontId="3" fillId="0" borderId="9" xfId="0" applyNumberFormat="1" applyFont="1" applyBorder="1"/>
    <xf numFmtId="5" fontId="8" fillId="0" borderId="51" xfId="0" applyNumberFormat="1" applyFont="1" applyBorder="1"/>
    <xf numFmtId="5" fontId="3" fillId="0" borderId="0" xfId="0" applyNumberFormat="1" applyFont="1"/>
    <xf numFmtId="172" fontId="3" fillId="0" borderId="0" xfId="0" applyNumberFormat="1" applyFont="1"/>
    <xf numFmtId="172" fontId="34" fillId="0" borderId="0" xfId="0" applyNumberFormat="1" applyFont="1"/>
    <xf numFmtId="0" fontId="3" fillId="0" borderId="0" xfId="3" applyNumberFormat="1" applyFont="1" applyAlignment="1">
      <alignment horizontal="left" indent="2"/>
    </xf>
    <xf numFmtId="172" fontId="3" fillId="0" borderId="7" xfId="3" applyNumberFormat="1" applyFont="1" applyBorder="1"/>
    <xf numFmtId="172" fontId="3" fillId="0" borderId="51" xfId="3" applyNumberFormat="1" applyFont="1" applyBorder="1"/>
    <xf numFmtId="172" fontId="3" fillId="0" borderId="9" xfId="3" applyNumberFormat="1" applyFont="1" applyBorder="1"/>
    <xf numFmtId="172" fontId="3" fillId="0" borderId="52" xfId="3" applyNumberFormat="1" applyFont="1" applyBorder="1"/>
    <xf numFmtId="0" fontId="3" fillId="0" borderId="0" xfId="3" applyNumberFormat="1" applyFont="1" applyAlignment="1">
      <alignment horizontal="left"/>
    </xf>
    <xf numFmtId="0" fontId="3" fillId="0" borderId="0" xfId="3" applyNumberFormat="1" applyFont="1"/>
    <xf numFmtId="0" fontId="2" fillId="0" borderId="0" xfId="3" applyNumberFormat="1" applyFont="1"/>
    <xf numFmtId="172" fontId="2" fillId="0" borderId="0" xfId="3" applyNumberFormat="1" applyFont="1"/>
    <xf numFmtId="172" fontId="2" fillId="0" borderId="51" xfId="3" applyNumberFormat="1" applyFont="1" applyBorder="1"/>
    <xf numFmtId="172" fontId="2" fillId="0" borderId="7" xfId="3" applyNumberFormat="1" applyFont="1" applyBorder="1"/>
    <xf numFmtId="172" fontId="8" fillId="0" borderId="0" xfId="3" applyNumberFormat="1" applyFont="1"/>
    <xf numFmtId="172" fontId="8" fillId="0" borderId="51" xfId="0" applyNumberFormat="1" applyFont="1" applyBorder="1"/>
    <xf numFmtId="7" fontId="3" fillId="0" borderId="0" xfId="0" applyNumberFormat="1" applyFont="1"/>
    <xf numFmtId="172" fontId="3" fillId="0" borderId="53" xfId="3" applyNumberFormat="1" applyFont="1" applyFill="1" applyBorder="1"/>
    <xf numFmtId="172" fontId="3" fillId="0" borderId="9" xfId="3" applyNumberFormat="1" applyFont="1" applyFill="1" applyBorder="1"/>
    <xf numFmtId="172" fontId="3" fillId="0" borderId="52" xfId="3" applyNumberFormat="1" applyFont="1" applyFill="1" applyBorder="1"/>
    <xf numFmtId="0" fontId="3" fillId="5" borderId="0" xfId="0" applyFont="1" applyFill="1"/>
    <xf numFmtId="37" fontId="3" fillId="5" borderId="0" xfId="0" applyNumberFormat="1" applyFont="1" applyFill="1"/>
    <xf numFmtId="172" fontId="3" fillId="5" borderId="0" xfId="2" applyNumberFormat="1" applyFont="1" applyFill="1"/>
    <xf numFmtId="172" fontId="3" fillId="5" borderId="0" xfId="0" applyNumberFormat="1" applyFont="1" applyFill="1"/>
    <xf numFmtId="5" fontId="3" fillId="5" borderId="0" xfId="0" applyNumberFormat="1" applyFont="1" applyFill="1"/>
    <xf numFmtId="172" fontId="2" fillId="2" borderId="0" xfId="2" applyNumberFormat="1" applyFont="1" applyFill="1" applyProtection="1"/>
    <xf numFmtId="0" fontId="3" fillId="0" borderId="0" xfId="0" applyFont="1" applyFill="1"/>
    <xf numFmtId="0" fontId="17" fillId="0" borderId="0" xfId="0" applyFont="1" applyFill="1"/>
    <xf numFmtId="172" fontId="17" fillId="0" borderId="0" xfId="0" applyNumberFormat="1" applyFont="1" applyFill="1"/>
    <xf numFmtId="172" fontId="35" fillId="0" borderId="0" xfId="3" applyNumberFormat="1" applyFont="1"/>
    <xf numFmtId="165" fontId="11" fillId="0" borderId="0" xfId="24" applyNumberFormat="1" applyFont="1" applyBorder="1" applyAlignment="1">
      <alignment horizontal="centerContinuous" wrapText="1"/>
    </xf>
    <xf numFmtId="37" fontId="11" fillId="0" borderId="0" xfId="24" applyFont="1">
      <alignment horizontal="centerContinuous"/>
    </xf>
    <xf numFmtId="37" fontId="11" fillId="0" borderId="0" xfId="24" applyFont="1" applyAlignment="1">
      <alignment horizontal="centerContinuous" wrapText="1"/>
    </xf>
    <xf numFmtId="37" fontId="11" fillId="0" borderId="0" xfId="24" applyFont="1" applyBorder="1">
      <alignment horizontal="centerContinuous"/>
    </xf>
    <xf numFmtId="172" fontId="3" fillId="0" borderId="0" xfId="0" applyNumberFormat="1" applyFont="1" applyFill="1"/>
    <xf numFmtId="37" fontId="11" fillId="0" borderId="0" xfId="24" applyFont="1" applyBorder="1" applyAlignment="1">
      <alignment horizontal="centerContinuous" wrapText="1"/>
    </xf>
    <xf numFmtId="37" fontId="10" fillId="0" borderId="1" xfId="18" applyFont="1" applyBorder="1" applyAlignment="1" applyProtection="1">
      <alignment horizontal="left"/>
      <protection locked="0"/>
    </xf>
    <xf numFmtId="37" fontId="8" fillId="0" borderId="1" xfId="1" applyFont="1" applyAlignment="1">
      <alignment horizontal="center" wrapText="1"/>
    </xf>
    <xf numFmtId="37" fontId="10" fillId="0" borderId="1" xfId="18" applyFont="1" applyBorder="1" applyAlignment="1" applyProtection="1">
      <alignment horizontal="center" wrapText="1"/>
      <protection locked="0"/>
    </xf>
    <xf numFmtId="0" fontId="1" fillId="0" borderId="0" xfId="0" applyFont="1" applyAlignment="1"/>
    <xf numFmtId="0" fontId="39" fillId="0" borderId="0" xfId="0" applyFont="1" applyAlignment="1">
      <alignment wrapText="1"/>
    </xf>
    <xf numFmtId="10" fontId="9" fillId="0" borderId="0" xfId="19" applyNumberFormat="1" applyFont="1" applyFill="1" applyBorder="1" applyProtection="1">
      <protection locked="0"/>
    </xf>
    <xf numFmtId="10" fontId="9" fillId="0" borderId="1" xfId="19" applyNumberFormat="1" applyFont="1" applyFill="1" applyBorder="1" applyProtection="1">
      <protection locked="0"/>
    </xf>
    <xf numFmtId="37" fontId="8" fillId="0" borderId="0" xfId="14" applyFont="1" applyFill="1" applyBorder="1" applyAlignment="1">
      <alignment horizontal="center" wrapText="1"/>
    </xf>
    <xf numFmtId="0" fontId="43" fillId="0" borderId="0" xfId="0" applyFont="1" applyFill="1"/>
    <xf numFmtId="0" fontId="39" fillId="0" borderId="0" xfId="0" applyFont="1"/>
    <xf numFmtId="37" fontId="7" fillId="0" borderId="0" xfId="19" applyFont="1" applyFill="1" applyBorder="1" applyAlignment="1" applyProtection="1">
      <alignment horizontal="left" wrapText="1" indent="1"/>
      <protection locked="0"/>
    </xf>
    <xf numFmtId="5" fontId="7" fillId="0" borderId="0" xfId="19" applyNumberFormat="1" applyFont="1" applyFill="1" applyBorder="1" applyProtection="1">
      <protection locked="0"/>
    </xf>
    <xf numFmtId="37" fontId="7" fillId="0" borderId="1" xfId="19" applyFont="1" applyFill="1" applyBorder="1" applyAlignment="1" applyProtection="1">
      <alignment horizontal="left" wrapText="1" indent="1"/>
      <protection locked="0"/>
    </xf>
    <xf numFmtId="5" fontId="7" fillId="0" borderId="1" xfId="19" applyNumberFormat="1" applyFont="1" applyFill="1" applyBorder="1" applyAlignment="1" applyProtection="1">
      <alignment horizontal="right"/>
      <protection locked="0"/>
    </xf>
    <xf numFmtId="37" fontId="2" fillId="0" borderId="0" xfId="13" applyFont="1" applyAlignment="1">
      <alignment horizontal="left" indent="1"/>
    </xf>
    <xf numFmtId="5" fontId="2" fillId="0" borderId="1" xfId="7" applyNumberFormat="1" applyFont="1" applyFill="1" applyBorder="1"/>
    <xf numFmtId="9" fontId="2" fillId="2" borderId="0" xfId="23" applyFont="1" applyFill="1" applyBorder="1" applyAlignment="1">
      <alignment horizontal="right" wrapText="1"/>
    </xf>
    <xf numFmtId="37" fontId="2" fillId="0" borderId="1" xfId="4" applyFont="1" applyBorder="1" applyAlignment="1">
      <alignment horizontal="right"/>
    </xf>
    <xf numFmtId="37" fontId="2" fillId="0" borderId="1" xfId="8" applyNumberFormat="1" applyFont="1" applyFill="1" applyBorder="1" applyAlignment="1">
      <alignment horizontal="right"/>
    </xf>
    <xf numFmtId="0" fontId="23" fillId="0" borderId="0" xfId="0" applyFont="1" applyAlignment="1">
      <alignment horizontal="left" indent="1"/>
    </xf>
    <xf numFmtId="37" fontId="23" fillId="2" borderId="1" xfId="6" applyNumberFormat="1" applyFont="1" applyFill="1" applyBorder="1"/>
    <xf numFmtId="37" fontId="23" fillId="0" borderId="1" xfId="6" applyNumberFormat="1" applyFont="1" applyBorder="1"/>
    <xf numFmtId="37" fontId="8" fillId="0" borderId="0" xfId="21" applyFont="1" applyBorder="1" applyAlignment="1">
      <alignment horizontal="center"/>
    </xf>
    <xf numFmtId="172" fontId="8" fillId="0" borderId="0" xfId="2" applyNumberFormat="1" applyFont="1" applyBorder="1" applyAlignment="1">
      <alignment horizontal="center"/>
    </xf>
    <xf numFmtId="176" fontId="46" fillId="0" borderId="1" xfId="2" applyNumberFormat="1" applyFont="1" applyBorder="1" applyAlignment="1">
      <alignment horizontal="right" wrapText="1"/>
    </xf>
    <xf numFmtId="165" fontId="46" fillId="0" borderId="1" xfId="25" applyFont="1" applyBorder="1">
      <alignment horizontal="right" wrapText="1"/>
    </xf>
    <xf numFmtId="176" fontId="47" fillId="0" borderId="1" xfId="2" applyNumberFormat="1" applyFont="1" applyBorder="1" applyAlignment="1">
      <alignment horizontal="right" wrapText="1"/>
    </xf>
    <xf numFmtId="172" fontId="17" fillId="0" borderId="0" xfId="2" applyNumberFormat="1" applyFont="1"/>
    <xf numFmtId="37" fontId="47" fillId="0" borderId="1" xfId="21" applyFont="1" applyBorder="1" applyAlignment="1" applyProtection="1">
      <alignment horizontal="left"/>
    </xf>
    <xf numFmtId="37" fontId="8" fillId="0" borderId="1" xfId="15" applyFont="1" applyBorder="1" applyAlignment="1">
      <alignment horizontal="center" wrapText="1"/>
    </xf>
    <xf numFmtId="37" fontId="8" fillId="0" borderId="20" xfId="15" applyFont="1" applyBorder="1" applyAlignment="1">
      <alignment horizontal="center" wrapText="1"/>
    </xf>
    <xf numFmtId="37" fontId="8" fillId="0" borderId="30" xfId="15" applyFont="1" applyBorder="1" applyAlignment="1">
      <alignment horizontal="center" wrapText="1"/>
    </xf>
    <xf numFmtId="170" fontId="8" fillId="0" borderId="1" xfId="15" applyNumberFormat="1" applyFont="1" applyBorder="1" applyAlignment="1">
      <alignment horizontal="center" wrapText="1"/>
    </xf>
    <xf numFmtId="37" fontId="13" fillId="0" borderId="0" xfId="15" applyFont="1" applyBorder="1" applyAlignment="1">
      <alignment horizontal="centerContinuous"/>
    </xf>
    <xf numFmtId="170" fontId="8" fillId="0" borderId="45" xfId="15" applyNumberFormat="1" applyFont="1" applyBorder="1" applyAlignment="1">
      <alignment horizontal="center" wrapText="1"/>
    </xf>
    <xf numFmtId="170" fontId="8" fillId="0" borderId="20" xfId="15" applyNumberFormat="1" applyFont="1" applyBorder="1" applyAlignment="1">
      <alignment horizontal="center" wrapText="1"/>
    </xf>
    <xf numFmtId="0" fontId="1" fillId="0" borderId="34" xfId="0" applyFont="1" applyBorder="1"/>
    <xf numFmtId="0" fontId="8" fillId="0" borderId="54" xfId="0" applyFont="1" applyBorder="1" applyAlignment="1">
      <alignment horizontal="center"/>
    </xf>
    <xf numFmtId="0" fontId="8" fillId="0" borderId="53" xfId="0" applyFont="1" applyBorder="1" applyAlignment="1">
      <alignment horizontal="center"/>
    </xf>
    <xf numFmtId="165" fontId="46" fillId="0" borderId="1" xfId="25" applyFont="1" applyAlignment="1">
      <alignment horizontal="right" wrapText="1"/>
    </xf>
    <xf numFmtId="165" fontId="46" fillId="0" borderId="1" xfId="25" applyFont="1" applyBorder="1" applyAlignment="1">
      <alignment horizontal="right" wrapText="1"/>
    </xf>
    <xf numFmtId="37" fontId="8" fillId="0" borderId="0" xfId="21" applyNumberFormat="1" applyFont="1" applyProtection="1"/>
    <xf numFmtId="165" fontId="46" fillId="0" borderId="1" xfId="25" applyFont="1">
      <alignment horizontal="right" wrapText="1"/>
    </xf>
    <xf numFmtId="37" fontId="3" fillId="0" borderId="0" xfId="21" applyAlignment="1">
      <alignment horizontal="right"/>
    </xf>
    <xf numFmtId="37" fontId="3" fillId="0" borderId="0" xfId="21" applyAlignment="1" applyProtection="1">
      <alignment horizontal="right"/>
    </xf>
    <xf numFmtId="0" fontId="56" fillId="0" borderId="0" xfId="0" applyFont="1"/>
    <xf numFmtId="0" fontId="19" fillId="0" borderId="0" xfId="0" applyNumberFormat="1" applyFont="1" applyAlignment="1">
      <alignment horizontal="right"/>
    </xf>
    <xf numFmtId="0" fontId="19" fillId="0" borderId="0" xfId="15" applyNumberFormat="1" applyFont="1" applyAlignment="1">
      <alignment horizontal="right"/>
    </xf>
    <xf numFmtId="0" fontId="3" fillId="0" borderId="0" xfId="0" applyFont="1" applyAlignment="1">
      <alignment horizontal="right"/>
    </xf>
    <xf numFmtId="0" fontId="3" fillId="0" borderId="0" xfId="0" applyFont="1" applyFill="1" applyAlignment="1">
      <alignment horizontal="right"/>
    </xf>
    <xf numFmtId="0" fontId="55" fillId="0" borderId="0" xfId="0" applyFont="1" applyFill="1"/>
    <xf numFmtId="37" fontId="8" fillId="0" borderId="1" xfId="1" applyFont="1" applyAlignment="1">
      <alignment horizontal="right" wrapText="1"/>
    </xf>
    <xf numFmtId="37" fontId="10" fillId="0" borderId="1" xfId="18" applyFont="1" applyBorder="1" applyAlignment="1" applyProtection="1">
      <alignment horizontal="right" wrapText="1"/>
      <protection locked="0"/>
    </xf>
    <xf numFmtId="37" fontId="57" fillId="0" borderId="0" xfId="18" applyFont="1" applyFill="1" applyAlignment="1">
      <alignment horizontal="left"/>
    </xf>
    <xf numFmtId="37" fontId="57" fillId="0" borderId="0" xfId="18" applyFont="1" applyFill="1" applyAlignment="1">
      <alignment horizontal="right"/>
    </xf>
    <xf numFmtId="44" fontId="57" fillId="0" borderId="0" xfId="6" applyFont="1" applyFill="1"/>
    <xf numFmtId="37" fontId="57" fillId="0" borderId="0" xfId="18" applyFont="1" applyFill="1"/>
    <xf numFmtId="5" fontId="57" fillId="0" borderId="0" xfId="6" applyNumberFormat="1" applyFont="1" applyFill="1"/>
    <xf numFmtId="6" fontId="57" fillId="0" borderId="0" xfId="18" applyNumberFormat="1" applyFont="1" applyFill="1"/>
    <xf numFmtId="37" fontId="3" fillId="0" borderId="0" xfId="21" applyFont="1" applyAlignment="1" applyProtection="1">
      <alignment horizontal="left" indent="1"/>
    </xf>
    <xf numFmtId="179" fontId="3" fillId="0" borderId="0" xfId="21" applyNumberFormat="1" applyFont="1" applyAlignment="1" applyProtection="1">
      <alignment horizontal="left"/>
    </xf>
    <xf numFmtId="180" fontId="3" fillId="0" borderId="0" xfId="21" applyNumberFormat="1" applyFont="1" applyAlignment="1" applyProtection="1">
      <alignment horizontal="left"/>
    </xf>
    <xf numFmtId="0" fontId="3" fillId="0" borderId="0" xfId="0" applyFont="1" applyAlignment="1">
      <alignment horizontal="left" indent="1"/>
    </xf>
    <xf numFmtId="37" fontId="3" fillId="0" borderId="0" xfId="0" applyNumberFormat="1" applyFont="1" applyFill="1" applyBorder="1"/>
    <xf numFmtId="37" fontId="3" fillId="0" borderId="1" xfId="0" applyNumberFormat="1" applyFont="1" applyFill="1" applyBorder="1"/>
    <xf numFmtId="37" fontId="12" fillId="0" borderId="0" xfId="20" applyFont="1" applyFill="1"/>
    <xf numFmtId="37" fontId="3" fillId="0" borderId="0" xfId="20" applyFont="1" applyFill="1"/>
    <xf numFmtId="37" fontId="13" fillId="0" borderId="0" xfId="20" applyFont="1" applyFill="1" applyBorder="1" applyAlignment="1">
      <alignment horizontal="center"/>
    </xf>
    <xf numFmtId="164" fontId="3" fillId="0" borderId="0" xfId="11" applyFont="1" applyFill="1" applyBorder="1"/>
    <xf numFmtId="164" fontId="3" fillId="0" borderId="1" xfId="11" applyFont="1" applyFill="1" applyBorder="1"/>
    <xf numFmtId="164" fontId="3" fillId="0" borderId="0" xfId="11" applyFont="1" applyFill="1"/>
    <xf numFmtId="0" fontId="12" fillId="0" borderId="0" xfId="0" applyFont="1" applyFill="1"/>
    <xf numFmtId="173" fontId="3" fillId="0" borderId="1" xfId="0" applyNumberFormat="1" applyFont="1" applyFill="1" applyBorder="1"/>
    <xf numFmtId="5" fontId="3" fillId="0" borderId="0" xfId="21" applyNumberFormat="1" applyFont="1" applyFill="1" applyBorder="1"/>
    <xf numFmtId="172" fontId="3" fillId="0" borderId="0" xfId="3" applyNumberFormat="1" applyFont="1" applyFill="1"/>
    <xf numFmtId="172" fontId="3" fillId="0" borderId="0" xfId="0" applyNumberFormat="1" applyFont="1" applyFill="1" applyBorder="1"/>
    <xf numFmtId="172" fontId="3" fillId="0" borderId="1" xfId="0" applyNumberFormat="1" applyFont="1" applyFill="1" applyBorder="1"/>
    <xf numFmtId="164" fontId="3" fillId="0" borderId="0" xfId="0" applyNumberFormat="1" applyFont="1" applyFill="1"/>
    <xf numFmtId="171" fontId="3" fillId="0" borderId="0" xfId="6" applyNumberFormat="1" applyFont="1" applyFill="1"/>
    <xf numFmtId="171" fontId="3" fillId="0" borderId="1" xfId="6" applyNumberFormat="1" applyFont="1" applyFill="1" applyBorder="1"/>
    <xf numFmtId="44" fontId="3" fillId="0" borderId="0" xfId="6" applyFont="1" applyFill="1"/>
    <xf numFmtId="172" fontId="1" fillId="0" borderId="0" xfId="3" applyNumberFormat="1" applyFont="1" applyFill="1"/>
    <xf numFmtId="0" fontId="0" fillId="0" borderId="0" xfId="0" quotePrefix="1" applyFill="1"/>
    <xf numFmtId="0" fontId="1" fillId="6" borderId="0" xfId="0" applyFont="1" applyFill="1"/>
    <xf numFmtId="0" fontId="3" fillId="6" borderId="0" xfId="0" applyFont="1" applyFill="1"/>
    <xf numFmtId="37" fontId="3" fillId="0" borderId="0" xfId="22" applyBorder="1"/>
    <xf numFmtId="37" fontId="3" fillId="0" borderId="7" xfId="22" applyNumberFormat="1" applyBorder="1" applyAlignment="1" applyProtection="1">
      <alignment horizontal="right"/>
    </xf>
    <xf numFmtId="37" fontId="3" fillId="0" borderId="0" xfId="22" applyNumberFormat="1" applyBorder="1" applyAlignment="1" applyProtection="1">
      <alignment horizontal="right"/>
    </xf>
    <xf numFmtId="37" fontId="3" fillId="0" borderId="8" xfId="22" applyNumberFormat="1" applyBorder="1" applyAlignment="1" applyProtection="1">
      <alignment horizontal="right"/>
    </xf>
    <xf numFmtId="37" fontId="8" fillId="0" borderId="7" xfId="22" applyNumberFormat="1" applyFont="1" applyBorder="1" applyProtection="1"/>
    <xf numFmtId="37" fontId="8" fillId="0" borderId="8" xfId="22" applyNumberFormat="1" applyFont="1" applyBorder="1" applyProtection="1"/>
    <xf numFmtId="172" fontId="3" fillId="2" borderId="8" xfId="2" applyNumberFormat="1" applyFont="1" applyFill="1" applyBorder="1" applyProtection="1"/>
    <xf numFmtId="174" fontId="3" fillId="2" borderId="0" xfId="21" applyNumberFormat="1" applyFont="1" applyFill="1" applyProtection="1"/>
    <xf numFmtId="0" fontId="39" fillId="0" borderId="0" xfId="0" applyFont="1" applyFill="1"/>
    <xf numFmtId="37" fontId="12" fillId="0" borderId="0" xfId="16" applyFont="1" applyBorder="1" applyAlignment="1">
      <alignment horizontal="centerContinuous"/>
    </xf>
    <xf numFmtId="37" fontId="28" fillId="0" borderId="0" xfId="16" quotePrefix="1" applyFont="1" applyAlignment="1">
      <alignment horizontal="centerContinuous"/>
    </xf>
    <xf numFmtId="37" fontId="12" fillId="0" borderId="0" xfId="16" applyFont="1" applyAlignment="1">
      <alignment horizontal="centerContinuous"/>
    </xf>
    <xf numFmtId="0" fontId="1" fillId="6" borderId="0" xfId="0" applyFont="1" applyFill="1" applyAlignment="1">
      <alignment wrapText="1"/>
    </xf>
    <xf numFmtId="37" fontId="3" fillId="0" borderId="55" xfId="0" applyNumberFormat="1" applyFont="1" applyFill="1" applyBorder="1" applyAlignment="1">
      <alignment horizontal="right"/>
    </xf>
    <xf numFmtId="37" fontId="3" fillId="0" borderId="2" xfId="14" applyFont="1" applyFill="1" applyBorder="1" applyAlignment="1">
      <alignment horizontal="right"/>
    </xf>
    <xf numFmtId="0" fontId="3" fillId="0" borderId="56" xfId="0" applyFont="1" applyFill="1" applyBorder="1" applyAlignment="1">
      <alignment horizontal="left"/>
    </xf>
    <xf numFmtId="0" fontId="1" fillId="0" borderId="0" xfId="0" applyFont="1" applyAlignment="1">
      <alignment wrapText="1"/>
    </xf>
    <xf numFmtId="0" fontId="0" fillId="0" borderId="0" xfId="0" applyAlignment="1">
      <alignment wrapText="1"/>
    </xf>
    <xf numFmtId="0" fontId="15" fillId="0" borderId="0" xfId="0" applyFont="1" applyFill="1" applyAlignment="1">
      <alignment wrapText="1"/>
    </xf>
    <xf numFmtId="37" fontId="11" fillId="0" borderId="0" xfId="24" applyFont="1" applyFill="1" applyAlignment="1">
      <alignment horizontal="center" wrapText="1"/>
    </xf>
    <xf numFmtId="37" fontId="8" fillId="0" borderId="0" xfId="24" applyFont="1" applyFill="1" applyAlignment="1">
      <alignment horizontal="center" wrapText="1"/>
    </xf>
    <xf numFmtId="37" fontId="4" fillId="0" borderId="0" xfId="24" applyFont="1" applyAlignment="1">
      <alignment horizontal="center" wrapText="1"/>
    </xf>
    <xf numFmtId="0" fontId="0" fillId="0" borderId="0" xfId="0" applyAlignment="1">
      <alignment horizontal="center" wrapText="1"/>
    </xf>
    <xf numFmtId="0" fontId="19" fillId="0" borderId="0" xfId="0" applyFont="1" applyAlignment="1">
      <alignment wrapText="1"/>
    </xf>
    <xf numFmtId="0" fontId="3" fillId="0" borderId="0" xfId="0" applyFont="1" applyAlignment="1">
      <alignment wrapText="1"/>
    </xf>
    <xf numFmtId="37" fontId="3" fillId="0" borderId="6" xfId="15" applyFont="1" applyBorder="1" applyAlignment="1">
      <alignment horizontal="left" wrapText="1"/>
    </xf>
    <xf numFmtId="0" fontId="3" fillId="0" borderId="0" xfId="0" applyFont="1" applyAlignment="1">
      <alignment horizontal="center"/>
    </xf>
    <xf numFmtId="172" fontId="3" fillId="0" borderId="0" xfId="3" applyNumberFormat="1" applyFont="1" applyFill="1" applyAlignment="1">
      <alignment horizontal="left" wrapText="1"/>
    </xf>
  </cellXfs>
  <cellStyles count="26">
    <cellStyle name="Column Headings" xfId="1"/>
    <cellStyle name="Comma" xfId="2" builtinId="3"/>
    <cellStyle name="Comma 2" xfId="3"/>
    <cellStyle name="Comma_Development cost" xfId="4"/>
    <cellStyle name="Comma_Sheet3 (5)" xfId="5"/>
    <cellStyle name="Currency" xfId="6" builtinId="4"/>
    <cellStyle name="Currency_Debt Calculation" xfId="7"/>
    <cellStyle name="Currency_Development cost" xfId="8"/>
    <cellStyle name="Currency_Investors Analysis" xfId="9"/>
    <cellStyle name="Currency_Sheet1" xfId="10"/>
    <cellStyle name="Currency_Sheet3 (4)" xfId="11"/>
    <cellStyle name="Currency_Sheet3 (5)" xfId="12"/>
    <cellStyle name="Normal" xfId="0" builtinId="0"/>
    <cellStyle name="Normal_Debt Calculation" xfId="13"/>
    <cellStyle name="Normal_Development cost" xfId="14"/>
    <cellStyle name="Normal_Development period" xfId="15"/>
    <cellStyle name="Normal_Investors Analysis" xfId="16"/>
    <cellStyle name="Normal_List of Tables" xfId="17"/>
    <cellStyle name="Normal_Sheet1" xfId="18"/>
    <cellStyle name="Normal_Sheet2" xfId="19"/>
    <cellStyle name="Normal_Sheet3 (4)" xfId="20"/>
    <cellStyle name="Normal_Sheet3 (5)" xfId="21"/>
    <cellStyle name="Normal_Sheet3 (6)" xfId="22"/>
    <cellStyle name="Percent" xfId="23" builtinId="5"/>
    <cellStyle name="Title" xfId="24" builtinId="15" customBuiltin="1"/>
    <cellStyle name="Year"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heetViews>
  <sheetFormatPr defaultRowHeight="12.75" x14ac:dyDescent="0.2"/>
  <cols>
    <col min="1" max="1" width="90.140625" customWidth="1"/>
    <col min="9" max="9" width="10.42578125" bestFit="1" customWidth="1"/>
  </cols>
  <sheetData>
    <row r="1" spans="1:1" ht="38.25" x14ac:dyDescent="0.2">
      <c r="A1" s="800" t="s">
        <v>290</v>
      </c>
    </row>
    <row r="2" spans="1:1" x14ac:dyDescent="0.2">
      <c r="A2" s="269"/>
    </row>
    <row r="4" spans="1:1" ht="19.5" x14ac:dyDescent="0.35">
      <c r="A4" s="139" t="s">
        <v>171</v>
      </c>
    </row>
    <row r="5" spans="1:1" ht="25.5" x14ac:dyDescent="0.2">
      <c r="A5" s="266" t="s">
        <v>467</v>
      </c>
    </row>
    <row r="6" spans="1:1" x14ac:dyDescent="0.2">
      <c r="A6" s="141"/>
    </row>
    <row r="7" spans="1:1" ht="25.5" x14ac:dyDescent="0.2">
      <c r="A7" s="266" t="s">
        <v>466</v>
      </c>
    </row>
    <row r="8" spans="1:1" x14ac:dyDescent="0.2">
      <c r="A8" s="141"/>
    </row>
    <row r="9" spans="1:1" ht="25.5" x14ac:dyDescent="0.2">
      <c r="A9" s="266" t="s">
        <v>468</v>
      </c>
    </row>
    <row r="10" spans="1:1" x14ac:dyDescent="0.2">
      <c r="A10" s="141"/>
    </row>
    <row r="11" spans="1:1" ht="25.5" x14ac:dyDescent="0.2">
      <c r="A11" s="266" t="s">
        <v>469</v>
      </c>
    </row>
    <row r="12" spans="1:1" x14ac:dyDescent="0.2">
      <c r="A12" s="141"/>
    </row>
    <row r="13" spans="1:1" x14ac:dyDescent="0.2">
      <c r="A13" s="266" t="s">
        <v>195</v>
      </c>
    </row>
    <row r="14" spans="1:1" x14ac:dyDescent="0.2">
      <c r="A14" s="266" t="s">
        <v>470</v>
      </c>
    </row>
    <row r="15" spans="1:1" x14ac:dyDescent="0.2">
      <c r="A15" s="266"/>
    </row>
    <row r="16" spans="1:1" ht="25.5" x14ac:dyDescent="0.2">
      <c r="A16" s="266" t="s">
        <v>471</v>
      </c>
    </row>
    <row r="17" spans="1:1" x14ac:dyDescent="0.2">
      <c r="A17" s="141"/>
    </row>
    <row r="18" spans="1:1" ht="25.5" x14ac:dyDescent="0.2">
      <c r="A18" s="266" t="s">
        <v>473</v>
      </c>
    </row>
    <row r="19" spans="1:1" x14ac:dyDescent="0.2">
      <c r="A19" s="141"/>
    </row>
    <row r="20" spans="1:1" ht="24.75" customHeight="1" x14ac:dyDescent="0.2">
      <c r="A20" s="266" t="s">
        <v>474</v>
      </c>
    </row>
    <row r="21" spans="1:1" x14ac:dyDescent="0.2">
      <c r="A21" s="141"/>
    </row>
    <row r="22" spans="1:1" ht="25.5" x14ac:dyDescent="0.2">
      <c r="A22" s="266" t="s">
        <v>472</v>
      </c>
    </row>
    <row r="23" spans="1:1" x14ac:dyDescent="0.2">
      <c r="A23" s="141"/>
    </row>
    <row r="24" spans="1:1" ht="38.25" x14ac:dyDescent="0.2">
      <c r="A24" s="266" t="s">
        <v>475</v>
      </c>
    </row>
    <row r="25" spans="1:1" x14ac:dyDescent="0.2">
      <c r="A25" s="141"/>
    </row>
    <row r="26" spans="1:1" ht="25.5" x14ac:dyDescent="0.2">
      <c r="A26" s="266" t="s">
        <v>438</v>
      </c>
    </row>
    <row r="27" spans="1:1" x14ac:dyDescent="0.2">
      <c r="A27" s="140"/>
    </row>
    <row r="28" spans="1:1" x14ac:dyDescent="0.2">
      <c r="A28" s="140"/>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2"/>
  <sheetViews>
    <sheetView zoomScaleNormal="100" workbookViewId="0">
      <selection activeCell="E9" sqref="E9"/>
    </sheetView>
  </sheetViews>
  <sheetFormatPr defaultRowHeight="12.75" outlineLevelRow="1" x14ac:dyDescent="0.2"/>
  <cols>
    <col min="1" max="1" width="5.5703125" customWidth="1"/>
    <col min="2" max="2" width="37.28515625" customWidth="1"/>
    <col min="5" max="5" width="15.7109375" customWidth="1"/>
    <col min="6" max="6" width="13.7109375" customWidth="1"/>
    <col min="7" max="7" width="18" bestFit="1" customWidth="1"/>
    <col min="8" max="8" width="13.42578125" customWidth="1"/>
    <col min="9" max="9" width="10.7109375" bestFit="1" customWidth="1"/>
    <col min="10" max="10" width="13.140625" customWidth="1"/>
    <col min="11" max="11" width="32.42578125" customWidth="1"/>
    <col min="12" max="12" width="21.140625" customWidth="1"/>
    <col min="13" max="13" width="16.85546875" customWidth="1"/>
    <col min="14" max="14" width="10.28515625" bestFit="1" customWidth="1"/>
  </cols>
  <sheetData>
    <row r="1" spans="1:12" ht="58.5" x14ac:dyDescent="0.35">
      <c r="B1" s="6" t="s">
        <v>282</v>
      </c>
      <c r="C1" s="7"/>
      <c r="D1" s="7"/>
      <c r="E1" s="66"/>
      <c r="F1" s="66"/>
      <c r="G1" s="67"/>
    </row>
    <row r="2" spans="1:12" x14ac:dyDescent="0.2">
      <c r="B2" s="293"/>
      <c r="C2" s="293"/>
      <c r="D2" s="293"/>
      <c r="E2" s="293" t="s">
        <v>57</v>
      </c>
      <c r="F2" s="814" t="s">
        <v>241</v>
      </c>
      <c r="G2" s="814"/>
      <c r="H2" s="814"/>
      <c r="I2" s="293"/>
      <c r="J2" s="293"/>
    </row>
    <row r="3" spans="1:12" x14ac:dyDescent="0.2">
      <c r="B3" s="322" t="s">
        <v>183</v>
      </c>
      <c r="C3" s="293"/>
      <c r="D3" s="293"/>
      <c r="E3" s="740" t="s">
        <v>92</v>
      </c>
      <c r="F3" s="741">
        <v>0</v>
      </c>
      <c r="G3" s="741">
        <v>1</v>
      </c>
      <c r="H3" s="741">
        <v>2</v>
      </c>
      <c r="I3" s="293"/>
      <c r="J3" s="293"/>
    </row>
    <row r="4" spans="1:12" x14ac:dyDescent="0.2">
      <c r="B4" s="293"/>
      <c r="C4" s="293"/>
      <c r="D4" s="293"/>
      <c r="E4" s="653"/>
      <c r="F4" s="654"/>
      <c r="G4" s="654"/>
      <c r="H4" s="654"/>
      <c r="I4" s="293"/>
      <c r="J4" s="293"/>
    </row>
    <row r="5" spans="1:12" x14ac:dyDescent="0.2">
      <c r="A5">
        <v>1</v>
      </c>
      <c r="B5" s="293" t="s">
        <v>245</v>
      </c>
      <c r="C5" s="293"/>
      <c r="D5" s="293"/>
      <c r="E5" s="655">
        <f>SUM(F5:H5)</f>
        <v>7449967.8165964251</v>
      </c>
      <c r="F5" s="656">
        <f>'4-5 St3a Development period'!G20</f>
        <v>1718085</v>
      </c>
      <c r="G5" s="656">
        <f>'4-5 St3a Development period'!H20</f>
        <v>5554820.0757707953</v>
      </c>
      <c r="H5" s="656">
        <f>'4-5 St3a Development period'!I20</f>
        <v>177062.74082563006</v>
      </c>
      <c r="I5" s="293"/>
      <c r="J5" s="293"/>
    </row>
    <row r="6" spans="1:12" x14ac:dyDescent="0.2">
      <c r="A6">
        <v>2</v>
      </c>
      <c r="B6" s="293" t="s">
        <v>246</v>
      </c>
      <c r="C6" s="293"/>
      <c r="D6" s="293"/>
      <c r="E6" s="657">
        <f>SUM(F6:H6)</f>
        <v>401312.69698334148</v>
      </c>
      <c r="F6" s="658">
        <f>'4-5 St3a Development period'!G70</f>
        <v>5418.3991528792585</v>
      </c>
      <c r="G6" s="658">
        <f>'4-5 St3a Development period'!H70</f>
        <v>395894.29783046222</v>
      </c>
      <c r="H6" s="658">
        <f>'4-5 St3a Development period'!I70</f>
        <v>0</v>
      </c>
      <c r="I6" s="293"/>
      <c r="J6" s="293"/>
    </row>
    <row r="7" spans="1:12" x14ac:dyDescent="0.2">
      <c r="A7">
        <v>3</v>
      </c>
      <c r="B7" s="293" t="s">
        <v>185</v>
      </c>
      <c r="C7" s="293"/>
      <c r="D7" s="293"/>
      <c r="E7" s="655">
        <f>SUM(E5:E6)</f>
        <v>7851280.5135797663</v>
      </c>
      <c r="F7" s="656">
        <f>SUM(F5:F6)</f>
        <v>1723503.3991528794</v>
      </c>
      <c r="G7" s="656">
        <f>SUM(G5:G6)</f>
        <v>5950714.3736012578</v>
      </c>
      <c r="H7" s="656">
        <f>SUM(H5:H6)</f>
        <v>177062.74082563006</v>
      </c>
      <c r="I7" s="293"/>
      <c r="J7" s="293"/>
      <c r="L7" s="41"/>
    </row>
    <row r="8" spans="1:12" x14ac:dyDescent="0.2">
      <c r="B8" s="293"/>
      <c r="C8" s="293"/>
      <c r="D8" s="293"/>
      <c r="E8" s="653"/>
      <c r="F8" s="654"/>
      <c r="G8" s="654"/>
      <c r="H8" s="654"/>
      <c r="I8" s="293"/>
      <c r="J8" s="293"/>
    </row>
    <row r="9" spans="1:12" x14ac:dyDescent="0.2">
      <c r="A9">
        <v>4</v>
      </c>
      <c r="B9" s="659" t="s">
        <v>247</v>
      </c>
      <c r="C9" s="293"/>
      <c r="D9" s="293"/>
      <c r="E9" s="653"/>
      <c r="F9" s="654"/>
      <c r="G9" s="654"/>
      <c r="H9" s="654"/>
      <c r="I9" s="293"/>
      <c r="J9" s="293"/>
    </row>
    <row r="10" spans="1:12" x14ac:dyDescent="0.2">
      <c r="A10">
        <v>5</v>
      </c>
      <c r="B10" s="660" t="s">
        <v>248</v>
      </c>
      <c r="C10" s="293"/>
      <c r="D10" s="293"/>
      <c r="E10" s="661">
        <f>SUM(F10:H10)</f>
        <v>975000</v>
      </c>
      <c r="F10" s="662">
        <f>'4-5 St3a Development period'!G29</f>
        <v>0</v>
      </c>
      <c r="G10" s="662">
        <f>'4-5 St3a Development period'!H29</f>
        <v>975000</v>
      </c>
      <c r="H10" s="662">
        <f>'4-5 St3a Development period'!I29</f>
        <v>0</v>
      </c>
      <c r="I10" s="335"/>
      <c r="J10" s="293"/>
    </row>
    <row r="11" spans="1:12" x14ac:dyDescent="0.2">
      <c r="A11">
        <v>6</v>
      </c>
      <c r="B11" s="660" t="s">
        <v>249</v>
      </c>
      <c r="C11" s="293"/>
      <c r="D11" s="293"/>
      <c r="E11" s="661">
        <f>SUM(F11:H11)</f>
        <v>390094.82926629926</v>
      </c>
      <c r="F11" s="662">
        <f>'4-5 St3a Development period'!G45</f>
        <v>0</v>
      </c>
      <c r="G11" s="662">
        <f>'4-5 St3a Development period'!H45</f>
        <v>0</v>
      </c>
      <c r="H11" s="662">
        <f>'4-5 St3a Development period'!I45</f>
        <v>390094.82926629926</v>
      </c>
      <c r="I11" s="335"/>
      <c r="J11" s="293"/>
    </row>
    <row r="12" spans="1:12" x14ac:dyDescent="0.2">
      <c r="A12">
        <v>7</v>
      </c>
      <c r="B12" s="663" t="s">
        <v>392</v>
      </c>
      <c r="C12" s="664"/>
      <c r="D12" s="664"/>
      <c r="E12" s="661">
        <f>SUM(F12:H12)</f>
        <v>-699832.60444466001</v>
      </c>
      <c r="F12" s="662">
        <f>-'4-5 St3a Development period'!G71</f>
        <v>0</v>
      </c>
      <c r="G12" s="662">
        <f>-'4-5 St3a Development period'!H71</f>
        <v>0</v>
      </c>
      <c r="H12" s="662">
        <f>-'4-5 St3a Development period'!I71</f>
        <v>-699832.60444466001</v>
      </c>
      <c r="I12" s="293"/>
      <c r="J12" s="293"/>
    </row>
    <row r="13" spans="1:12" x14ac:dyDescent="0.2">
      <c r="A13">
        <v>8</v>
      </c>
      <c r="B13" s="663" t="s">
        <v>250</v>
      </c>
      <c r="C13" s="664"/>
      <c r="D13" s="664"/>
      <c r="E13" s="665">
        <f>SUM(F13:H13)</f>
        <v>-682500</v>
      </c>
      <c r="F13" s="658">
        <f>'4-5 St3a Development period'!G62</f>
        <v>0</v>
      </c>
      <c r="G13" s="658">
        <f>'4-5 St3a Development period'!H62</f>
        <v>-682500</v>
      </c>
      <c r="H13" s="658">
        <f>'4-5 St3a Development period'!I62</f>
        <v>0</v>
      </c>
      <c r="I13" s="293"/>
      <c r="J13" s="293"/>
    </row>
    <row r="14" spans="1:12" x14ac:dyDescent="0.2">
      <c r="A14">
        <v>9</v>
      </c>
      <c r="B14" s="315" t="s">
        <v>455</v>
      </c>
      <c r="C14" s="293"/>
      <c r="D14" s="293"/>
      <c r="E14" s="661">
        <f>SUM(E10:E13)</f>
        <v>-17237.775178360753</v>
      </c>
      <c r="F14" s="662">
        <f>SUM(F10:F13)</f>
        <v>0</v>
      </c>
      <c r="G14" s="662">
        <f>SUM(G10:G13)</f>
        <v>292500</v>
      </c>
      <c r="H14" s="662">
        <f>SUM(H10:H13)</f>
        <v>-309737.77517836075</v>
      </c>
      <c r="I14" s="293"/>
      <c r="J14" s="293"/>
      <c r="K14" s="449"/>
      <c r="L14" s="40"/>
    </row>
    <row r="15" spans="1:12" x14ac:dyDescent="0.2">
      <c r="B15" s="315"/>
      <c r="C15" s="293"/>
      <c r="D15" s="293"/>
      <c r="E15" s="661"/>
      <c r="F15" s="662"/>
      <c r="G15" s="662"/>
      <c r="H15" s="662"/>
      <c r="I15" s="293"/>
      <c r="J15" s="293"/>
    </row>
    <row r="16" spans="1:12" x14ac:dyDescent="0.2">
      <c r="A16">
        <v>10</v>
      </c>
      <c r="B16" s="315" t="s">
        <v>393</v>
      </c>
      <c r="C16" s="293"/>
      <c r="D16" s="293"/>
      <c r="E16" s="661">
        <f>SUM(F16:H16)</f>
        <v>0</v>
      </c>
      <c r="F16" s="662"/>
      <c r="G16" s="662"/>
      <c r="H16" s="662">
        <v>0</v>
      </c>
      <c r="I16" s="293"/>
      <c r="J16" s="293"/>
    </row>
    <row r="17" spans="1:14" x14ac:dyDescent="0.2">
      <c r="B17" s="293"/>
      <c r="C17" s="293"/>
      <c r="D17" s="293"/>
      <c r="E17" s="665"/>
      <c r="F17" s="658"/>
      <c r="G17" s="658"/>
      <c r="H17" s="658"/>
      <c r="I17" s="293"/>
      <c r="J17" s="293"/>
    </row>
    <row r="18" spans="1:14" x14ac:dyDescent="0.2">
      <c r="A18">
        <v>11</v>
      </c>
      <c r="B18" s="322" t="s">
        <v>251</v>
      </c>
      <c r="C18" s="322"/>
      <c r="D18" s="322"/>
      <c r="E18" s="666">
        <f>SUM(E7,-E14,E16)</f>
        <v>7868518.288758127</v>
      </c>
      <c r="F18" s="666">
        <f>SUM(F7,-F14,F16)</f>
        <v>1723503.3991528794</v>
      </c>
      <c r="G18" s="666">
        <f>SUM(G7,-G14,G16)</f>
        <v>5658214.3736012578</v>
      </c>
      <c r="H18" s="666">
        <f>SUM(H7,-H14,H16)</f>
        <v>486800.51600399078</v>
      </c>
      <c r="I18" s="667"/>
      <c r="J18" s="293"/>
      <c r="K18" s="267"/>
      <c r="L18" s="41"/>
    </row>
    <row r="19" spans="1:14" x14ac:dyDescent="0.2">
      <c r="B19" s="322"/>
      <c r="C19" s="293"/>
      <c r="D19" s="293"/>
      <c r="E19" s="655"/>
      <c r="F19" s="656"/>
      <c r="G19" s="656"/>
      <c r="H19" s="656"/>
      <c r="I19" s="293"/>
      <c r="J19" s="293"/>
    </row>
    <row r="20" spans="1:14" x14ac:dyDescent="0.2">
      <c r="B20" s="293"/>
      <c r="C20" s="293"/>
      <c r="D20" s="293"/>
      <c r="E20" s="653"/>
      <c r="F20" s="654"/>
      <c r="G20" s="654"/>
      <c r="H20" s="654"/>
      <c r="I20" s="293"/>
      <c r="J20" s="668"/>
    </row>
    <row r="21" spans="1:14" ht="15" x14ac:dyDescent="0.35">
      <c r="A21">
        <v>12</v>
      </c>
      <c r="B21" s="322" t="s">
        <v>184</v>
      </c>
      <c r="C21" s="293"/>
      <c r="D21" s="293"/>
      <c r="E21" s="653"/>
      <c r="F21" s="654"/>
      <c r="G21" s="654"/>
      <c r="H21" s="654"/>
      <c r="I21" s="293"/>
      <c r="J21" s="669"/>
    </row>
    <row r="22" spans="1:14" x14ac:dyDescent="0.2">
      <c r="B22" s="293"/>
      <c r="C22" s="293"/>
      <c r="D22" s="293"/>
      <c r="E22" s="653" t="s">
        <v>57</v>
      </c>
      <c r="F22" s="654"/>
      <c r="G22" s="654"/>
      <c r="H22" s="654"/>
      <c r="I22" s="293"/>
      <c r="J22" s="668"/>
    </row>
    <row r="23" spans="1:14" x14ac:dyDescent="0.2">
      <c r="A23">
        <v>13</v>
      </c>
      <c r="B23" s="659" t="s">
        <v>253</v>
      </c>
      <c r="C23" s="293"/>
      <c r="D23" s="293"/>
      <c r="E23" s="653"/>
      <c r="F23" s="654"/>
      <c r="G23" s="654"/>
      <c r="H23" s="654"/>
      <c r="I23" s="293"/>
      <c r="J23" s="293"/>
    </row>
    <row r="24" spans="1:14" x14ac:dyDescent="0.2">
      <c r="A24">
        <v>14</v>
      </c>
      <c r="B24" s="670" t="s">
        <v>0</v>
      </c>
      <c r="C24" s="652"/>
      <c r="D24" s="652"/>
      <c r="E24" s="671">
        <f>SUM(F24:H24)</f>
        <v>6093109.4267883766</v>
      </c>
      <c r="F24" s="672">
        <f>'4-5 St3a Development period'!G66</f>
        <v>361226.61019195057</v>
      </c>
      <c r="G24" s="672">
        <f>'4-5 St3a Development period'!H66</f>
        <v>5554820.0757707953</v>
      </c>
      <c r="H24" s="672">
        <f>'4-5 St3a Development period'!I66</f>
        <v>177062.74082563072</v>
      </c>
      <c r="I24" s="293"/>
      <c r="J24" s="293"/>
    </row>
    <row r="25" spans="1:14" x14ac:dyDescent="0.2">
      <c r="A25">
        <v>15</v>
      </c>
      <c r="B25" s="670" t="s">
        <v>1</v>
      </c>
      <c r="C25" s="652"/>
      <c r="D25" s="652"/>
      <c r="E25" s="673">
        <f>SUM(F25:H25)</f>
        <v>665082.1454084462</v>
      </c>
      <c r="F25" s="674">
        <f>'4-5 St3a Development period'!G76</f>
        <v>5418.3991528792585</v>
      </c>
      <c r="G25" s="674">
        <f>'4-5 St3a Development period'!H76</f>
        <v>349925.97107720631</v>
      </c>
      <c r="H25" s="674">
        <f>'4-5 St3a Development period'!I76</f>
        <v>309737.77517836069</v>
      </c>
      <c r="I25" s="293"/>
      <c r="J25" s="293"/>
    </row>
    <row r="26" spans="1:14" x14ac:dyDescent="0.2">
      <c r="A26">
        <v>16</v>
      </c>
      <c r="B26" s="675" t="s">
        <v>254</v>
      </c>
      <c r="C26" s="652"/>
      <c r="D26" s="652"/>
      <c r="E26" s="671">
        <f>SUM(F26:H26)</f>
        <v>6758191.5721968235</v>
      </c>
      <c r="F26" s="672">
        <f>SUM(F24:F25)</f>
        <v>366645.00934482983</v>
      </c>
      <c r="G26" s="672">
        <f>SUM(G24:G25)</f>
        <v>5904746.0468480019</v>
      </c>
      <c r="H26" s="672">
        <f>SUM(H24:H25)</f>
        <v>486800.51600399142</v>
      </c>
      <c r="I26" s="293"/>
      <c r="J26" s="293"/>
      <c r="K26" s="267"/>
      <c r="L26" s="450"/>
      <c r="N26" s="450"/>
    </row>
    <row r="27" spans="1:14" ht="15" x14ac:dyDescent="0.35">
      <c r="B27" s="676"/>
      <c r="C27" s="652"/>
      <c r="D27" s="652"/>
      <c r="E27" s="671"/>
      <c r="F27" s="672"/>
      <c r="G27" s="672"/>
      <c r="H27" s="672"/>
      <c r="I27" s="293"/>
      <c r="J27" s="293"/>
      <c r="N27" s="579"/>
    </row>
    <row r="28" spans="1:14" ht="15" x14ac:dyDescent="0.35">
      <c r="A28">
        <v>17</v>
      </c>
      <c r="B28" s="676" t="s">
        <v>242</v>
      </c>
      <c r="C28" s="652"/>
      <c r="D28" s="652"/>
      <c r="E28" s="671">
        <f>SUM(F28:H28)</f>
        <v>1356858.3898080494</v>
      </c>
      <c r="F28" s="672">
        <f>'4-5 St3a Development period'!G54</f>
        <v>1356858.3898080494</v>
      </c>
      <c r="G28" s="672">
        <f>'4-5 St3a Development period'!H54</f>
        <v>0</v>
      </c>
      <c r="H28" s="672">
        <f>'4-5 St3a Development period'!I54</f>
        <v>0</v>
      </c>
      <c r="I28" s="293"/>
      <c r="J28" s="668"/>
      <c r="K28" s="267"/>
      <c r="L28" s="579"/>
      <c r="N28" s="450"/>
    </row>
    <row r="29" spans="1:14" x14ac:dyDescent="0.2">
      <c r="A29">
        <v>18</v>
      </c>
      <c r="B29" s="676" t="s">
        <v>188</v>
      </c>
      <c r="C29" s="652"/>
      <c r="D29" s="652"/>
      <c r="E29" s="671">
        <f>SUM(F29:H29)</f>
        <v>0</v>
      </c>
      <c r="F29" s="672">
        <f>-'4-5 St3a Development period'!G79</f>
        <v>0</v>
      </c>
      <c r="G29" s="672">
        <f>-'4-5 St3a Development period'!H79</f>
        <v>0</v>
      </c>
      <c r="H29" s="672">
        <f>-'4-5 St3a Development period'!I79</f>
        <v>0</v>
      </c>
      <c r="I29" s="293"/>
      <c r="J29" s="293"/>
      <c r="K29" s="267"/>
      <c r="L29" s="577"/>
      <c r="M29" s="267"/>
      <c r="N29" s="589"/>
    </row>
    <row r="30" spans="1:14" x14ac:dyDescent="0.2">
      <c r="A30">
        <v>19</v>
      </c>
      <c r="B30" s="676" t="s">
        <v>256</v>
      </c>
      <c r="C30" s="652"/>
      <c r="D30" s="652"/>
      <c r="E30" s="671">
        <f>SUM(F30:H30)</f>
        <v>0</v>
      </c>
      <c r="F30" s="672"/>
      <c r="G30" s="672"/>
      <c r="H30" s="672">
        <v>0</v>
      </c>
      <c r="I30" s="293"/>
      <c r="J30" s="668"/>
      <c r="K30" s="267"/>
      <c r="L30" s="450"/>
      <c r="M30" s="267"/>
      <c r="N30" s="450"/>
    </row>
    <row r="31" spans="1:14" x14ac:dyDescent="0.2">
      <c r="A31">
        <v>20</v>
      </c>
      <c r="B31" s="677" t="s">
        <v>394</v>
      </c>
      <c r="C31" s="678"/>
      <c r="D31" s="678"/>
      <c r="E31" s="671">
        <f>SUM(F31:H31)</f>
        <v>-246531.67324674415</v>
      </c>
      <c r="F31" s="672">
        <f>-IF('4-5 St3a Development period'!G81&gt;0,'4-5 St3a Development period'!G81,0)</f>
        <v>0</v>
      </c>
      <c r="G31" s="672">
        <f>-IF('4-5 St3a Development period'!H81&gt;0,'4-5 St3a Development period'!H81,0)</f>
        <v>-246531.67324674415</v>
      </c>
      <c r="H31" s="679">
        <f>-IF('4-5 St3a Development period'!I81&gt;0,'4-5 St3a Development period'!I81,0)</f>
        <v>0</v>
      </c>
      <c r="I31" s="293"/>
      <c r="J31" s="668"/>
      <c r="K31" s="267"/>
      <c r="L31" s="450"/>
      <c r="M31" s="267"/>
    </row>
    <row r="32" spans="1:14" x14ac:dyDescent="0.2">
      <c r="A32">
        <v>21</v>
      </c>
      <c r="B32" s="677" t="s">
        <v>2</v>
      </c>
      <c r="C32" s="678"/>
      <c r="D32" s="678"/>
      <c r="E32" s="680">
        <f>SUM(F32:H32)</f>
        <v>0</v>
      </c>
      <c r="F32" s="679"/>
      <c r="G32" s="679"/>
      <c r="H32" s="679">
        <f>-E73</f>
        <v>0</v>
      </c>
      <c r="I32" s="293"/>
      <c r="J32" s="667"/>
    </row>
    <row r="33" spans="1:61" ht="15" x14ac:dyDescent="0.35">
      <c r="B33" s="652"/>
      <c r="C33" s="652"/>
      <c r="D33" s="652"/>
      <c r="E33" s="673"/>
      <c r="F33" s="674"/>
      <c r="G33" s="674"/>
      <c r="H33" s="674"/>
      <c r="I33" s="293"/>
      <c r="J33" s="293"/>
      <c r="K33" s="267"/>
      <c r="L33" s="579"/>
    </row>
    <row r="34" spans="1:61" x14ac:dyDescent="0.2">
      <c r="A34">
        <v>22</v>
      </c>
      <c r="B34" s="681" t="s">
        <v>252</v>
      </c>
      <c r="C34" s="681"/>
      <c r="D34" s="681"/>
      <c r="E34" s="682">
        <f>SUM(E26:E33)</f>
        <v>7868518.2887581289</v>
      </c>
      <c r="F34" s="682">
        <f>SUM(F26:F33)</f>
        <v>1723503.3991528791</v>
      </c>
      <c r="G34" s="682">
        <f>SUM(G26:G33)</f>
        <v>5658214.3736012578</v>
      </c>
      <c r="H34" s="682">
        <f>SUM(H26:H33)</f>
        <v>486800.51600399142</v>
      </c>
      <c r="I34" s="668"/>
      <c r="J34" s="683"/>
      <c r="K34" s="578"/>
      <c r="L34" s="41"/>
    </row>
    <row r="35" spans="1:61" x14ac:dyDescent="0.2">
      <c r="B35" s="681"/>
      <c r="C35" s="652"/>
      <c r="D35" s="652"/>
      <c r="E35" s="671"/>
      <c r="F35" s="672"/>
      <c r="G35" s="672"/>
      <c r="H35" s="672"/>
      <c r="I35" s="293"/>
      <c r="J35" s="293"/>
    </row>
    <row r="36" spans="1:61" x14ac:dyDescent="0.2">
      <c r="A36">
        <v>23</v>
      </c>
      <c r="B36" s="681" t="s">
        <v>186</v>
      </c>
      <c r="C36" s="652"/>
      <c r="D36" s="652"/>
      <c r="E36" s="671"/>
      <c r="F36" s="672"/>
      <c r="G36" s="672"/>
      <c r="H36" s="672"/>
      <c r="I36" s="293"/>
      <c r="J36" s="293"/>
    </row>
    <row r="37" spans="1:61" s="451" customFormat="1" ht="27" customHeight="1" x14ac:dyDescent="0.2">
      <c r="A37" s="105">
        <v>24</v>
      </c>
      <c r="B37" s="815" t="s">
        <v>396</v>
      </c>
      <c r="C37" s="815"/>
      <c r="D37" s="815"/>
      <c r="E37" s="684">
        <f>E28+E14+E31+E30+E32+E29</f>
        <v>1093088.9413829446</v>
      </c>
      <c r="F37" s="684">
        <f>F28+F14+F31+F30+F32+F29</f>
        <v>1356858.3898080494</v>
      </c>
      <c r="G37" s="684">
        <f>G28+G14+G31+G30+G32+G29</f>
        <v>45968.326753255853</v>
      </c>
      <c r="H37" s="684">
        <f>H28+H14+H31+H30+H32+H29</f>
        <v>-309737.77517836075</v>
      </c>
      <c r="I37" s="693"/>
      <c r="J37" s="693"/>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row>
    <row r="38" spans="1:61" s="451" customFormat="1" ht="21.75" customHeight="1" x14ac:dyDescent="0.2">
      <c r="A38" s="751">
        <v>25</v>
      </c>
      <c r="B38" s="815" t="s">
        <v>395</v>
      </c>
      <c r="C38" s="815"/>
      <c r="D38" s="815"/>
      <c r="E38" s="685">
        <f>SUM(F38:H38)</f>
        <v>1093088.9413829441</v>
      </c>
      <c r="F38" s="686">
        <f>F7-F26+F16</f>
        <v>1356858.3898080494</v>
      </c>
      <c r="G38" s="686">
        <f>G7-G26+G16</f>
        <v>45968.326753255911</v>
      </c>
      <c r="H38" s="686">
        <f>H7-H26+H16</f>
        <v>-309737.77517836133</v>
      </c>
      <c r="I38" s="701"/>
      <c r="J38" s="701"/>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row>
    <row r="39" spans="1:61" x14ac:dyDescent="0.2">
      <c r="B39" s="293"/>
      <c r="C39" s="293"/>
      <c r="D39" s="293"/>
      <c r="E39" s="293"/>
      <c r="F39" s="293"/>
      <c r="G39" s="293"/>
      <c r="H39" s="293"/>
      <c r="I39" s="293"/>
      <c r="J39" s="293"/>
      <c r="K39" s="215"/>
      <c r="L39" s="580"/>
    </row>
    <row r="40" spans="1:61" s="649" customFormat="1" hidden="1" outlineLevel="1" x14ac:dyDescent="0.2">
      <c r="B40" s="687" t="s">
        <v>284</v>
      </c>
      <c r="C40" s="687"/>
      <c r="D40" s="687"/>
      <c r="E40" s="687"/>
      <c r="F40" s="688">
        <f>'4-5 St3a Development period'!G77</f>
        <v>366645.00934482983</v>
      </c>
      <c r="G40" s="688">
        <f>'4-5 St3a Development period'!H77</f>
        <v>5588891.0561928311</v>
      </c>
      <c r="H40" s="688">
        <f>'4-5 St3a Development period'!I77</f>
        <v>6075691.5721968226</v>
      </c>
      <c r="I40" s="687"/>
      <c r="J40" s="687"/>
      <c r="K40" s="650"/>
      <c r="L40" s="651"/>
    </row>
    <row r="41" spans="1:61" s="649" customFormat="1" hidden="1" outlineLevel="1" x14ac:dyDescent="0.2">
      <c r="B41" s="687" t="s">
        <v>254</v>
      </c>
      <c r="C41" s="687"/>
      <c r="D41" s="687"/>
      <c r="E41" s="687"/>
      <c r="F41" s="688">
        <f>F40</f>
        <v>366645.00934482983</v>
      </c>
      <c r="G41" s="688">
        <f>G40-F40</f>
        <v>5222246.046848001</v>
      </c>
      <c r="H41" s="688">
        <f>H40-G40</f>
        <v>486800.51600399148</v>
      </c>
      <c r="I41" s="687"/>
      <c r="J41" s="687"/>
      <c r="K41" s="650"/>
      <c r="L41" s="651"/>
    </row>
    <row r="42" spans="1:61" s="649" customFormat="1" hidden="1" outlineLevel="1" x14ac:dyDescent="0.2">
      <c r="B42" s="687"/>
      <c r="C42" s="687"/>
      <c r="D42" s="687"/>
      <c r="E42" s="687"/>
      <c r="F42" s="687"/>
      <c r="G42" s="689">
        <f>G26-G41</f>
        <v>682500.00000000093</v>
      </c>
      <c r="H42" s="687"/>
      <c r="I42" s="687"/>
      <c r="J42" s="687"/>
      <c r="K42" s="650"/>
      <c r="L42" s="651"/>
    </row>
    <row r="43" spans="1:61" s="649" customFormat="1" hidden="1" outlineLevel="1" x14ac:dyDescent="0.2">
      <c r="B43" s="687"/>
      <c r="C43" s="687"/>
      <c r="D43" s="687"/>
      <c r="E43" s="687"/>
      <c r="F43" s="687"/>
      <c r="G43" s="690">
        <f>G31</f>
        <v>-246531.67324674415</v>
      </c>
      <c r="H43" s="687"/>
      <c r="I43" s="687"/>
      <c r="J43" s="687"/>
      <c r="K43" s="650"/>
      <c r="L43" s="651"/>
    </row>
    <row r="44" spans="1:61" s="649" customFormat="1" hidden="1" outlineLevel="1" x14ac:dyDescent="0.2">
      <c r="B44" s="687"/>
      <c r="C44" s="687"/>
      <c r="D44" s="687"/>
      <c r="E44" s="687"/>
      <c r="F44" s="687"/>
      <c r="G44" s="691">
        <f>SUM(G41:G43)</f>
        <v>5658214.3736012578</v>
      </c>
      <c r="H44" s="687"/>
      <c r="I44" s="687"/>
      <c r="J44" s="687"/>
      <c r="K44" s="650"/>
      <c r="L44" s="651"/>
    </row>
    <row r="45" spans="1:61" s="105" customFormat="1" collapsed="1" x14ac:dyDescent="0.2">
      <c r="B45" s="693"/>
      <c r="C45" s="693"/>
      <c r="D45" s="693"/>
      <c r="E45" s="693"/>
      <c r="F45" s="693"/>
      <c r="G45" s="693"/>
      <c r="H45" s="693"/>
      <c r="I45" s="693"/>
      <c r="J45" s="693"/>
      <c r="K45" s="694"/>
      <c r="L45" s="695"/>
    </row>
    <row r="46" spans="1:61" x14ac:dyDescent="0.2">
      <c r="B46" s="696"/>
      <c r="C46" s="293"/>
      <c r="D46" s="293"/>
      <c r="E46" s="293"/>
      <c r="F46" s="293"/>
      <c r="G46" s="293"/>
      <c r="H46" s="293"/>
      <c r="I46" s="293"/>
      <c r="J46" s="293"/>
      <c r="K46" s="267"/>
      <c r="L46" s="450"/>
    </row>
    <row r="47" spans="1:61" ht="15" x14ac:dyDescent="0.35">
      <c r="A47" s="786" t="s">
        <v>464</v>
      </c>
      <c r="B47" s="787"/>
      <c r="C47" s="693"/>
      <c r="D47" s="693"/>
      <c r="E47" s="693"/>
      <c r="F47" s="693"/>
      <c r="G47" s="693"/>
      <c r="H47" s="693"/>
      <c r="I47" s="693"/>
      <c r="J47" s="693"/>
      <c r="K47" s="267"/>
      <c r="L47" s="579"/>
    </row>
    <row r="48" spans="1:61" ht="15" x14ac:dyDescent="0.35">
      <c r="A48" s="752">
        <v>26</v>
      </c>
      <c r="B48" s="768" t="s">
        <v>106</v>
      </c>
      <c r="C48" s="769"/>
      <c r="D48" s="769"/>
      <c r="E48" s="769"/>
      <c r="F48" s="769"/>
      <c r="G48" s="770"/>
      <c r="H48" s="693"/>
      <c r="I48" s="693"/>
      <c r="J48" s="693"/>
      <c r="K48" s="267"/>
      <c r="L48" s="579"/>
    </row>
    <row r="49" spans="1:14" x14ac:dyDescent="0.2">
      <c r="A49" s="752">
        <v>27</v>
      </c>
      <c r="B49" s="769" t="s">
        <v>107</v>
      </c>
      <c r="C49" s="769"/>
      <c r="D49" s="769"/>
      <c r="E49" s="771">
        <f>'4-5 St3a Development period'!F20</f>
        <v>7449967.8165964251</v>
      </c>
      <c r="F49" s="769"/>
      <c r="G49" s="693"/>
      <c r="H49" s="693"/>
      <c r="I49" s="693"/>
      <c r="J49" s="693"/>
      <c r="K49" s="267"/>
      <c r="L49" s="450"/>
    </row>
    <row r="50" spans="1:14" x14ac:dyDescent="0.2">
      <c r="A50" s="752">
        <v>28</v>
      </c>
      <c r="B50" s="769" t="s">
        <v>397</v>
      </c>
      <c r="C50" s="769"/>
      <c r="D50" s="769"/>
      <c r="E50" s="772">
        <f>'4-5 St3a Development period'!F70</f>
        <v>401312.69698334148</v>
      </c>
      <c r="F50" s="769"/>
      <c r="G50" s="693"/>
      <c r="H50" s="693"/>
      <c r="I50" s="693"/>
      <c r="J50" s="693"/>
      <c r="K50" s="215"/>
    </row>
    <row r="51" spans="1:14" x14ac:dyDescent="0.2">
      <c r="A51" s="752">
        <v>29</v>
      </c>
      <c r="B51" s="769" t="s">
        <v>185</v>
      </c>
      <c r="C51" s="769"/>
      <c r="D51" s="769"/>
      <c r="E51" s="771">
        <f>SUM(E49:E50)</f>
        <v>7851280.5135797663</v>
      </c>
      <c r="F51" s="769"/>
      <c r="G51" s="693"/>
      <c r="H51" s="693"/>
      <c r="I51" s="693"/>
      <c r="J51" s="693"/>
      <c r="K51" s="267"/>
    </row>
    <row r="52" spans="1:14" x14ac:dyDescent="0.2">
      <c r="A52" s="105"/>
      <c r="B52" s="769"/>
      <c r="C52" s="769"/>
      <c r="D52" s="769"/>
      <c r="E52" s="771"/>
      <c r="F52" s="769"/>
      <c r="G52" s="693"/>
      <c r="H52" s="693"/>
      <c r="I52" s="693"/>
      <c r="J52" s="693"/>
      <c r="K52" s="267"/>
      <c r="L52" s="40"/>
    </row>
    <row r="53" spans="1:14" x14ac:dyDescent="0.2">
      <c r="A53" s="752">
        <v>30</v>
      </c>
      <c r="B53" s="768" t="s">
        <v>108</v>
      </c>
      <c r="C53" s="769"/>
      <c r="D53" s="769"/>
      <c r="E53" s="773"/>
      <c r="F53" s="769"/>
      <c r="G53" s="774" t="s">
        <v>263</v>
      </c>
      <c r="H53" s="693"/>
      <c r="I53" s="693"/>
      <c r="J53" s="693"/>
      <c r="K53" s="267"/>
      <c r="L53" s="318"/>
    </row>
    <row r="54" spans="1:14" x14ac:dyDescent="0.2">
      <c r="A54" s="752">
        <v>31</v>
      </c>
      <c r="B54" s="769" t="s">
        <v>185</v>
      </c>
      <c r="C54" s="769"/>
      <c r="D54" s="769"/>
      <c r="E54" s="773">
        <f>E51</f>
        <v>7851280.5135797663</v>
      </c>
      <c r="F54" s="769"/>
      <c r="G54" s="693">
        <f>'4-4a Stage 2a DCF'!D20</f>
        <v>27.5</v>
      </c>
      <c r="H54" s="693" t="s">
        <v>259</v>
      </c>
      <c r="I54" s="693"/>
      <c r="J54" s="693"/>
      <c r="L54" s="40"/>
    </row>
    <row r="55" spans="1:14" x14ac:dyDescent="0.2">
      <c r="A55" s="752">
        <v>32</v>
      </c>
      <c r="B55" s="769" t="s">
        <v>109</v>
      </c>
      <c r="C55" s="769"/>
      <c r="D55" s="769"/>
      <c r="E55" s="772">
        <f>'4-5 St3a Development period'!E5</f>
        <v>1251500</v>
      </c>
      <c r="F55" s="769"/>
      <c r="G55" s="775">
        <f>'4-4a Stage 2a DCF'!D21</f>
        <v>1</v>
      </c>
      <c r="H55" s="693" t="s">
        <v>260</v>
      </c>
      <c r="I55" s="693"/>
      <c r="J55" s="693"/>
      <c r="K55" s="267"/>
      <c r="L55" s="450"/>
    </row>
    <row r="56" spans="1:14" x14ac:dyDescent="0.2">
      <c r="A56" s="752">
        <v>33</v>
      </c>
      <c r="B56" s="769" t="s">
        <v>110</v>
      </c>
      <c r="C56" s="769"/>
      <c r="D56" s="769"/>
      <c r="E56" s="773">
        <f>E51-E55</f>
        <v>6599780.5135797663</v>
      </c>
      <c r="F56" s="769"/>
      <c r="G56" s="776">
        <f>E56/G54*G55</f>
        <v>239992.01867562786</v>
      </c>
      <c r="H56" s="693" t="s">
        <v>261</v>
      </c>
      <c r="I56" s="693"/>
      <c r="J56" s="693"/>
      <c r="K56" s="215"/>
    </row>
    <row r="57" spans="1:14" ht="15" x14ac:dyDescent="0.25">
      <c r="A57" s="105"/>
      <c r="B57" s="769"/>
      <c r="C57" s="769"/>
      <c r="D57" s="769"/>
      <c r="E57" s="773"/>
      <c r="F57" s="769"/>
      <c r="G57" s="693"/>
      <c r="H57" s="693"/>
      <c r="I57" s="693"/>
      <c r="J57" s="693"/>
      <c r="K57" s="267"/>
      <c r="L57" s="590"/>
    </row>
    <row r="58" spans="1:14" x14ac:dyDescent="0.2">
      <c r="A58" s="752">
        <v>34</v>
      </c>
      <c r="B58" s="768" t="s">
        <v>78</v>
      </c>
      <c r="C58" s="769"/>
      <c r="D58" s="769"/>
      <c r="E58" s="773"/>
      <c r="F58" s="769"/>
      <c r="G58" s="693"/>
      <c r="H58" s="693"/>
      <c r="I58" s="693"/>
      <c r="J58" s="693"/>
      <c r="K58" s="267"/>
      <c r="L58" s="268"/>
    </row>
    <row r="59" spans="1:14" x14ac:dyDescent="0.2">
      <c r="A59" s="752">
        <v>35</v>
      </c>
      <c r="B59" s="769" t="s">
        <v>398</v>
      </c>
      <c r="C59" s="769"/>
      <c r="D59" s="769"/>
      <c r="E59" s="771">
        <f>-SUMIF('4-5 St3a Development period'!G45:I45,"&lt;0")</f>
        <v>0</v>
      </c>
      <c r="F59" s="769"/>
      <c r="G59" s="693"/>
      <c r="H59" s="693"/>
      <c r="I59" s="693"/>
      <c r="J59" s="693"/>
      <c r="K59" s="267"/>
      <c r="L59" s="589"/>
    </row>
    <row r="60" spans="1:14" ht="15" x14ac:dyDescent="0.25">
      <c r="A60" s="752">
        <v>36</v>
      </c>
      <c r="B60" s="769" t="s">
        <v>399</v>
      </c>
      <c r="C60" s="769"/>
      <c r="D60" s="769"/>
      <c r="E60" s="771">
        <f>'4-5 St3a Development period'!F71</f>
        <v>699832.60444466001</v>
      </c>
      <c r="F60" s="769"/>
      <c r="G60" s="693"/>
      <c r="H60" s="693"/>
      <c r="I60" s="693"/>
      <c r="J60" s="693"/>
      <c r="K60" s="267"/>
      <c r="L60" s="590"/>
    </row>
    <row r="61" spans="1:14" ht="15" x14ac:dyDescent="0.25">
      <c r="A61" s="752">
        <v>37</v>
      </c>
      <c r="B61" s="769" t="s">
        <v>400</v>
      </c>
      <c r="C61" s="769"/>
      <c r="D61" s="769"/>
      <c r="E61" s="772">
        <f>'4-5 St3a Development period'!F72</f>
        <v>-390094.82926629926</v>
      </c>
      <c r="F61" s="769"/>
      <c r="G61" s="693"/>
      <c r="H61" s="693"/>
      <c r="I61" s="693"/>
      <c r="J61" s="693"/>
      <c r="K61" s="215"/>
      <c r="L61" s="581"/>
      <c r="N61" s="450"/>
    </row>
    <row r="62" spans="1:14" ht="15" x14ac:dyDescent="0.25">
      <c r="A62" s="752">
        <v>38</v>
      </c>
      <c r="B62" s="769" t="s">
        <v>402</v>
      </c>
      <c r="C62" s="769"/>
      <c r="D62" s="769"/>
      <c r="E62" s="771">
        <f>E59+E60+E61</f>
        <v>309737.77517836075</v>
      </c>
      <c r="F62" s="769"/>
      <c r="G62" s="693"/>
      <c r="H62" s="693"/>
      <c r="I62" s="693"/>
      <c r="J62" s="693"/>
      <c r="K62" s="267"/>
      <c r="L62" s="581"/>
      <c r="N62" s="450"/>
    </row>
    <row r="63" spans="1:14" ht="15" x14ac:dyDescent="0.25">
      <c r="A63" s="105"/>
      <c r="B63" s="769"/>
      <c r="C63" s="769"/>
      <c r="D63" s="769"/>
      <c r="E63" s="771"/>
      <c r="F63" s="769"/>
      <c r="G63" s="693"/>
      <c r="H63" s="693"/>
      <c r="I63" s="693"/>
      <c r="J63" s="693"/>
      <c r="K63" s="267"/>
      <c r="L63" s="582"/>
      <c r="N63" s="450"/>
    </row>
    <row r="64" spans="1:14" x14ac:dyDescent="0.2">
      <c r="A64" s="752">
        <v>39</v>
      </c>
      <c r="B64" s="768" t="s">
        <v>257</v>
      </c>
      <c r="C64" s="769"/>
      <c r="D64" s="769"/>
      <c r="E64" s="771"/>
      <c r="F64" s="769"/>
      <c r="G64" s="693"/>
      <c r="H64" s="693"/>
      <c r="I64" s="693"/>
      <c r="J64" s="693"/>
      <c r="K64" s="267"/>
      <c r="L64" s="584"/>
      <c r="M64" s="267"/>
      <c r="N64" s="450"/>
    </row>
    <row r="65" spans="1:14" s="452" customFormat="1" ht="15" x14ac:dyDescent="0.25">
      <c r="A65" s="752">
        <v>40</v>
      </c>
      <c r="B65" s="769" t="s">
        <v>111</v>
      </c>
      <c r="C65" s="769"/>
      <c r="D65" s="769"/>
      <c r="E65" s="771">
        <f>E51+E62</f>
        <v>8161018.288758127</v>
      </c>
      <c r="F65" s="769"/>
      <c r="G65" s="693"/>
      <c r="H65" s="693"/>
      <c r="I65" s="693"/>
      <c r="J65" s="693"/>
      <c r="K65" s="581"/>
      <c r="L65" s="583"/>
      <c r="M65" s="267"/>
      <c r="N65" s="450"/>
    </row>
    <row r="66" spans="1:14" s="452" customFormat="1" ht="15" x14ac:dyDescent="0.25">
      <c r="A66" s="752">
        <v>41</v>
      </c>
      <c r="B66" s="777" t="s">
        <v>401</v>
      </c>
      <c r="C66" s="693"/>
      <c r="D66" s="693"/>
      <c r="E66" s="778">
        <f>E31</f>
        <v>-246531.67324674415</v>
      </c>
      <c r="F66" s="693"/>
      <c r="G66" s="693"/>
      <c r="H66" s="693"/>
      <c r="I66" s="693"/>
      <c r="J66" s="693"/>
      <c r="K66" s="267"/>
      <c r="L66" s="591"/>
    </row>
    <row r="67" spans="1:14" s="452" customFormat="1" ht="15" x14ac:dyDescent="0.25">
      <c r="A67" s="752">
        <v>42</v>
      </c>
      <c r="B67" s="777" t="s">
        <v>403</v>
      </c>
      <c r="C67" s="693"/>
      <c r="D67" s="693"/>
      <c r="E67" s="779">
        <f>'4-5 St3a Development period'!F73</f>
        <v>-45968.326753255846</v>
      </c>
      <c r="F67" s="693"/>
      <c r="G67" s="693"/>
      <c r="H67" s="693"/>
      <c r="I67" s="693"/>
      <c r="J67" s="693"/>
      <c r="K67" s="267"/>
      <c r="L67" s="591"/>
    </row>
    <row r="68" spans="1:14" s="452" customFormat="1" x14ac:dyDescent="0.2">
      <c r="A68" s="752">
        <v>43</v>
      </c>
      <c r="B68" s="769" t="s">
        <v>404</v>
      </c>
      <c r="C68" s="693"/>
      <c r="D68" s="693"/>
      <c r="E68" s="780">
        <f>E65+E66+E67</f>
        <v>7868518.288758127</v>
      </c>
      <c r="F68" s="693"/>
      <c r="G68" s="780"/>
      <c r="H68" s="693"/>
      <c r="I68" s="693"/>
      <c r="J68" s="693"/>
      <c r="K68" s="267"/>
      <c r="L68" s="593"/>
    </row>
    <row r="69" spans="1:14" s="452" customFormat="1" x14ac:dyDescent="0.2">
      <c r="A69" s="752"/>
      <c r="B69" s="693"/>
      <c r="C69" s="693"/>
      <c r="D69" s="693"/>
      <c r="E69" s="693"/>
      <c r="F69" s="693"/>
      <c r="G69" s="693"/>
      <c r="H69" s="693"/>
      <c r="I69" s="693"/>
      <c r="J69" s="693"/>
      <c r="L69" s="592"/>
    </row>
    <row r="70" spans="1:14" s="452" customFormat="1" x14ac:dyDescent="0.2">
      <c r="A70" s="752">
        <v>44</v>
      </c>
      <c r="B70" s="774" t="s">
        <v>258</v>
      </c>
      <c r="C70" s="693"/>
      <c r="D70" s="693"/>
      <c r="E70" s="693"/>
      <c r="F70" s="693"/>
      <c r="G70" s="693"/>
      <c r="H70" s="693"/>
      <c r="I70" s="693"/>
      <c r="J70" s="693"/>
    </row>
    <row r="71" spans="1:14" ht="15.75" x14ac:dyDescent="0.2">
      <c r="A71" s="752">
        <v>45</v>
      </c>
      <c r="B71" s="693" t="s">
        <v>405</v>
      </c>
      <c r="C71" s="693"/>
      <c r="D71" s="693"/>
      <c r="E71" s="781">
        <f>MIN('4-3c-Stage 1c Debt Calculation'!C23,'4-5 St3a Development period'!I77)</f>
        <v>6075691.5721968226</v>
      </c>
      <c r="F71" s="693"/>
      <c r="G71" s="693"/>
      <c r="H71" s="693"/>
      <c r="I71" s="693"/>
      <c r="J71" s="693"/>
    </row>
    <row r="72" spans="1:14" x14ac:dyDescent="0.2">
      <c r="A72" s="752">
        <v>46</v>
      </c>
      <c r="B72" s="693" t="s">
        <v>255</v>
      </c>
      <c r="C72" s="693"/>
      <c r="D72" s="693"/>
      <c r="E72" s="782">
        <f>'4-5 St3a Development period'!Q77</f>
        <v>6075691.5721968226</v>
      </c>
      <c r="F72" s="693"/>
      <c r="G72" s="693"/>
      <c r="H72" s="693"/>
      <c r="I72" s="693"/>
      <c r="J72" s="693"/>
    </row>
    <row r="73" spans="1:14" x14ac:dyDescent="0.2">
      <c r="A73" s="752">
        <v>47</v>
      </c>
      <c r="B73" s="693" t="s">
        <v>406</v>
      </c>
      <c r="C73" s="693"/>
      <c r="D73" s="693"/>
      <c r="E73" s="783">
        <f>E71-E72</f>
        <v>0</v>
      </c>
      <c r="F73" s="693"/>
      <c r="G73" s="693"/>
      <c r="H73" s="693"/>
      <c r="I73" s="693"/>
      <c r="J73" s="693"/>
    </row>
    <row r="74" spans="1:14" x14ac:dyDescent="0.2">
      <c r="A74" s="752"/>
      <c r="B74" s="105"/>
      <c r="C74" s="105"/>
      <c r="D74" s="105"/>
      <c r="E74" s="784"/>
      <c r="F74" s="105"/>
      <c r="G74" s="105"/>
      <c r="H74" s="105"/>
      <c r="I74" s="105"/>
      <c r="J74" s="105"/>
    </row>
    <row r="75" spans="1:14" x14ac:dyDescent="0.2">
      <c r="A75" s="752"/>
      <c r="B75" s="105"/>
      <c r="C75" s="105"/>
      <c r="D75" s="105"/>
      <c r="E75" s="105"/>
      <c r="F75" s="105"/>
      <c r="G75" s="105"/>
      <c r="H75" s="105"/>
      <c r="I75" s="105"/>
      <c r="J75" s="105"/>
    </row>
    <row r="76" spans="1:14" x14ac:dyDescent="0.2">
      <c r="A76" s="752"/>
      <c r="B76" s="105"/>
      <c r="C76" s="785" t="s">
        <v>172</v>
      </c>
      <c r="D76" s="105"/>
      <c r="E76" s="105"/>
      <c r="F76" s="105"/>
      <c r="G76" s="105"/>
      <c r="H76" s="105"/>
      <c r="I76" s="105"/>
      <c r="J76" s="105"/>
    </row>
    <row r="77" spans="1:14" x14ac:dyDescent="0.2">
      <c r="A77" s="751"/>
    </row>
    <row r="78" spans="1:14" x14ac:dyDescent="0.2">
      <c r="A78" s="752"/>
      <c r="B78" s="804" t="s">
        <v>408</v>
      </c>
      <c r="C78" s="805"/>
      <c r="D78" s="805"/>
      <c r="E78" s="805"/>
      <c r="F78" s="805"/>
      <c r="G78" s="805"/>
      <c r="H78" s="805"/>
    </row>
    <row r="79" spans="1:14" x14ac:dyDescent="0.2">
      <c r="A79" s="751"/>
      <c r="B79" s="805"/>
      <c r="C79" s="805"/>
      <c r="D79" s="805"/>
      <c r="E79" s="805"/>
      <c r="F79" s="805"/>
      <c r="G79" s="805"/>
      <c r="H79" s="805"/>
    </row>
    <row r="80" spans="1:14" x14ac:dyDescent="0.2">
      <c r="A80" s="752"/>
    </row>
    <row r="81" spans="1:9" x14ac:dyDescent="0.2">
      <c r="A81" s="751"/>
      <c r="B81" s="804" t="s">
        <v>407</v>
      </c>
      <c r="C81" s="805"/>
      <c r="D81" s="805"/>
      <c r="E81" s="805"/>
      <c r="F81" s="805"/>
      <c r="G81" s="805"/>
      <c r="H81" s="805"/>
    </row>
    <row r="82" spans="1:9" x14ac:dyDescent="0.2">
      <c r="A82" s="752"/>
      <c r="B82" s="805"/>
      <c r="C82" s="805"/>
      <c r="D82" s="805"/>
      <c r="E82" s="805"/>
      <c r="F82" s="805"/>
      <c r="G82" s="805"/>
      <c r="H82" s="805"/>
    </row>
    <row r="83" spans="1:9" x14ac:dyDescent="0.2">
      <c r="A83" s="751"/>
      <c r="B83" s="805"/>
      <c r="C83" s="805"/>
      <c r="D83" s="805"/>
      <c r="E83" s="805"/>
      <c r="F83" s="805"/>
      <c r="G83" s="805"/>
      <c r="H83" s="805"/>
    </row>
    <row r="84" spans="1:9" hidden="1" outlineLevel="1" x14ac:dyDescent="0.2">
      <c r="A84" s="752"/>
    </row>
    <row r="85" spans="1:9" hidden="1" outlineLevel="1" x14ac:dyDescent="0.2">
      <c r="A85" s="751"/>
    </row>
    <row r="86" spans="1:9" hidden="1" outlineLevel="1" x14ac:dyDescent="0.2">
      <c r="A86" s="752"/>
      <c r="B86" s="585"/>
      <c r="C86" s="586"/>
      <c r="D86" s="586"/>
      <c r="E86" s="585" t="s">
        <v>194</v>
      </c>
      <c r="F86" s="585" t="s">
        <v>193</v>
      </c>
    </row>
    <row r="87" spans="1:9" hidden="1" outlineLevel="1" x14ac:dyDescent="0.2">
      <c r="A87" s="751"/>
      <c r="B87" s="585" t="s">
        <v>191</v>
      </c>
      <c r="C87" s="586"/>
      <c r="D87" s="586"/>
      <c r="E87" s="587">
        <f>E50</f>
        <v>401312.69698334148</v>
      </c>
      <c r="F87" s="588">
        <f>'4-3d-Stage 1d Development cost'!F31</f>
        <v>539553.23618570704</v>
      </c>
      <c r="G87" s="268"/>
    </row>
    <row r="88" spans="1:9" hidden="1" outlineLevel="1" x14ac:dyDescent="0.2">
      <c r="A88" s="752"/>
      <c r="B88" s="585" t="s">
        <v>192</v>
      </c>
      <c r="C88" s="586"/>
      <c r="D88" s="586"/>
      <c r="E88" s="587">
        <f>E62</f>
        <v>309737.77517836075</v>
      </c>
      <c r="F88" s="588">
        <f>'4-3d-Stage 1d Development cost'!F42</f>
        <v>284686.51889395469</v>
      </c>
      <c r="G88" s="268"/>
      <c r="I88" s="454"/>
    </row>
    <row r="89" spans="1:9" collapsed="1" x14ac:dyDescent="0.2">
      <c r="A89" s="751"/>
      <c r="H89" s="215"/>
    </row>
    <row r="90" spans="1:9" x14ac:dyDescent="0.2">
      <c r="A90" s="752"/>
    </row>
    <row r="91" spans="1:9" x14ac:dyDescent="0.2">
      <c r="A91" s="751"/>
    </row>
    <row r="92" spans="1:9" x14ac:dyDescent="0.2">
      <c r="A92" s="752"/>
    </row>
  </sheetData>
  <mergeCells count="5">
    <mergeCell ref="B81:H83"/>
    <mergeCell ref="F2:H2"/>
    <mergeCell ref="B37:D37"/>
    <mergeCell ref="B38:D38"/>
    <mergeCell ref="B78:H79"/>
  </mergeCells>
  <phoneticPr fontId="24" type="noConversion"/>
  <pageMargins left="0.75" right="0.75" top="1" bottom="1" header="0.5" footer="0.5"/>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78" zoomScaleNormal="100" workbookViewId="0">
      <selection activeCell="D105" sqref="D105"/>
    </sheetView>
  </sheetViews>
  <sheetFormatPr defaultRowHeight="12.75" x14ac:dyDescent="0.2"/>
  <cols>
    <col min="1" max="1" width="5.7109375" customWidth="1"/>
    <col min="2" max="2" width="30.7109375" customWidth="1"/>
    <col min="3" max="3" width="20.7109375" customWidth="1"/>
    <col min="4" max="12" width="12.7109375" customWidth="1"/>
  </cols>
  <sheetData>
    <row r="1" spans="1:12" ht="48.75" x14ac:dyDescent="0.35">
      <c r="B1" s="699" t="s">
        <v>458</v>
      </c>
      <c r="C1" s="699"/>
      <c r="D1" s="699"/>
      <c r="E1" s="702"/>
      <c r="F1" s="702"/>
      <c r="G1" s="699"/>
      <c r="H1" s="699"/>
      <c r="I1" s="699"/>
      <c r="J1" s="699"/>
      <c r="K1" s="699"/>
      <c r="L1" s="10"/>
    </row>
    <row r="2" spans="1:12" x14ac:dyDescent="0.2">
      <c r="B2" s="69"/>
      <c r="C2" s="69"/>
      <c r="D2" s="69"/>
      <c r="E2" s="70" t="s">
        <v>112</v>
      </c>
      <c r="F2" s="70"/>
      <c r="G2" s="71" t="s">
        <v>113</v>
      </c>
      <c r="H2" s="71"/>
      <c r="I2" s="71"/>
      <c r="J2" s="71"/>
      <c r="K2" s="71"/>
      <c r="L2" s="71"/>
    </row>
    <row r="3" spans="1:12" ht="15.75" x14ac:dyDescent="0.25">
      <c r="A3">
        <v>1</v>
      </c>
      <c r="B3" s="72" t="s">
        <v>114</v>
      </c>
      <c r="C3" s="73"/>
      <c r="D3" s="742">
        <v>0</v>
      </c>
      <c r="E3" s="742">
        <v>1</v>
      </c>
      <c r="F3" s="742">
        <v>2</v>
      </c>
      <c r="G3" s="742">
        <v>3</v>
      </c>
      <c r="H3" s="742">
        <v>4</v>
      </c>
      <c r="I3" s="742">
        <v>5</v>
      </c>
      <c r="J3" s="742">
        <v>6</v>
      </c>
      <c r="K3" s="742">
        <v>7</v>
      </c>
      <c r="L3" s="742">
        <v>8</v>
      </c>
    </row>
    <row r="4" spans="1:12" ht="15.75" x14ac:dyDescent="0.2">
      <c r="A4">
        <v>2</v>
      </c>
      <c r="B4" s="89" t="s">
        <v>409</v>
      </c>
      <c r="C4" s="156">
        <f>'4-6 Stage3b Sources &amp; Uses'!E71</f>
        <v>6075691.5721968226</v>
      </c>
      <c r="E4" s="440"/>
      <c r="F4" s="541"/>
      <c r="G4" s="76">
        <f>C4</f>
        <v>6075691.5721968226</v>
      </c>
      <c r="H4" s="83">
        <f>G5</f>
        <v>5997532.3056947058</v>
      </c>
      <c r="I4" s="83">
        <f>H5</f>
        <v>5914758.5292851971</v>
      </c>
      <c r="J4" s="83">
        <f>I5</f>
        <v>5827097.8030819306</v>
      </c>
      <c r="K4" s="83">
        <f>J5</f>
        <v>5734261.6023936011</v>
      </c>
      <c r="L4" s="77">
        <f>K5</f>
        <v>5635944.3680798085</v>
      </c>
    </row>
    <row r="5" spans="1:12" x14ac:dyDescent="0.2">
      <c r="A5">
        <v>3</v>
      </c>
      <c r="B5" s="74" t="s">
        <v>105</v>
      </c>
      <c r="C5" s="69"/>
      <c r="D5" s="75"/>
      <c r="E5" s="76"/>
      <c r="F5" s="77"/>
      <c r="G5" s="546">
        <f t="shared" ref="G5:L5" si="0">-PV(int_rate/12,(30-G3+2)*12,$D$7/12)</f>
        <v>5997532.3056947058</v>
      </c>
      <c r="H5" s="539">
        <f t="shared" si="0"/>
        <v>5914758.5292851971</v>
      </c>
      <c r="I5" s="539">
        <f t="shared" si="0"/>
        <v>5827097.8030819306</v>
      </c>
      <c r="J5" s="539">
        <f t="shared" si="0"/>
        <v>5734261.6023936011</v>
      </c>
      <c r="K5" s="539">
        <f t="shared" si="0"/>
        <v>5635944.3680798085</v>
      </c>
      <c r="L5" s="457">
        <f t="shared" si="0"/>
        <v>5531822.5008400558</v>
      </c>
    </row>
    <row r="6" spans="1:12" x14ac:dyDescent="0.2">
      <c r="A6">
        <v>4</v>
      </c>
      <c r="B6" s="74" t="s">
        <v>116</v>
      </c>
      <c r="C6" s="69"/>
      <c r="D6" s="75"/>
      <c r="E6" s="76"/>
      <c r="F6" s="77"/>
      <c r="G6" s="76">
        <f t="shared" ref="G6:L6" si="1">G4-G5</f>
        <v>78159.266502116807</v>
      </c>
      <c r="H6" s="83">
        <f t="shared" si="1"/>
        <v>82773.77640950866</v>
      </c>
      <c r="I6" s="83">
        <f t="shared" si="1"/>
        <v>87660.726203266531</v>
      </c>
      <c r="J6" s="83">
        <f t="shared" si="1"/>
        <v>92836.200688329525</v>
      </c>
      <c r="K6" s="83">
        <f t="shared" si="1"/>
        <v>98317.234313792549</v>
      </c>
      <c r="L6" s="77">
        <f t="shared" si="1"/>
        <v>104121.86723975278</v>
      </c>
    </row>
    <row r="7" spans="1:12" x14ac:dyDescent="0.2">
      <c r="A7">
        <v>5</v>
      </c>
      <c r="B7" s="458" t="s">
        <v>410</v>
      </c>
      <c r="C7" s="463">
        <f>int_rate</f>
        <v>5.7500000000000002E-2</v>
      </c>
      <c r="D7" s="80">
        <f>-PMT(C7/12,360,C4)*12</f>
        <v>425473.04227883054</v>
      </c>
      <c r="E7" s="81"/>
      <c r="F7" s="82"/>
      <c r="G7" s="81">
        <f t="shared" ref="G7:L7" si="2">PMT(int_rate/12,360,-$C$4)*12-G6</f>
        <v>347313.77577671374</v>
      </c>
      <c r="H7" s="80">
        <f t="shared" si="2"/>
        <v>342699.26586932188</v>
      </c>
      <c r="I7" s="80">
        <f t="shared" si="2"/>
        <v>337812.31607556401</v>
      </c>
      <c r="J7" s="80">
        <f t="shared" si="2"/>
        <v>332636.84159050102</v>
      </c>
      <c r="K7" s="80">
        <f t="shared" si="2"/>
        <v>327155.807965038</v>
      </c>
      <c r="L7" s="82">
        <f t="shared" si="2"/>
        <v>321351.17503907776</v>
      </c>
    </row>
    <row r="8" spans="1:12" x14ac:dyDescent="0.2">
      <c r="B8" s="69"/>
      <c r="C8" s="69"/>
      <c r="D8" s="75"/>
      <c r="E8" s="83"/>
      <c r="F8" s="83"/>
      <c r="G8" s="75"/>
      <c r="H8" s="75"/>
      <c r="I8" s="75"/>
      <c r="J8" s="75"/>
      <c r="K8" s="75"/>
      <c r="L8" s="75"/>
    </row>
    <row r="9" spans="1:12" x14ac:dyDescent="0.2">
      <c r="A9">
        <v>6</v>
      </c>
      <c r="B9" s="84" t="s">
        <v>117</v>
      </c>
      <c r="C9" s="85"/>
      <c r="D9" s="85"/>
      <c r="E9" s="85"/>
      <c r="F9" s="85"/>
      <c r="G9" s="85"/>
      <c r="H9" s="85"/>
      <c r="I9" s="85"/>
      <c r="J9" s="85"/>
      <c r="K9" s="85"/>
      <c r="L9" s="85"/>
    </row>
    <row r="10" spans="1:12" ht="15.75" x14ac:dyDescent="0.2">
      <c r="A10" s="275">
        <v>7</v>
      </c>
      <c r="B10" s="89" t="s">
        <v>411</v>
      </c>
      <c r="C10" s="69"/>
      <c r="D10" s="75"/>
      <c r="E10" s="537"/>
      <c r="F10" s="542">
        <f>'4-6 Stage3b Sources &amp; Uses'!E56</f>
        <v>6599780.5135797663</v>
      </c>
      <c r="G10" s="537">
        <f t="shared" ref="G10:L10" si="3">F12</f>
        <v>6359788.4949041381</v>
      </c>
      <c r="H10" s="547">
        <f t="shared" si="3"/>
        <v>6119796.47622851</v>
      </c>
      <c r="I10" s="547">
        <f t="shared" si="3"/>
        <v>5879804.4575528819</v>
      </c>
      <c r="J10" s="547">
        <f t="shared" si="3"/>
        <v>5639812.4388772538</v>
      </c>
      <c r="K10" s="547">
        <f t="shared" si="3"/>
        <v>5399820.4202016257</v>
      </c>
      <c r="L10" s="541">
        <f t="shared" si="3"/>
        <v>5159828.4015259976</v>
      </c>
    </row>
    <row r="11" spans="1:12" x14ac:dyDescent="0.2">
      <c r="A11" s="275">
        <v>8</v>
      </c>
      <c r="B11" s="74" t="s">
        <v>118</v>
      </c>
      <c r="C11" s="456"/>
      <c r="D11" s="455"/>
      <c r="E11" s="76"/>
      <c r="F11" s="157">
        <f>IF(F10&gt;0,MIN('4-6 Stage3b Sources &amp; Uses'!$G$56,'4-7 St3c Combined Dev+Op Period'!F10),0)</f>
        <v>239992.01867562786</v>
      </c>
      <c r="G11" s="260">
        <f>IF(G10&gt;0,MIN('4-6 Stage3b Sources &amp; Uses'!$G$56,'4-7 St3c Combined Dev+Op Period'!G10),0)</f>
        <v>239992.01867562786</v>
      </c>
      <c r="H11" s="538">
        <f>IF(H10&gt;0,MIN('4-6 Stage3b Sources &amp; Uses'!$G$56,'4-7 St3c Combined Dev+Op Period'!H10),0)</f>
        <v>239992.01867562786</v>
      </c>
      <c r="I11" s="538">
        <f>IF(I10&gt;0,MIN('4-6 Stage3b Sources &amp; Uses'!$G$56,'4-7 St3c Combined Dev+Op Period'!I10),0)</f>
        <v>239992.01867562786</v>
      </c>
      <c r="J11" s="538">
        <f>IF(J10&gt;0,MIN('4-6 Stage3b Sources &amp; Uses'!$G$56,'4-7 St3c Combined Dev+Op Period'!J10),0)</f>
        <v>239992.01867562786</v>
      </c>
      <c r="K11" s="538">
        <f>IF(K10&gt;0,MIN('4-6 Stage3b Sources &amp; Uses'!$G$56,'4-7 St3c Combined Dev+Op Period'!K10),0)</f>
        <v>239992.01867562786</v>
      </c>
      <c r="L11" s="157">
        <f>IF(L10&gt;0,MIN('4-6 Stage3b Sources &amp; Uses'!$G$56,'4-7 St3c Combined Dev+Op Period'!L10),0)</f>
        <v>239992.01867562786</v>
      </c>
    </row>
    <row r="12" spans="1:12" x14ac:dyDescent="0.2">
      <c r="A12" s="275">
        <v>9</v>
      </c>
      <c r="B12" s="74" t="s">
        <v>105</v>
      </c>
      <c r="C12" s="69"/>
      <c r="D12" s="75"/>
      <c r="E12" s="76"/>
      <c r="F12" s="77">
        <f>F10-F11</f>
        <v>6359788.4949041381</v>
      </c>
      <c r="G12" s="76">
        <f t="shared" ref="G12:L12" si="4">G10-G11</f>
        <v>6119796.47622851</v>
      </c>
      <c r="H12" s="83">
        <f t="shared" si="4"/>
        <v>5879804.4575528819</v>
      </c>
      <c r="I12" s="83">
        <f t="shared" si="4"/>
        <v>5639812.4388772538</v>
      </c>
      <c r="J12" s="83">
        <f t="shared" si="4"/>
        <v>5399820.4202016257</v>
      </c>
      <c r="K12" s="83">
        <f t="shared" si="4"/>
        <v>5159828.4015259976</v>
      </c>
      <c r="L12" s="77">
        <f t="shared" si="4"/>
        <v>4919836.3828503694</v>
      </c>
    </row>
    <row r="13" spans="1:12" x14ac:dyDescent="0.2">
      <c r="A13" s="275">
        <v>10</v>
      </c>
      <c r="B13" s="74" t="s">
        <v>119</v>
      </c>
      <c r="C13" s="69"/>
      <c r="D13" s="75"/>
      <c r="E13" s="76"/>
      <c r="F13" s="457">
        <f>E13+F11</f>
        <v>239992.01867562786</v>
      </c>
      <c r="G13" s="546">
        <f t="shared" ref="G13:L13" si="5">F13+G11</f>
        <v>479984.03735125571</v>
      </c>
      <c r="H13" s="539">
        <f t="shared" si="5"/>
        <v>719976.05602688354</v>
      </c>
      <c r="I13" s="539">
        <f t="shared" si="5"/>
        <v>959968.07470251143</v>
      </c>
      <c r="J13" s="539">
        <f t="shared" si="5"/>
        <v>1199960.0933781392</v>
      </c>
      <c r="K13" s="539">
        <f t="shared" si="5"/>
        <v>1439952.1120537671</v>
      </c>
      <c r="L13" s="457">
        <f t="shared" si="5"/>
        <v>1679944.130729395</v>
      </c>
    </row>
    <row r="14" spans="1:12" x14ac:dyDescent="0.2">
      <c r="A14" s="275">
        <v>11</v>
      </c>
      <c r="B14" s="74" t="s">
        <v>120</v>
      </c>
      <c r="C14" s="69"/>
      <c r="D14" s="75"/>
      <c r="E14" s="76"/>
      <c r="F14" s="157">
        <f>'4-6 Stage3b Sources &amp; Uses'!$G$56*(F3-1)</f>
        <v>239992.01867562786</v>
      </c>
      <c r="G14" s="260">
        <f>'4-6 Stage3b Sources &amp; Uses'!$G$56*(G3-1)</f>
        <v>479984.03735125571</v>
      </c>
      <c r="H14" s="538">
        <f>'4-6 Stage3b Sources &amp; Uses'!$G$56*(H3-1)</f>
        <v>719976.05602688354</v>
      </c>
      <c r="I14" s="538">
        <f>'4-6 Stage3b Sources &amp; Uses'!$G$56*(I3-1)</f>
        <v>959968.07470251143</v>
      </c>
      <c r="J14" s="538">
        <f>'4-6 Stage3b Sources &amp; Uses'!$G$56*(J3-1)</f>
        <v>1199960.0933781392</v>
      </c>
      <c r="K14" s="538">
        <f>'4-6 Stage3b Sources &amp; Uses'!$G$56*(K3-1)</f>
        <v>1439952.1120537671</v>
      </c>
      <c r="L14" s="157">
        <f>'4-6 Stage3b Sources &amp; Uses'!$G$56*(L3-1)</f>
        <v>1679944.130729395</v>
      </c>
    </row>
    <row r="15" spans="1:12" x14ac:dyDescent="0.2">
      <c r="A15" s="275">
        <v>12</v>
      </c>
      <c r="B15" s="74" t="s">
        <v>121</v>
      </c>
      <c r="C15" s="69"/>
      <c r="D15" s="75"/>
      <c r="E15" s="76"/>
      <c r="F15" s="77">
        <f>'4-6 Stage3b Sources &amp; Uses'!$E$56-F16</f>
        <v>239992.01867562812</v>
      </c>
      <c r="G15" s="76">
        <f>'4-6 Stage3b Sources &amp; Uses'!$E$56-G16</f>
        <v>479984.03735125531</v>
      </c>
      <c r="H15" s="83">
        <f>'4-6 Stage3b Sources &amp; Uses'!$E$56-H16</f>
        <v>719976.05602688342</v>
      </c>
      <c r="I15" s="83">
        <f>'4-6 Stage3b Sources &amp; Uses'!$E$56-I16</f>
        <v>959968.07470251154</v>
      </c>
      <c r="J15" s="83">
        <f>'4-6 Stage3b Sources &amp; Uses'!$E$56-J16</f>
        <v>1199960.0933781387</v>
      </c>
      <c r="K15" s="83">
        <f>'4-6 Stage3b Sources &amp; Uses'!$E$56-K16</f>
        <v>1439952.1120537668</v>
      </c>
      <c r="L15" s="77">
        <f>'4-6 Stage3b Sources &amp; Uses'!$E$56-L16</f>
        <v>1679944.130729395</v>
      </c>
    </row>
    <row r="16" spans="1:12" x14ac:dyDescent="0.2">
      <c r="A16" s="275">
        <v>13</v>
      </c>
      <c r="B16" s="78" t="s">
        <v>122</v>
      </c>
      <c r="C16" s="79"/>
      <c r="D16" s="80"/>
      <c r="E16" s="81"/>
      <c r="F16" s="82">
        <f>'4-6 Stage3b Sources &amp; Uses'!$E$56-F13</f>
        <v>6359788.4949041381</v>
      </c>
      <c r="G16" s="81">
        <f>'4-6 Stage3b Sources &amp; Uses'!$E$56-G13</f>
        <v>6119796.476228511</v>
      </c>
      <c r="H16" s="80">
        <f>'4-6 Stage3b Sources &amp; Uses'!$E$56-H13</f>
        <v>5879804.4575528828</v>
      </c>
      <c r="I16" s="80">
        <f>'4-6 Stage3b Sources &amp; Uses'!$E$56-I13</f>
        <v>5639812.4388772547</v>
      </c>
      <c r="J16" s="80">
        <f>'4-6 Stage3b Sources &amp; Uses'!$E$56-J13</f>
        <v>5399820.4202016275</v>
      </c>
      <c r="K16" s="80">
        <f>'4-6 Stage3b Sources &amp; Uses'!$E$56-K13</f>
        <v>5159828.4015259994</v>
      </c>
      <c r="L16" s="82">
        <f>'4-6 Stage3b Sources &amp; Uses'!$E$56-L13</f>
        <v>4919836.3828503713</v>
      </c>
    </row>
    <row r="17" spans="1:12" x14ac:dyDescent="0.2">
      <c r="B17" s="69"/>
      <c r="C17" s="69"/>
      <c r="D17" s="75"/>
      <c r="E17" s="83"/>
      <c r="F17" s="83"/>
      <c r="G17" s="75"/>
      <c r="H17" s="75"/>
      <c r="I17" s="75"/>
      <c r="J17" s="75"/>
      <c r="K17" s="75"/>
      <c r="L17" s="75"/>
    </row>
    <row r="18" spans="1:12" x14ac:dyDescent="0.2">
      <c r="A18" s="275">
        <v>14</v>
      </c>
      <c r="B18" s="84" t="s">
        <v>123</v>
      </c>
      <c r="C18" s="79"/>
      <c r="D18" s="86"/>
      <c r="E18" s="743">
        <v>1</v>
      </c>
      <c r="F18" s="743">
        <v>2</v>
      </c>
      <c r="G18" s="743">
        <v>3</v>
      </c>
      <c r="H18" s="743">
        <v>4</v>
      </c>
      <c r="I18" s="743">
        <v>5</v>
      </c>
      <c r="J18" s="728">
        <v>6</v>
      </c>
      <c r="K18" s="728">
        <v>7</v>
      </c>
      <c r="L18" s="728">
        <v>8</v>
      </c>
    </row>
    <row r="19" spans="1:12" x14ac:dyDescent="0.2">
      <c r="A19" s="275">
        <v>15</v>
      </c>
      <c r="B19" s="74" t="s">
        <v>124</v>
      </c>
      <c r="C19" s="123">
        <v>0.03</v>
      </c>
      <c r="D19" s="75"/>
      <c r="E19" s="543">
        <f>'4-5 St3a Development period'!H40</f>
        <v>0</v>
      </c>
      <c r="F19" s="542">
        <f>'4-5 St3a Development period'!I40</f>
        <v>892317.00158651161</v>
      </c>
      <c r="G19" s="76">
        <f>$F$19*(1+$C$19)^(G18-2)</f>
        <v>919086.51163410698</v>
      </c>
      <c r="H19" s="83">
        <f>$F$19*(1+$C$19)^(H18)</f>
        <v>1004310.6465984028</v>
      </c>
      <c r="I19" s="83">
        <f>$F$19*(1+$C$19)^(I18)</f>
        <v>1034439.9659963547</v>
      </c>
      <c r="J19" s="83">
        <f>$F$19*(1+$C$19)^(J18)</f>
        <v>1065473.1649762455</v>
      </c>
      <c r="K19" s="83">
        <f>$F$19*(1+$C$19)^(K18)</f>
        <v>1097437.3599255329</v>
      </c>
      <c r="L19" s="77">
        <f>$F$19*(1+$C$19)^(L18)</f>
        <v>1130360.4807232986</v>
      </c>
    </row>
    <row r="20" spans="1:12" x14ac:dyDescent="0.2">
      <c r="A20" s="275">
        <v>16</v>
      </c>
      <c r="B20" s="74" t="s">
        <v>125</v>
      </c>
      <c r="C20" s="123">
        <v>0.05</v>
      </c>
      <c r="D20" s="87"/>
      <c r="E20" s="283">
        <f>'4-5 St3a Development period'!H39</f>
        <v>0.85</v>
      </c>
      <c r="F20" s="544">
        <f>'4-5 St3a Development period'!I39</f>
        <v>0.20000000000000004</v>
      </c>
      <c r="G20" s="548">
        <f t="shared" ref="G20:L20" si="6">$C$20</f>
        <v>0.05</v>
      </c>
      <c r="H20" s="540">
        <f t="shared" si="6"/>
        <v>0.05</v>
      </c>
      <c r="I20" s="540">
        <f t="shared" si="6"/>
        <v>0.05</v>
      </c>
      <c r="J20" s="540">
        <f t="shared" si="6"/>
        <v>0.05</v>
      </c>
      <c r="K20" s="540">
        <f t="shared" si="6"/>
        <v>0.05</v>
      </c>
      <c r="L20" s="549">
        <f t="shared" si="6"/>
        <v>0.05</v>
      </c>
    </row>
    <row r="21" spans="1:12" x14ac:dyDescent="0.2">
      <c r="A21" s="275">
        <v>17</v>
      </c>
      <c r="B21" s="74" t="s">
        <v>126</v>
      </c>
      <c r="C21" s="87"/>
      <c r="D21" s="75"/>
      <c r="E21" s="260">
        <f>'4-5 St3a Development period'!H41</f>
        <v>0</v>
      </c>
      <c r="F21" s="157">
        <f>'4-5 St3a Development period'!I41</f>
        <v>-178463.40031730235</v>
      </c>
      <c r="G21" s="76">
        <f t="shared" ref="G21:L21" si="7">-G19*G20</f>
        <v>-45954.32558170535</v>
      </c>
      <c r="H21" s="83">
        <f t="shared" si="7"/>
        <v>-50215.532329920141</v>
      </c>
      <c r="I21" s="83">
        <f t="shared" si="7"/>
        <v>-51721.998299817737</v>
      </c>
      <c r="J21" s="83">
        <f t="shared" si="7"/>
        <v>-53273.65824881228</v>
      </c>
      <c r="K21" s="83">
        <f t="shared" si="7"/>
        <v>-54871.867996276647</v>
      </c>
      <c r="L21" s="77">
        <f t="shared" si="7"/>
        <v>-56518.024036164934</v>
      </c>
    </row>
    <row r="22" spans="1:12" x14ac:dyDescent="0.2">
      <c r="A22" s="275">
        <v>18</v>
      </c>
      <c r="B22" s="458" t="s">
        <v>262</v>
      </c>
      <c r="C22" s="88">
        <v>5.0000000000000001E-3</v>
      </c>
      <c r="D22" s="80"/>
      <c r="E22" s="459">
        <f>'4-5 St3a Development period'!H42</f>
        <v>0</v>
      </c>
      <c r="F22" s="545">
        <f>'4-5 St3a Development period'!I42</f>
        <v>-4461.5850079325583</v>
      </c>
      <c r="G22" s="81">
        <f t="shared" ref="G22:L22" si="8">-$C22*G19</f>
        <v>-4595.4325581705352</v>
      </c>
      <c r="H22" s="80">
        <f t="shared" si="8"/>
        <v>-5021.5532329920143</v>
      </c>
      <c r="I22" s="80">
        <f t="shared" si="8"/>
        <v>-5172.1998299817733</v>
      </c>
      <c r="J22" s="80">
        <f t="shared" si="8"/>
        <v>-5327.3658248812271</v>
      </c>
      <c r="K22" s="80">
        <f t="shared" si="8"/>
        <v>-5487.1867996276651</v>
      </c>
      <c r="L22" s="82">
        <f t="shared" si="8"/>
        <v>-5651.8024036164934</v>
      </c>
    </row>
    <row r="23" spans="1:12" x14ac:dyDescent="0.2">
      <c r="A23" s="275">
        <v>19</v>
      </c>
      <c r="B23" s="89" t="s">
        <v>217</v>
      </c>
      <c r="C23" s="87"/>
      <c r="D23" s="75"/>
      <c r="E23" s="76">
        <f>E19+E21+E22</f>
        <v>0</v>
      </c>
      <c r="F23" s="77">
        <f t="shared" ref="F23:L23" si="9">F19+F21+F22</f>
        <v>709392.01626127679</v>
      </c>
      <c r="G23" s="76">
        <f t="shared" si="9"/>
        <v>868536.75349423115</v>
      </c>
      <c r="H23" s="83">
        <f t="shared" si="9"/>
        <v>949073.56103549059</v>
      </c>
      <c r="I23" s="83">
        <f t="shared" si="9"/>
        <v>977545.76786655514</v>
      </c>
      <c r="J23" s="83">
        <f t="shared" si="9"/>
        <v>1006872.1409025519</v>
      </c>
      <c r="K23" s="83">
        <f t="shared" si="9"/>
        <v>1037078.3051296287</v>
      </c>
      <c r="L23" s="77">
        <f t="shared" si="9"/>
        <v>1068190.6542835173</v>
      </c>
    </row>
    <row r="24" spans="1:12" x14ac:dyDescent="0.2">
      <c r="B24" s="69"/>
      <c r="C24" s="87"/>
      <c r="D24" s="75"/>
      <c r="E24" s="76"/>
      <c r="F24" s="77"/>
      <c r="G24" s="76"/>
      <c r="H24" s="83"/>
      <c r="I24" s="83"/>
      <c r="J24" s="83"/>
      <c r="K24" s="83"/>
      <c r="L24" s="77"/>
    </row>
    <row r="25" spans="1:12" x14ac:dyDescent="0.2">
      <c r="A25" s="275">
        <v>20</v>
      </c>
      <c r="B25" s="78" t="s">
        <v>100</v>
      </c>
      <c r="C25" s="88">
        <v>0.03</v>
      </c>
      <c r="D25" s="80"/>
      <c r="E25" s="459">
        <f>'4-5 St3a Development period'!H44</f>
        <v>0</v>
      </c>
      <c r="F25" s="545">
        <f>'4-5 St3a Development period'!I44</f>
        <v>-319297.18699497747</v>
      </c>
      <c r="G25" s="81">
        <f t="shared" ref="G25:L25" si="10">$F$25*(1+$C$25)^(G18-2)</f>
        <v>-328876.1026048268</v>
      </c>
      <c r="H25" s="80">
        <f t="shared" si="10"/>
        <v>-338742.38568297157</v>
      </c>
      <c r="I25" s="80">
        <f t="shared" si="10"/>
        <v>-348904.65725346073</v>
      </c>
      <c r="J25" s="80">
        <f t="shared" si="10"/>
        <v>-359371.79697106453</v>
      </c>
      <c r="K25" s="80">
        <f t="shared" si="10"/>
        <v>-370152.95088019647</v>
      </c>
      <c r="L25" s="82">
        <f t="shared" si="10"/>
        <v>-381257.53940660239</v>
      </c>
    </row>
    <row r="26" spans="1:12" x14ac:dyDescent="0.2">
      <c r="A26" s="275">
        <v>21</v>
      </c>
      <c r="B26" s="89" t="s">
        <v>65</v>
      </c>
      <c r="C26" s="90"/>
      <c r="D26" s="91"/>
      <c r="E26" s="92">
        <f>SUM(E23,E25)</f>
        <v>0</v>
      </c>
      <c r="F26" s="93">
        <f t="shared" ref="F26:L26" si="11">SUM(F23,F25)</f>
        <v>390094.82926629932</v>
      </c>
      <c r="G26" s="92">
        <f t="shared" si="11"/>
        <v>539660.65088940435</v>
      </c>
      <c r="H26" s="257">
        <f t="shared" si="11"/>
        <v>610331.17535251903</v>
      </c>
      <c r="I26" s="257">
        <f t="shared" si="11"/>
        <v>628641.11061309441</v>
      </c>
      <c r="J26" s="257">
        <f t="shared" si="11"/>
        <v>647500.34393148741</v>
      </c>
      <c r="K26" s="257">
        <f t="shared" si="11"/>
        <v>666925.35424943222</v>
      </c>
      <c r="L26" s="93">
        <f t="shared" si="11"/>
        <v>686933.11487691489</v>
      </c>
    </row>
    <row r="27" spans="1:12" ht="15.75" x14ac:dyDescent="0.2">
      <c r="A27" s="275">
        <v>22</v>
      </c>
      <c r="B27" s="258" t="s">
        <v>412</v>
      </c>
      <c r="C27" s="90"/>
      <c r="D27" s="91"/>
      <c r="E27" s="561">
        <f>'4-5 St3a Development period'!H72</f>
        <v>0</v>
      </c>
      <c r="F27" s="259">
        <f>'4-5 St3a Development period'!I72</f>
        <v>-390094.82926629926</v>
      </c>
      <c r="G27" s="92"/>
      <c r="H27" s="257"/>
      <c r="I27" s="257"/>
      <c r="J27" s="257"/>
      <c r="K27" s="257"/>
      <c r="L27" s="93"/>
    </row>
    <row r="28" spans="1:12" x14ac:dyDescent="0.2">
      <c r="A28" s="275">
        <v>23</v>
      </c>
      <c r="B28" s="74" t="s">
        <v>156</v>
      </c>
      <c r="C28" s="69"/>
      <c r="D28" s="75"/>
      <c r="E28" s="76"/>
      <c r="F28" s="457"/>
      <c r="G28" s="76">
        <f t="shared" ref="G28:L28" si="12">-SUM(G6:G7)</f>
        <v>-425473.04227883054</v>
      </c>
      <c r="H28" s="83">
        <f t="shared" si="12"/>
        <v>-425473.04227883054</v>
      </c>
      <c r="I28" s="83">
        <f t="shared" si="12"/>
        <v>-425473.04227883054</v>
      </c>
      <c r="J28" s="83">
        <f t="shared" si="12"/>
        <v>-425473.04227883054</v>
      </c>
      <c r="K28" s="83">
        <f t="shared" si="12"/>
        <v>-425473.04227883054</v>
      </c>
      <c r="L28" s="77">
        <f t="shared" si="12"/>
        <v>-425473.04227883054</v>
      </c>
    </row>
    <row r="29" spans="1:12" ht="15.75" x14ac:dyDescent="0.2">
      <c r="A29" s="275">
        <v>24</v>
      </c>
      <c r="B29" s="258" t="s">
        <v>413</v>
      </c>
      <c r="C29" s="69"/>
      <c r="D29" s="75"/>
      <c r="E29" s="76"/>
      <c r="F29" s="157">
        <f>'4-5 St3a Development period'!I63</f>
        <v>0</v>
      </c>
      <c r="G29" s="76"/>
      <c r="H29" s="83"/>
      <c r="I29" s="83"/>
      <c r="J29" s="83"/>
      <c r="K29" s="83"/>
      <c r="L29" s="77"/>
    </row>
    <row r="30" spans="1:12" x14ac:dyDescent="0.2">
      <c r="B30" s="788"/>
      <c r="C30" s="788"/>
      <c r="D30" s="83"/>
      <c r="E30" s="76"/>
      <c r="F30" s="77"/>
      <c r="G30" s="789"/>
      <c r="H30" s="790"/>
      <c r="I30" s="790"/>
      <c r="J30" s="790"/>
      <c r="K30" s="790"/>
      <c r="L30" s="791"/>
    </row>
    <row r="31" spans="1:12" x14ac:dyDescent="0.2">
      <c r="A31" s="275">
        <v>25</v>
      </c>
      <c r="B31" s="102" t="s">
        <v>359</v>
      </c>
      <c r="C31" s="103"/>
      <c r="D31" s="104"/>
      <c r="E31" s="792"/>
      <c r="F31" s="793">
        <f>F26+F27+F29</f>
        <v>5.8207660913467407E-11</v>
      </c>
      <c r="G31" s="792">
        <f t="shared" ref="G31:L31" si="13">SUM(G26:G30)</f>
        <v>114187.60861057381</v>
      </c>
      <c r="H31" s="104">
        <f t="shared" si="13"/>
        <v>184858.13307368848</v>
      </c>
      <c r="I31" s="104">
        <f t="shared" si="13"/>
        <v>203168.06833426387</v>
      </c>
      <c r="J31" s="104">
        <f t="shared" si="13"/>
        <v>222027.30165265687</v>
      </c>
      <c r="K31" s="104">
        <f t="shared" si="13"/>
        <v>241452.31197060167</v>
      </c>
      <c r="L31" s="793">
        <f t="shared" si="13"/>
        <v>261460.07259808434</v>
      </c>
    </row>
    <row r="32" spans="1:12" x14ac:dyDescent="0.2">
      <c r="B32" s="102"/>
      <c r="C32" s="103"/>
      <c r="D32" s="104"/>
      <c r="E32" s="104"/>
      <c r="F32" s="104"/>
      <c r="G32" s="104"/>
      <c r="H32" s="104"/>
      <c r="I32" s="104"/>
      <c r="J32" s="104"/>
      <c r="K32" s="104"/>
      <c r="L32" s="104"/>
    </row>
    <row r="33" spans="1:12" s="452" customFormat="1" x14ac:dyDescent="0.2">
      <c r="A33" s="275">
        <v>26</v>
      </c>
      <c r="B33" s="465" t="s">
        <v>267</v>
      </c>
      <c r="C33" s="466"/>
      <c r="D33" s="257"/>
      <c r="E33" s="257"/>
      <c r="F33" s="257">
        <f>F50</f>
        <v>0</v>
      </c>
      <c r="G33" s="257">
        <f t="shared" ref="G33:L33" si="14">G50</f>
        <v>0</v>
      </c>
      <c r="H33" s="257">
        <f t="shared" si="14"/>
        <v>0</v>
      </c>
      <c r="I33" s="257">
        <f t="shared" si="14"/>
        <v>0</v>
      </c>
      <c r="J33" s="257">
        <f t="shared" si="14"/>
        <v>0</v>
      </c>
      <c r="K33" s="257">
        <f t="shared" si="14"/>
        <v>4735.4647998606697</v>
      </c>
      <c r="L33" s="257">
        <f t="shared" si="14"/>
        <v>37823.138337492142</v>
      </c>
    </row>
    <row r="34" spans="1:12" ht="13.5" thickBot="1" x14ac:dyDescent="0.25">
      <c r="B34" s="94"/>
      <c r="C34" s="94"/>
      <c r="D34" s="95"/>
      <c r="E34" s="95"/>
      <c r="F34" s="95"/>
      <c r="G34" s="96"/>
      <c r="H34" s="96"/>
      <c r="I34" s="96"/>
      <c r="J34" s="96"/>
      <c r="K34" s="96"/>
      <c r="L34" s="96"/>
    </row>
    <row r="35" spans="1:12" ht="14.25" thickTop="1" thickBot="1" x14ac:dyDescent="0.25">
      <c r="A35" s="275">
        <v>27</v>
      </c>
      <c r="B35" s="97" t="s">
        <v>360</v>
      </c>
      <c r="C35" s="98"/>
      <c r="D35" s="99"/>
      <c r="E35" s="100"/>
      <c r="F35" s="101">
        <f>F31-F33</f>
        <v>5.8207660913467407E-11</v>
      </c>
      <c r="G35" s="100">
        <f t="shared" ref="G35:L35" si="15">G31-G33</f>
        <v>114187.60861057381</v>
      </c>
      <c r="H35" s="99">
        <f t="shared" si="15"/>
        <v>184858.13307368848</v>
      </c>
      <c r="I35" s="99">
        <f t="shared" si="15"/>
        <v>203168.06833426387</v>
      </c>
      <c r="J35" s="99">
        <f t="shared" si="15"/>
        <v>222027.30165265687</v>
      </c>
      <c r="K35" s="99">
        <f t="shared" si="15"/>
        <v>236716.84717074101</v>
      </c>
      <c r="L35" s="101">
        <f t="shared" si="15"/>
        <v>223636.93426059221</v>
      </c>
    </row>
    <row r="36" spans="1:12" x14ac:dyDescent="0.2">
      <c r="B36" s="102"/>
      <c r="C36" s="103"/>
      <c r="D36" s="104"/>
      <c r="E36" s="104"/>
      <c r="F36" s="104"/>
      <c r="G36" s="462"/>
      <c r="H36" s="104"/>
      <c r="I36" s="104"/>
      <c r="J36" s="104"/>
      <c r="K36" s="104"/>
      <c r="L36" s="104"/>
    </row>
    <row r="37" spans="1:12" x14ac:dyDescent="0.2">
      <c r="B37" s="69"/>
      <c r="C37" s="69"/>
      <c r="D37" s="75"/>
      <c r="E37" s="83"/>
      <c r="F37" s="83"/>
      <c r="G37" s="75"/>
      <c r="H37" s="75"/>
      <c r="I37" s="75"/>
      <c r="J37" s="75"/>
      <c r="K37" s="75"/>
      <c r="L37" s="75"/>
    </row>
    <row r="38" spans="1:12" x14ac:dyDescent="0.2">
      <c r="A38" s="275">
        <v>28</v>
      </c>
      <c r="B38" s="26" t="s">
        <v>42</v>
      </c>
      <c r="C38" s="13"/>
      <c r="D38" s="30"/>
      <c r="E38" s="727">
        <v>1</v>
      </c>
      <c r="F38" s="727">
        <v>2</v>
      </c>
      <c r="G38" s="727">
        <v>3</v>
      </c>
      <c r="H38" s="727">
        <v>4</v>
      </c>
      <c r="I38" s="727">
        <v>5</v>
      </c>
      <c r="J38" s="727">
        <v>6</v>
      </c>
      <c r="K38" s="727">
        <v>7</v>
      </c>
      <c r="L38" s="727">
        <v>8</v>
      </c>
    </row>
    <row r="39" spans="1:12" x14ac:dyDescent="0.2">
      <c r="B39" s="35"/>
      <c r="C39" s="35"/>
      <c r="D39" s="35"/>
      <c r="E39" s="558"/>
      <c r="F39" s="551"/>
      <c r="G39" s="550"/>
      <c r="H39" s="213"/>
      <c r="I39" s="213"/>
      <c r="J39" s="213"/>
      <c r="K39" s="213"/>
      <c r="L39" s="551"/>
    </row>
    <row r="40" spans="1:12" x14ac:dyDescent="0.2">
      <c r="A40" s="275">
        <v>29</v>
      </c>
      <c r="B40" s="12" t="s">
        <v>65</v>
      </c>
      <c r="C40" s="12"/>
      <c r="D40" s="28"/>
      <c r="E40" s="552">
        <f>E26</f>
        <v>0</v>
      </c>
      <c r="F40" s="262">
        <f t="shared" ref="F40:L40" si="16">F26</f>
        <v>390094.82926629932</v>
      </c>
      <c r="G40" s="552">
        <f t="shared" si="16"/>
        <v>539660.65088940435</v>
      </c>
      <c r="H40" s="198">
        <f t="shared" si="16"/>
        <v>610331.17535251903</v>
      </c>
      <c r="I40" s="198">
        <f t="shared" si="16"/>
        <v>628641.11061309441</v>
      </c>
      <c r="J40" s="198">
        <f t="shared" si="16"/>
        <v>647500.34393148741</v>
      </c>
      <c r="K40" s="198">
        <f t="shared" si="16"/>
        <v>666925.35424943222</v>
      </c>
      <c r="L40" s="262">
        <f t="shared" si="16"/>
        <v>686933.11487691489</v>
      </c>
    </row>
    <row r="41" spans="1:12" x14ac:dyDescent="0.2">
      <c r="A41" s="275">
        <v>30</v>
      </c>
      <c r="B41" s="365" t="s">
        <v>289</v>
      </c>
      <c r="C41" s="360"/>
      <c r="D41" s="367"/>
      <c r="E41" s="553"/>
      <c r="F41" s="794">
        <f>'4-3b-Stage 1b Pro Forma NOI'!D17</f>
        <v>7950</v>
      </c>
      <c r="G41" s="552">
        <f t="shared" ref="G41:L41" si="17">F41*(1+$C$25)</f>
        <v>8188.5</v>
      </c>
      <c r="H41" s="198">
        <f t="shared" si="17"/>
        <v>8434.1550000000007</v>
      </c>
      <c r="I41" s="198">
        <f t="shared" si="17"/>
        <v>8687.17965</v>
      </c>
      <c r="J41" s="198">
        <f t="shared" si="17"/>
        <v>8947.7950395000007</v>
      </c>
      <c r="K41" s="198">
        <f t="shared" si="17"/>
        <v>9216.2288906850008</v>
      </c>
      <c r="L41" s="262">
        <f t="shared" si="17"/>
        <v>9492.7157574055509</v>
      </c>
    </row>
    <row r="42" spans="1:12" x14ac:dyDescent="0.2">
      <c r="A42" s="275">
        <v>31</v>
      </c>
      <c r="B42" s="365" t="s">
        <v>40</v>
      </c>
      <c r="C42" s="360"/>
      <c r="D42" s="367"/>
      <c r="E42" s="553">
        <f>-E7-E27</f>
        <v>0</v>
      </c>
      <c r="F42" s="262">
        <f t="shared" ref="F42:L42" si="18">-F7+F27</f>
        <v>-390094.82926629926</v>
      </c>
      <c r="G42" s="552">
        <f t="shared" si="18"/>
        <v>-347313.77577671374</v>
      </c>
      <c r="H42" s="198">
        <f t="shared" si="18"/>
        <v>-342699.26586932188</v>
      </c>
      <c r="I42" s="198">
        <f t="shared" si="18"/>
        <v>-337812.31607556401</v>
      </c>
      <c r="J42" s="198">
        <f t="shared" si="18"/>
        <v>-332636.84159050102</v>
      </c>
      <c r="K42" s="198">
        <f t="shared" si="18"/>
        <v>-327155.807965038</v>
      </c>
      <c r="L42" s="262">
        <f t="shared" si="18"/>
        <v>-321351.17503907776</v>
      </c>
    </row>
    <row r="43" spans="1:12" x14ac:dyDescent="0.2">
      <c r="A43" s="275">
        <v>32</v>
      </c>
      <c r="B43" s="365" t="s">
        <v>41</v>
      </c>
      <c r="C43" s="360"/>
      <c r="D43" s="367"/>
      <c r="E43" s="553">
        <f>-E11</f>
        <v>0</v>
      </c>
      <c r="F43" s="262">
        <f t="shared" ref="F43:L43" si="19">-F11</f>
        <v>-239992.01867562786</v>
      </c>
      <c r="G43" s="552">
        <f t="shared" si="19"/>
        <v>-239992.01867562786</v>
      </c>
      <c r="H43" s="198">
        <f t="shared" si="19"/>
        <v>-239992.01867562786</v>
      </c>
      <c r="I43" s="198">
        <f t="shared" si="19"/>
        <v>-239992.01867562786</v>
      </c>
      <c r="J43" s="198">
        <f t="shared" si="19"/>
        <v>-239992.01867562786</v>
      </c>
      <c r="K43" s="198">
        <f t="shared" si="19"/>
        <v>-239992.01867562786</v>
      </c>
      <c r="L43" s="262">
        <f t="shared" si="19"/>
        <v>-239992.01867562786</v>
      </c>
    </row>
    <row r="44" spans="1:12" x14ac:dyDescent="0.2">
      <c r="A44" s="275">
        <v>33</v>
      </c>
      <c r="B44" s="15" t="s">
        <v>340</v>
      </c>
      <c r="C44" s="12"/>
      <c r="D44" s="28"/>
      <c r="E44" s="554">
        <f t="shared" ref="E44:L44" si="20">SUM(E40:E43)</f>
        <v>0</v>
      </c>
      <c r="F44" s="555">
        <f t="shared" si="20"/>
        <v>-232042.0186756278</v>
      </c>
      <c r="G44" s="554">
        <f t="shared" si="20"/>
        <v>-39456.643562937243</v>
      </c>
      <c r="H44" s="202">
        <f t="shared" si="20"/>
        <v>36074.045807569317</v>
      </c>
      <c r="I44" s="202">
        <f t="shared" si="20"/>
        <v>59523.955511902488</v>
      </c>
      <c r="J44" s="202">
        <f t="shared" si="20"/>
        <v>83819.278704858531</v>
      </c>
      <c r="K44" s="202">
        <f t="shared" si="20"/>
        <v>108993.75649945138</v>
      </c>
      <c r="L44" s="555">
        <f t="shared" si="20"/>
        <v>135082.63691961477</v>
      </c>
    </row>
    <row r="45" spans="1:12" x14ac:dyDescent="0.2">
      <c r="A45" s="275">
        <v>34</v>
      </c>
      <c r="B45" s="15" t="s">
        <v>264</v>
      </c>
      <c r="C45" s="12"/>
      <c r="D45" s="12"/>
      <c r="E45" s="556">
        <v>0</v>
      </c>
      <c r="F45" s="557">
        <f t="shared" ref="F45:K45" si="21">IF(F44&lt;0,0,-MIN(F44,-E48))</f>
        <v>0</v>
      </c>
      <c r="G45" s="556">
        <f t="shared" si="21"/>
        <v>0</v>
      </c>
      <c r="H45" s="200">
        <f t="shared" si="21"/>
        <v>-36074.045807569317</v>
      </c>
      <c r="I45" s="200">
        <f t="shared" si="21"/>
        <v>-59523.955511902488</v>
      </c>
      <c r="J45" s="200">
        <f t="shared" si="21"/>
        <v>-83819.278704858531</v>
      </c>
      <c r="K45" s="200">
        <f t="shared" si="21"/>
        <v>-92081.382214234705</v>
      </c>
      <c r="L45" s="557">
        <f>IF(L44&lt;0,0,-MIN(L44,-K48))</f>
        <v>0</v>
      </c>
    </row>
    <row r="46" spans="1:12" x14ac:dyDescent="0.2">
      <c r="B46" s="12"/>
      <c r="C46" s="12"/>
      <c r="D46" s="12"/>
      <c r="E46" s="210"/>
      <c r="F46" s="193"/>
      <c r="G46" s="193"/>
      <c r="H46" s="193"/>
      <c r="I46" s="193"/>
      <c r="J46" s="193"/>
      <c r="K46" s="193"/>
      <c r="L46" s="193"/>
    </row>
    <row r="47" spans="1:12" x14ac:dyDescent="0.2">
      <c r="A47" s="275">
        <v>35</v>
      </c>
      <c r="B47" s="12" t="s">
        <v>127</v>
      </c>
      <c r="C47" s="12"/>
      <c r="D47" s="12"/>
      <c r="E47" s="554">
        <f t="shared" ref="E47:L47" si="22">IF(E44&lt;0,0,IF(E44+E45&gt;0,E44+E45,0))</f>
        <v>0</v>
      </c>
      <c r="F47" s="555">
        <f t="shared" si="22"/>
        <v>0</v>
      </c>
      <c r="G47" s="554">
        <f t="shared" si="22"/>
        <v>0</v>
      </c>
      <c r="H47" s="202">
        <f t="shared" si="22"/>
        <v>0</v>
      </c>
      <c r="I47" s="202">
        <f t="shared" si="22"/>
        <v>0</v>
      </c>
      <c r="J47" s="202">
        <f t="shared" si="22"/>
        <v>0</v>
      </c>
      <c r="K47" s="202">
        <f t="shared" si="22"/>
        <v>16912.374285216676</v>
      </c>
      <c r="L47" s="555">
        <f t="shared" si="22"/>
        <v>135082.63691961477</v>
      </c>
    </row>
    <row r="48" spans="1:12" x14ac:dyDescent="0.2">
      <c r="A48" s="275">
        <v>36</v>
      </c>
      <c r="B48" s="12" t="s">
        <v>128</v>
      </c>
      <c r="C48" s="12"/>
      <c r="D48" s="12"/>
      <c r="E48" s="556">
        <f>MIN(0,E44)-E45+D48</f>
        <v>0</v>
      </c>
      <c r="F48" s="557">
        <f t="shared" ref="F48:K48" si="23">MIN(0,F44)-F45+E48</f>
        <v>-232042.0186756278</v>
      </c>
      <c r="G48" s="556">
        <f t="shared" si="23"/>
        <v>-271498.66223856504</v>
      </c>
      <c r="H48" s="200">
        <f t="shared" si="23"/>
        <v>-235424.61643099572</v>
      </c>
      <c r="I48" s="200">
        <f t="shared" si="23"/>
        <v>-175900.66091909324</v>
      </c>
      <c r="J48" s="200">
        <f t="shared" si="23"/>
        <v>-92081.382214234705</v>
      </c>
      <c r="K48" s="200">
        <f t="shared" si="23"/>
        <v>0</v>
      </c>
      <c r="L48" s="557">
        <f>MIN(0,L44)-L45+K48</f>
        <v>0</v>
      </c>
    </row>
    <row r="49" spans="1:12" x14ac:dyDescent="0.2">
      <c r="B49" s="12"/>
      <c r="C49" s="12"/>
      <c r="D49" s="12"/>
      <c r="E49" s="209"/>
      <c r="F49" s="193"/>
      <c r="G49" s="193"/>
      <c r="H49" s="193"/>
      <c r="I49" s="193"/>
      <c r="J49" s="193"/>
      <c r="K49" s="193"/>
      <c r="L49" s="193"/>
    </row>
    <row r="50" spans="1:12" ht="13.5" thickBot="1" x14ac:dyDescent="0.25">
      <c r="A50" s="275">
        <v>37</v>
      </c>
      <c r="B50" s="15" t="s">
        <v>43</v>
      </c>
      <c r="C50" s="371">
        <v>0.28000000000000003</v>
      </c>
      <c r="E50" s="559">
        <f>E47*$C$50</f>
        <v>0</v>
      </c>
      <c r="F50" s="560">
        <f t="shared" ref="F50:L50" si="24">F47*$C$50</f>
        <v>0</v>
      </c>
      <c r="G50" s="559">
        <f t="shared" si="24"/>
        <v>0</v>
      </c>
      <c r="H50" s="206">
        <f t="shared" si="24"/>
        <v>0</v>
      </c>
      <c r="I50" s="206">
        <f t="shared" si="24"/>
        <v>0</v>
      </c>
      <c r="J50" s="206">
        <f t="shared" si="24"/>
        <v>0</v>
      </c>
      <c r="K50" s="206">
        <f t="shared" si="24"/>
        <v>4735.4647998606697</v>
      </c>
      <c r="L50" s="560">
        <f t="shared" si="24"/>
        <v>37823.138337492142</v>
      </c>
    </row>
    <row r="51" spans="1:12" ht="13.5" thickTop="1" x14ac:dyDescent="0.2">
      <c r="A51" s="275"/>
      <c r="B51" s="23"/>
      <c r="C51" s="23"/>
      <c r="D51" s="23"/>
      <c r="E51" s="211"/>
      <c r="F51" s="193"/>
      <c r="G51" s="193"/>
      <c r="H51" s="193"/>
      <c r="I51" s="193"/>
      <c r="J51" s="193"/>
      <c r="K51" s="193"/>
      <c r="L51" s="251"/>
    </row>
    <row r="52" spans="1:12" x14ac:dyDescent="0.2">
      <c r="A52" s="275"/>
      <c r="B52" s="23"/>
      <c r="C52" s="23"/>
      <c r="D52" s="21"/>
      <c r="E52" s="198"/>
      <c r="F52" s="193"/>
      <c r="G52" s="193"/>
      <c r="H52" s="193"/>
      <c r="I52" s="193"/>
      <c r="J52" s="193"/>
      <c r="K52" s="193"/>
      <c r="L52" s="251"/>
    </row>
    <row r="53" spans="1:12" x14ac:dyDescent="0.2">
      <c r="A53" s="275">
        <v>38</v>
      </c>
      <c r="B53" s="36" t="s">
        <v>45</v>
      </c>
      <c r="C53" s="13"/>
      <c r="D53" s="30"/>
      <c r="E53" s="727">
        <v>1</v>
      </c>
      <c r="F53" s="727">
        <v>2</v>
      </c>
      <c r="G53" s="727">
        <v>3</v>
      </c>
      <c r="H53" s="727">
        <v>4</v>
      </c>
      <c r="I53" s="727">
        <v>5</v>
      </c>
      <c r="J53" s="727">
        <v>6</v>
      </c>
      <c r="K53" s="727">
        <v>7</v>
      </c>
      <c r="L53" s="437"/>
    </row>
    <row r="54" spans="1:12" x14ac:dyDescent="0.2">
      <c r="A54" s="275"/>
      <c r="B54" s="14"/>
      <c r="C54" s="12"/>
      <c r="D54" s="28"/>
      <c r="E54" s="197"/>
      <c r="F54" s="193"/>
      <c r="G54" s="193"/>
      <c r="H54" s="193"/>
      <c r="I54" s="193"/>
      <c r="J54" s="193"/>
      <c r="K54" s="193"/>
      <c r="L54" s="251"/>
    </row>
    <row r="55" spans="1:12" x14ac:dyDescent="0.2">
      <c r="A55" s="275">
        <v>39</v>
      </c>
      <c r="B55" s="14" t="s">
        <v>47</v>
      </c>
      <c r="C55" s="12"/>
      <c r="D55" s="28"/>
      <c r="E55" s="197"/>
      <c r="F55" s="193"/>
      <c r="G55" s="193"/>
      <c r="H55" s="193"/>
      <c r="I55" s="193"/>
      <c r="J55" s="193"/>
      <c r="K55" s="193"/>
      <c r="L55" s="251"/>
    </row>
    <row r="56" spans="1:12" x14ac:dyDescent="0.2">
      <c r="A56" s="275">
        <v>40</v>
      </c>
      <c r="B56" s="15" t="s">
        <v>44</v>
      </c>
      <c r="C56" s="464">
        <f>'4-4a Stage 2a DCF'!D88</f>
        <v>7.4999999999999997E-2</v>
      </c>
      <c r="E56" s="198"/>
      <c r="F56" s="251"/>
      <c r="G56" s="251"/>
      <c r="H56" s="251"/>
      <c r="I56" s="251"/>
      <c r="J56" s="251"/>
      <c r="K56" s="193">
        <f>L26/C56</f>
        <v>9159108.1983588655</v>
      </c>
      <c r="L56" s="193"/>
    </row>
    <row r="57" spans="1:12" x14ac:dyDescent="0.2">
      <c r="A57" s="275">
        <v>41</v>
      </c>
      <c r="B57" s="366" t="s">
        <v>130</v>
      </c>
      <c r="C57" s="795">
        <f>'4-4a Stage 2a DCF'!D89</f>
        <v>2.5000000000000001E-2</v>
      </c>
      <c r="E57" s="361"/>
      <c r="F57" s="374"/>
      <c r="G57" s="374"/>
      <c r="H57" s="374"/>
      <c r="I57" s="374"/>
      <c r="J57" s="374"/>
      <c r="K57" s="375">
        <f>-K56*C57</f>
        <v>-228977.70495897165</v>
      </c>
      <c r="L57" s="193"/>
    </row>
    <row r="58" spans="1:12" x14ac:dyDescent="0.2">
      <c r="A58" s="275">
        <v>42</v>
      </c>
      <c r="B58" s="12" t="s">
        <v>131</v>
      </c>
      <c r="C58" s="12"/>
      <c r="D58" s="28"/>
      <c r="E58" s="198"/>
      <c r="F58" s="251"/>
      <c r="G58" s="251"/>
      <c r="H58" s="251"/>
      <c r="I58" s="251"/>
      <c r="J58" s="251"/>
      <c r="K58" s="213">
        <f>SUM(K56:K57)</f>
        <v>8930130.4933998939</v>
      </c>
      <c r="L58" s="193"/>
    </row>
    <row r="59" spans="1:12" x14ac:dyDescent="0.2">
      <c r="A59" s="275">
        <v>43</v>
      </c>
      <c r="B59" s="366" t="s">
        <v>48</v>
      </c>
      <c r="C59" s="360"/>
      <c r="D59" s="367"/>
      <c r="E59" s="361"/>
      <c r="F59" s="374"/>
      <c r="G59" s="374"/>
      <c r="H59" s="374"/>
      <c r="I59" s="374"/>
      <c r="J59" s="374"/>
      <c r="K59" s="375">
        <f>-K5</f>
        <v>-5635944.3680798085</v>
      </c>
      <c r="L59" s="193"/>
    </row>
    <row r="60" spans="1:12" ht="13.5" thickBot="1" x14ac:dyDescent="0.25">
      <c r="A60" s="275">
        <v>44</v>
      </c>
      <c r="B60" s="12" t="s">
        <v>142</v>
      </c>
      <c r="D60" s="28"/>
      <c r="E60" s="198"/>
      <c r="F60" s="251"/>
      <c r="G60" s="251"/>
      <c r="H60" s="251"/>
      <c r="I60" s="251"/>
      <c r="J60" s="251"/>
      <c r="K60" s="214">
        <f>SUM(K58:K59)</f>
        <v>3294186.1253200853</v>
      </c>
      <c r="L60" s="193"/>
    </row>
    <row r="61" spans="1:12" ht="13.5" thickTop="1" x14ac:dyDescent="0.2">
      <c r="A61" s="275"/>
      <c r="B61" s="12"/>
      <c r="D61" s="28"/>
      <c r="E61" s="198"/>
      <c r="F61" s="251"/>
      <c r="G61" s="251"/>
      <c r="H61" s="251"/>
      <c r="I61" s="251"/>
      <c r="J61" s="251"/>
      <c r="K61" s="251"/>
      <c r="L61" s="193"/>
    </row>
    <row r="62" spans="1:12" x14ac:dyDescent="0.2">
      <c r="A62" s="275">
        <v>45</v>
      </c>
      <c r="B62" s="15" t="s">
        <v>344</v>
      </c>
      <c r="C62" s="12"/>
      <c r="D62" s="28"/>
      <c r="E62" s="198"/>
      <c r="F62" s="251"/>
      <c r="G62" s="251"/>
      <c r="H62" s="251"/>
      <c r="I62" s="251"/>
      <c r="J62" s="251"/>
      <c r="K62" s="193">
        <f>-K81</f>
        <v>-701826.94619943318</v>
      </c>
      <c r="L62" s="193"/>
    </row>
    <row r="63" spans="1:12" x14ac:dyDescent="0.2">
      <c r="A63" s="275"/>
      <c r="B63" s="15"/>
      <c r="C63" s="12"/>
      <c r="D63" s="28"/>
      <c r="E63" s="198"/>
      <c r="F63" s="251"/>
      <c r="G63" s="251"/>
      <c r="H63" s="251"/>
      <c r="I63" s="251"/>
      <c r="J63" s="251"/>
      <c r="K63" s="193"/>
      <c r="L63" s="193"/>
    </row>
    <row r="64" spans="1:12" ht="13.5" thickBot="1" x14ac:dyDescent="0.25">
      <c r="A64" s="275">
        <v>46</v>
      </c>
      <c r="B64" s="28" t="s">
        <v>143</v>
      </c>
      <c r="C64" s="12"/>
      <c r="D64" s="28"/>
      <c r="E64" s="198"/>
      <c r="F64" s="251"/>
      <c r="G64" s="251"/>
      <c r="H64" s="251"/>
      <c r="I64" s="251"/>
      <c r="J64" s="251"/>
      <c r="K64" s="214">
        <f>SUM(K60:K62)</f>
        <v>2592359.1791206524</v>
      </c>
      <c r="L64" s="193"/>
    </row>
    <row r="65" spans="1:12" ht="13.5" thickTop="1" x14ac:dyDescent="0.2">
      <c r="A65" s="275"/>
      <c r="B65" s="12"/>
      <c r="C65" s="12"/>
      <c r="D65" s="28"/>
      <c r="E65" s="198"/>
      <c r="F65" s="251"/>
      <c r="G65" s="251"/>
      <c r="H65" s="251"/>
      <c r="I65" s="251"/>
      <c r="J65" s="251"/>
      <c r="K65" s="193"/>
      <c r="L65" s="193"/>
    </row>
    <row r="66" spans="1:12" x14ac:dyDescent="0.2">
      <c r="A66" s="275">
        <v>47</v>
      </c>
      <c r="B66" s="14" t="s">
        <v>46</v>
      </c>
      <c r="C66" s="12"/>
      <c r="D66" s="28"/>
      <c r="E66" s="198"/>
      <c r="F66" s="251"/>
      <c r="G66" s="251"/>
      <c r="H66" s="251"/>
      <c r="I66" s="251"/>
      <c r="J66" s="251"/>
      <c r="K66" s="193"/>
      <c r="L66" s="193"/>
    </row>
    <row r="67" spans="1:12" x14ac:dyDescent="0.2">
      <c r="A67" s="275">
        <v>48</v>
      </c>
      <c r="B67" s="12" t="s">
        <v>131</v>
      </c>
      <c r="C67" s="12"/>
      <c r="D67" s="28"/>
      <c r="E67" s="198"/>
      <c r="F67" s="251"/>
      <c r="G67" s="251"/>
      <c r="H67" s="251"/>
      <c r="I67" s="251"/>
      <c r="J67" s="251"/>
      <c r="K67" s="251">
        <f>K58</f>
        <v>8930130.4933998939</v>
      </c>
      <c r="L67" s="193"/>
    </row>
    <row r="68" spans="1:12" x14ac:dyDescent="0.2">
      <c r="A68" s="275">
        <v>49</v>
      </c>
      <c r="B68" s="12" t="s">
        <v>122</v>
      </c>
      <c r="C68" s="12"/>
      <c r="D68" s="28"/>
      <c r="E68" s="198"/>
      <c r="F68" s="251"/>
      <c r="G68" s="251"/>
      <c r="H68" s="251"/>
      <c r="I68" s="251"/>
      <c r="J68" s="251"/>
      <c r="K68" s="212">
        <f>-K16</f>
        <v>-5159828.4015259994</v>
      </c>
      <c r="L68" s="193"/>
    </row>
    <row r="69" spans="1:12" x14ac:dyDescent="0.2">
      <c r="A69" s="275">
        <v>50</v>
      </c>
      <c r="B69" s="12" t="s">
        <v>132</v>
      </c>
      <c r="C69" s="12"/>
      <c r="D69" s="28"/>
      <c r="E69" s="198"/>
      <c r="F69" s="251"/>
      <c r="G69" s="251"/>
      <c r="H69" s="251"/>
      <c r="I69" s="251"/>
      <c r="J69" s="251"/>
      <c r="K69" s="213">
        <f>SUM(K67:K68)</f>
        <v>3770302.0918738944</v>
      </c>
      <c r="L69" s="193"/>
    </row>
    <row r="70" spans="1:12" x14ac:dyDescent="0.2">
      <c r="A70" s="275">
        <v>51</v>
      </c>
      <c r="B70" s="12" t="s">
        <v>128</v>
      </c>
      <c r="C70" s="12"/>
      <c r="D70" s="28"/>
      <c r="E70" s="198"/>
      <c r="F70" s="251"/>
      <c r="G70" s="251"/>
      <c r="H70" s="251"/>
      <c r="I70" s="251"/>
      <c r="J70" s="251"/>
      <c r="K70" s="212">
        <f>K48</f>
        <v>0</v>
      </c>
      <c r="L70" s="193"/>
    </row>
    <row r="71" spans="1:12" x14ac:dyDescent="0.2">
      <c r="A71" s="275">
        <v>52</v>
      </c>
      <c r="B71" s="15" t="s">
        <v>288</v>
      </c>
      <c r="C71" s="12"/>
      <c r="D71" s="28"/>
      <c r="E71" s="198"/>
      <c r="F71" s="251"/>
      <c r="G71" s="251"/>
      <c r="H71" s="251"/>
      <c r="I71" s="251"/>
      <c r="J71" s="251"/>
      <c r="K71" s="193">
        <f>SUM(K69:K70)</f>
        <v>3770302.0918738944</v>
      </c>
      <c r="L71" s="193"/>
    </row>
    <row r="72" spans="1:12" x14ac:dyDescent="0.2">
      <c r="A72" s="275"/>
      <c r="B72" s="12"/>
      <c r="C72" s="12"/>
      <c r="D72" s="28"/>
      <c r="E72" s="198"/>
      <c r="F72" s="251"/>
      <c r="G72" s="251"/>
      <c r="H72" s="251"/>
      <c r="I72" s="251"/>
      <c r="J72" s="251"/>
      <c r="K72" s="193"/>
      <c r="L72" s="193"/>
    </row>
    <row r="73" spans="1:12" x14ac:dyDescent="0.2">
      <c r="A73" s="275">
        <v>53</v>
      </c>
      <c r="C73" s="467" t="s">
        <v>154</v>
      </c>
      <c r="D73" s="28"/>
      <c r="E73" s="198"/>
      <c r="F73" s="251"/>
      <c r="G73" s="251"/>
      <c r="H73" s="251"/>
      <c r="I73" s="251"/>
      <c r="J73" s="251"/>
      <c r="K73" s="212">
        <f>K13</f>
        <v>1439952.1120537671</v>
      </c>
      <c r="L73" s="193"/>
    </row>
    <row r="74" spans="1:12" x14ac:dyDescent="0.2">
      <c r="A74" s="275">
        <v>54</v>
      </c>
      <c r="C74" s="467" t="s">
        <v>155</v>
      </c>
      <c r="D74" s="371">
        <v>0.25</v>
      </c>
      <c r="E74" s="198"/>
      <c r="F74" s="251"/>
      <c r="G74" s="251"/>
      <c r="H74" s="251"/>
      <c r="I74" s="251"/>
      <c r="J74" s="251"/>
      <c r="K74" s="193">
        <f>K73*D74</f>
        <v>359988.02801344177</v>
      </c>
      <c r="L74" s="193"/>
    </row>
    <row r="75" spans="1:12" x14ac:dyDescent="0.2">
      <c r="C75" s="467"/>
      <c r="D75" s="371"/>
      <c r="E75" s="198"/>
      <c r="F75" s="251"/>
      <c r="G75" s="251"/>
      <c r="H75" s="251"/>
      <c r="I75" s="251"/>
      <c r="J75" s="251"/>
      <c r="K75" s="193"/>
      <c r="L75" s="193"/>
    </row>
    <row r="76" spans="1:12" x14ac:dyDescent="0.2">
      <c r="A76" s="275">
        <v>55</v>
      </c>
      <c r="C76" s="467" t="s">
        <v>133</v>
      </c>
      <c r="D76" s="28"/>
      <c r="E76" s="198"/>
      <c r="F76" s="251"/>
      <c r="G76" s="251"/>
      <c r="H76" s="251"/>
      <c r="I76" s="251"/>
      <c r="J76" s="251"/>
      <c r="K76" s="251">
        <f>K71-K73</f>
        <v>2330349.9798201276</v>
      </c>
      <c r="L76" s="193"/>
    </row>
    <row r="77" spans="1:12" s="643" customFormat="1" ht="15.75" x14ac:dyDescent="0.2">
      <c r="A77" s="275">
        <v>56</v>
      </c>
      <c r="C77" s="366" t="s">
        <v>346</v>
      </c>
      <c r="D77" s="367"/>
      <c r="E77" s="361"/>
      <c r="F77" s="374"/>
      <c r="G77" s="374"/>
      <c r="H77" s="374"/>
      <c r="I77" s="374"/>
      <c r="J77" s="374"/>
      <c r="K77" s="644">
        <f>-SUM(F41:K41)</f>
        <v>-51423.858580184999</v>
      </c>
      <c r="L77" s="375"/>
    </row>
    <row r="78" spans="1:12" x14ac:dyDescent="0.2">
      <c r="A78" s="275">
        <v>57</v>
      </c>
      <c r="C78" s="12" t="s">
        <v>286</v>
      </c>
      <c r="D78" s="28"/>
      <c r="E78" s="198"/>
      <c r="F78" s="251"/>
      <c r="G78" s="251"/>
      <c r="H78" s="251"/>
      <c r="I78" s="251"/>
      <c r="J78" s="251"/>
      <c r="K78" s="645">
        <f>SUM(K76:K77)</f>
        <v>2278926.1212399425</v>
      </c>
      <c r="L78" s="193"/>
    </row>
    <row r="79" spans="1:12" x14ac:dyDescent="0.2">
      <c r="A79" s="275">
        <v>58</v>
      </c>
      <c r="C79" s="468" t="s">
        <v>134</v>
      </c>
      <c r="D79" s="371">
        <v>0.15</v>
      </c>
      <c r="E79" s="198"/>
      <c r="F79" s="251"/>
      <c r="G79" s="251"/>
      <c r="H79" s="251"/>
      <c r="I79" s="251"/>
      <c r="J79" s="251"/>
      <c r="K79" s="193">
        <f>K78*D79</f>
        <v>341838.91818599135</v>
      </c>
      <c r="L79" s="193"/>
    </row>
    <row r="80" spans="1:12" x14ac:dyDescent="0.2">
      <c r="C80" s="467"/>
      <c r="D80" s="28"/>
      <c r="E80" s="197"/>
      <c r="F80" s="193"/>
      <c r="G80" s="193"/>
      <c r="H80" s="193"/>
      <c r="I80" s="193"/>
      <c r="J80" s="193"/>
      <c r="K80" s="193"/>
      <c r="L80" s="193"/>
    </row>
    <row r="81" spans="1:12" x14ac:dyDescent="0.2">
      <c r="A81" s="275">
        <v>59</v>
      </c>
      <c r="C81" s="469" t="s">
        <v>55</v>
      </c>
      <c r="D81" s="28"/>
      <c r="E81" s="197"/>
      <c r="F81" s="193"/>
      <c r="G81" s="193"/>
      <c r="H81" s="193"/>
      <c r="I81" s="193"/>
      <c r="J81" s="193"/>
      <c r="K81" s="193">
        <f>SUM(K79,K74)</f>
        <v>701826.94619943318</v>
      </c>
      <c r="L81" s="193"/>
    </row>
    <row r="82" spans="1:12" x14ac:dyDescent="0.2">
      <c r="B82" s="12"/>
      <c r="C82" s="12"/>
      <c r="D82" s="28"/>
      <c r="E82" s="197"/>
      <c r="F82" s="193"/>
      <c r="G82" s="193"/>
      <c r="H82" s="193"/>
      <c r="I82" s="193"/>
      <c r="J82" s="193"/>
      <c r="K82" s="193"/>
      <c r="L82" s="193"/>
    </row>
    <row r="83" spans="1:12" x14ac:dyDescent="0.2">
      <c r="B83" s="12"/>
      <c r="C83" s="28"/>
      <c r="D83" s="744"/>
      <c r="E83" s="197"/>
      <c r="F83" s="193"/>
      <c r="G83" s="193"/>
      <c r="H83" s="193"/>
      <c r="I83" s="193"/>
      <c r="J83" s="193"/>
      <c r="K83" s="193"/>
      <c r="L83" s="251"/>
    </row>
    <row r="84" spans="1:12" x14ac:dyDescent="0.2">
      <c r="A84" s="275">
        <v>60</v>
      </c>
      <c r="B84" s="36" t="s">
        <v>144</v>
      </c>
      <c r="C84" s="13"/>
      <c r="D84" s="727">
        <v>0</v>
      </c>
      <c r="E84" s="727">
        <v>1</v>
      </c>
      <c r="F84" s="727">
        <v>2</v>
      </c>
      <c r="G84" s="727">
        <v>3</v>
      </c>
      <c r="H84" s="727">
        <v>4</v>
      </c>
      <c r="I84" s="727">
        <v>5</v>
      </c>
      <c r="J84" s="727">
        <v>6</v>
      </c>
      <c r="K84" s="727">
        <v>7</v>
      </c>
      <c r="L84" s="437"/>
    </row>
    <row r="85" spans="1:12" x14ac:dyDescent="0.2">
      <c r="B85" s="37"/>
      <c r="C85" s="23"/>
      <c r="D85" s="17"/>
      <c r="E85" s="195"/>
      <c r="F85" s="193"/>
      <c r="G85" s="193"/>
      <c r="H85" s="193"/>
      <c r="I85" s="193"/>
      <c r="J85" s="193"/>
      <c r="K85" s="193"/>
      <c r="L85" s="251"/>
    </row>
    <row r="86" spans="1:12" x14ac:dyDescent="0.2">
      <c r="A86" s="275">
        <v>61</v>
      </c>
      <c r="B86" s="37" t="s">
        <v>146</v>
      </c>
      <c r="C86" s="23"/>
      <c r="D86" s="17"/>
      <c r="E86" s="195"/>
      <c r="F86" s="193"/>
      <c r="G86" s="193"/>
      <c r="H86" s="193"/>
      <c r="I86" s="193"/>
      <c r="J86" s="193"/>
      <c r="K86" s="193"/>
      <c r="L86" s="251"/>
    </row>
    <row r="87" spans="1:12" x14ac:dyDescent="0.2">
      <c r="A87" s="275">
        <v>62</v>
      </c>
      <c r="B87" s="376" t="s">
        <v>147</v>
      </c>
      <c r="C87" s="12"/>
      <c r="D87" s="153">
        <f>-'4-6 Stage3b Sources &amp; Uses'!E49</f>
        <v>-7449967.8165964251</v>
      </c>
      <c r="E87" s="346"/>
      <c r="F87" s="346"/>
      <c r="G87" s="346"/>
      <c r="H87" s="193"/>
      <c r="I87" s="193"/>
      <c r="J87" s="193"/>
      <c r="K87" s="193"/>
      <c r="L87" s="193"/>
    </row>
    <row r="88" spans="1:12" ht="15.75" x14ac:dyDescent="0.2">
      <c r="A88" s="275">
        <v>63</v>
      </c>
      <c r="B88" s="366" t="s">
        <v>347</v>
      </c>
      <c r="C88" s="12"/>
      <c r="D88" s="346"/>
      <c r="E88" s="197">
        <f>'4-4b - St2b Condo Add'!B24</f>
        <v>975000</v>
      </c>
      <c r="F88" s="193"/>
      <c r="G88" s="193"/>
      <c r="H88" s="193"/>
      <c r="I88" s="193"/>
      <c r="J88" s="193"/>
      <c r="K88" s="193"/>
      <c r="L88" s="193"/>
    </row>
    <row r="89" spans="1:12" x14ac:dyDescent="0.2">
      <c r="A89" s="275">
        <v>64</v>
      </c>
      <c r="B89" s="376" t="s">
        <v>65</v>
      </c>
      <c r="C89" s="12"/>
      <c r="D89" s="12"/>
      <c r="E89" s="197">
        <f>E26</f>
        <v>0</v>
      </c>
      <c r="F89" s="197">
        <f t="shared" ref="F89:K89" si="25">F26</f>
        <v>390094.82926629932</v>
      </c>
      <c r="G89" s="197">
        <f t="shared" si="25"/>
        <v>539660.65088940435</v>
      </c>
      <c r="H89" s="197">
        <f t="shared" si="25"/>
        <v>610331.17535251903</v>
      </c>
      <c r="I89" s="197">
        <f t="shared" si="25"/>
        <v>628641.11061309441</v>
      </c>
      <c r="J89" s="197">
        <f t="shared" si="25"/>
        <v>647500.34393148741</v>
      </c>
      <c r="K89" s="197">
        <f t="shared" si="25"/>
        <v>666925.35424943222</v>
      </c>
      <c r="L89" s="197"/>
    </row>
    <row r="90" spans="1:12" x14ac:dyDescent="0.2">
      <c r="A90" s="275">
        <v>65</v>
      </c>
      <c r="B90" s="376" t="s">
        <v>131</v>
      </c>
      <c r="C90" s="12"/>
      <c r="D90" s="30"/>
      <c r="E90" s="200"/>
      <c r="F90" s="212"/>
      <c r="G90" s="212"/>
      <c r="H90" s="212"/>
      <c r="I90" s="212"/>
      <c r="J90" s="212"/>
      <c r="K90" s="212">
        <f>K58</f>
        <v>8930130.4933998939</v>
      </c>
      <c r="L90" s="193"/>
    </row>
    <row r="91" spans="1:12" ht="13.5" thickBot="1" x14ac:dyDescent="0.25">
      <c r="A91" s="275">
        <v>66</v>
      </c>
      <c r="B91" s="15" t="s">
        <v>49</v>
      </c>
      <c r="D91" s="33">
        <f>SUM(D87:D90)</f>
        <v>-7449967.8165964251</v>
      </c>
      <c r="E91" s="33">
        <f t="shared" ref="E91:K91" si="26">SUM(E87:E90)</f>
        <v>975000</v>
      </c>
      <c r="F91" s="33">
        <f t="shared" si="26"/>
        <v>390094.82926629932</v>
      </c>
      <c r="G91" s="33">
        <f t="shared" si="26"/>
        <v>539660.65088940435</v>
      </c>
      <c r="H91" s="33">
        <f t="shared" si="26"/>
        <v>610331.17535251903</v>
      </c>
      <c r="I91" s="33">
        <f t="shared" si="26"/>
        <v>628641.11061309441</v>
      </c>
      <c r="J91" s="33">
        <f t="shared" si="26"/>
        <v>647500.34393148741</v>
      </c>
      <c r="K91" s="33">
        <f t="shared" si="26"/>
        <v>9597055.8476493265</v>
      </c>
      <c r="L91" s="193"/>
    </row>
    <row r="92" spans="1:12" ht="13.5" thickTop="1" x14ac:dyDescent="0.2">
      <c r="B92" s="14"/>
      <c r="C92" s="12"/>
      <c r="D92" s="28"/>
      <c r="E92" s="195"/>
      <c r="F92" s="193"/>
      <c r="G92" s="193"/>
      <c r="H92" s="193"/>
      <c r="I92" s="193"/>
      <c r="J92" s="193"/>
      <c r="K92" s="193"/>
      <c r="L92" s="193"/>
    </row>
    <row r="93" spans="1:12" x14ac:dyDescent="0.2">
      <c r="A93" s="275">
        <v>67</v>
      </c>
      <c r="B93" s="377" t="s">
        <v>149</v>
      </c>
      <c r="C93" s="378"/>
      <c r="D93" s="379">
        <f>IRR(D91:K91)</f>
        <v>0.1068462128322536</v>
      </c>
      <c r="E93" s="195"/>
      <c r="F93" s="193"/>
      <c r="G93" s="193"/>
      <c r="H93" s="193"/>
      <c r="I93" s="193"/>
      <c r="J93" s="193"/>
      <c r="K93" s="193"/>
      <c r="L93" s="193"/>
    </row>
    <row r="94" spans="1:12" ht="15.75" x14ac:dyDescent="0.2">
      <c r="A94" s="275">
        <v>68</v>
      </c>
      <c r="B94" s="380" t="s">
        <v>414</v>
      </c>
      <c r="C94" s="36"/>
      <c r="D94" s="381">
        <f>D91+NPV(0.08,E91:K91)</f>
        <v>1099932.5966603095</v>
      </c>
      <c r="E94" s="195"/>
      <c r="F94" s="193"/>
      <c r="G94" s="193"/>
      <c r="H94" s="193"/>
      <c r="I94" s="193"/>
      <c r="J94" s="193"/>
      <c r="K94" s="193"/>
      <c r="L94" s="193"/>
    </row>
    <row r="95" spans="1:12" x14ac:dyDescent="0.2">
      <c r="B95" s="15"/>
      <c r="C95" s="12"/>
      <c r="D95" s="38"/>
      <c r="E95" s="195"/>
      <c r="F95" s="193"/>
      <c r="G95" s="193"/>
      <c r="H95" s="193"/>
      <c r="I95" s="193"/>
      <c r="J95" s="193"/>
      <c r="K95" s="193"/>
      <c r="L95" s="193"/>
    </row>
    <row r="96" spans="1:12" x14ac:dyDescent="0.2">
      <c r="B96" s="14"/>
      <c r="C96" s="12"/>
      <c r="D96" s="28"/>
      <c r="E96" s="195"/>
      <c r="F96" s="193"/>
      <c r="G96" s="193"/>
      <c r="H96" s="193"/>
      <c r="I96" s="193"/>
      <c r="J96" s="193"/>
      <c r="K96" s="193"/>
      <c r="L96" s="193"/>
    </row>
    <row r="97" spans="1:12" x14ac:dyDescent="0.2">
      <c r="A97" s="275">
        <v>69</v>
      </c>
      <c r="B97" s="39" t="s">
        <v>150</v>
      </c>
      <c r="C97" s="35"/>
      <c r="D97" s="35"/>
      <c r="E97" s="208"/>
      <c r="F97" s="193"/>
      <c r="G97" s="193"/>
      <c r="H97" s="193"/>
      <c r="I97" s="193"/>
      <c r="J97" s="193"/>
      <c r="K97" s="193"/>
      <c r="L97" s="193"/>
    </row>
    <row r="98" spans="1:12" x14ac:dyDescent="0.2">
      <c r="A98" s="275">
        <v>70</v>
      </c>
      <c r="B98" s="366" t="s">
        <v>269</v>
      </c>
      <c r="C98" s="12"/>
      <c r="D98" s="153">
        <f>-SUM('4-6 Stage3b Sources &amp; Uses'!F28:F29)</f>
        <v>-1356858.3898080494</v>
      </c>
      <c r="E98" s="153">
        <f>-SUM('4-6 Stage3b Sources &amp; Uses'!G28:G29)</f>
        <v>0</v>
      </c>
      <c r="F98" s="153">
        <f>-SUM('4-6 Stage3b Sources &amp; Uses'!H28:H29)</f>
        <v>0</v>
      </c>
      <c r="G98" s="32"/>
      <c r="H98" s="193"/>
      <c r="I98" s="193"/>
      <c r="J98" s="193"/>
      <c r="K98" s="193"/>
      <c r="L98" s="193"/>
    </row>
    <row r="99" spans="1:12" ht="15.75" x14ac:dyDescent="0.2">
      <c r="A99" s="275">
        <v>71</v>
      </c>
      <c r="B99" s="366" t="s">
        <v>415</v>
      </c>
      <c r="C99" s="12"/>
      <c r="D99" s="32"/>
      <c r="E99" s="197">
        <f>'4-4b - St2b Condo Add'!B27</f>
        <v>246531.67324674415</v>
      </c>
      <c r="F99" s="193"/>
      <c r="G99" s="193"/>
      <c r="H99" s="193"/>
      <c r="I99" s="193"/>
      <c r="J99" s="193"/>
      <c r="K99" s="193"/>
      <c r="L99" s="193"/>
    </row>
    <row r="100" spans="1:12" x14ac:dyDescent="0.2">
      <c r="A100" s="275">
        <v>72</v>
      </c>
      <c r="B100" s="376" t="s">
        <v>140</v>
      </c>
      <c r="C100" s="12"/>
      <c r="D100" s="12"/>
      <c r="E100" s="197">
        <f>E31</f>
        <v>0</v>
      </c>
      <c r="F100" s="197">
        <f t="shared" ref="F100:K100" si="27">F31</f>
        <v>5.8207660913467407E-11</v>
      </c>
      <c r="G100" s="197">
        <f t="shared" si="27"/>
        <v>114187.60861057381</v>
      </c>
      <c r="H100" s="197">
        <f t="shared" si="27"/>
        <v>184858.13307368848</v>
      </c>
      <c r="I100" s="197">
        <f t="shared" si="27"/>
        <v>203168.06833426387</v>
      </c>
      <c r="J100" s="197">
        <f t="shared" si="27"/>
        <v>222027.30165265687</v>
      </c>
      <c r="K100" s="197">
        <f t="shared" si="27"/>
        <v>241452.31197060167</v>
      </c>
      <c r="L100" s="193"/>
    </row>
    <row r="101" spans="1:12" x14ac:dyDescent="0.2">
      <c r="A101" s="275">
        <v>73</v>
      </c>
      <c r="B101" s="366" t="s">
        <v>265</v>
      </c>
      <c r="C101" s="12"/>
      <c r="D101" s="12"/>
      <c r="E101" s="197"/>
      <c r="F101" s="197">
        <f>'4-6 Stage3b Sources &amp; Uses'!E73</f>
        <v>0</v>
      </c>
      <c r="G101" s="197"/>
      <c r="H101" s="197"/>
      <c r="I101" s="197"/>
      <c r="J101" s="197"/>
      <c r="K101" s="197"/>
      <c r="L101" s="193"/>
    </row>
    <row r="102" spans="1:12" x14ac:dyDescent="0.2">
      <c r="A102" s="275">
        <v>74</v>
      </c>
      <c r="B102" s="376" t="s">
        <v>142</v>
      </c>
      <c r="C102" s="12"/>
      <c r="D102" s="30"/>
      <c r="E102" s="200"/>
      <c r="F102" s="212"/>
      <c r="G102" s="212"/>
      <c r="H102" s="212"/>
      <c r="I102" s="212"/>
      <c r="J102" s="212"/>
      <c r="K102" s="212">
        <f>K60</f>
        <v>3294186.1253200853</v>
      </c>
      <c r="L102" s="193"/>
    </row>
    <row r="103" spans="1:12" ht="13.5" thickBot="1" x14ac:dyDescent="0.25">
      <c r="A103" s="275">
        <v>75</v>
      </c>
      <c r="B103" s="12" t="s">
        <v>148</v>
      </c>
      <c r="D103" s="33">
        <f>SUM(D98:D102)</f>
        <v>-1356858.3898080494</v>
      </c>
      <c r="E103" s="33">
        <f t="shared" ref="E103:K103" si="28">SUM(E98:E102)</f>
        <v>246531.67324674415</v>
      </c>
      <c r="F103" s="33">
        <f t="shared" si="28"/>
        <v>5.8207660913467407E-11</v>
      </c>
      <c r="G103" s="33">
        <f t="shared" si="28"/>
        <v>114187.60861057381</v>
      </c>
      <c r="H103" s="33">
        <f t="shared" si="28"/>
        <v>184858.13307368848</v>
      </c>
      <c r="I103" s="33">
        <f t="shared" si="28"/>
        <v>203168.06833426387</v>
      </c>
      <c r="J103" s="33">
        <f t="shared" si="28"/>
        <v>222027.30165265687</v>
      </c>
      <c r="K103" s="33">
        <f t="shared" si="28"/>
        <v>3535638.4372906871</v>
      </c>
      <c r="L103" s="193"/>
    </row>
    <row r="104" spans="1:12" ht="13.5" thickTop="1" x14ac:dyDescent="0.2">
      <c r="A104" s="275"/>
      <c r="B104" s="12"/>
      <c r="C104" s="12"/>
      <c r="D104" s="29"/>
      <c r="E104" s="197"/>
      <c r="F104" s="193"/>
      <c r="G104" s="193"/>
      <c r="H104" s="193"/>
      <c r="I104" s="193"/>
      <c r="J104" s="193"/>
      <c r="K104" s="193"/>
      <c r="L104" s="193"/>
    </row>
    <row r="105" spans="1:12" x14ac:dyDescent="0.2">
      <c r="A105" s="275">
        <v>76</v>
      </c>
      <c r="B105" s="377" t="s">
        <v>150</v>
      </c>
      <c r="C105" s="378"/>
      <c r="D105" s="379">
        <f>IRR(D103:K103)</f>
        <v>0.22208019890969588</v>
      </c>
      <c r="E105" s="197"/>
      <c r="F105" s="193"/>
      <c r="G105" s="193"/>
      <c r="H105" s="193"/>
      <c r="I105" s="193"/>
      <c r="J105" s="193"/>
      <c r="K105" s="193"/>
      <c r="L105" s="193"/>
    </row>
    <row r="106" spans="1:12" x14ac:dyDescent="0.2">
      <c r="A106" s="275">
        <v>77</v>
      </c>
      <c r="B106" s="380" t="s">
        <v>54</v>
      </c>
      <c r="C106" s="36"/>
      <c r="D106" s="381">
        <f>D103+NPV(0.15,E103:K103)</f>
        <v>564466.83683067327</v>
      </c>
      <c r="E106" s="197"/>
      <c r="F106" s="193"/>
      <c r="G106" s="193"/>
      <c r="H106" s="193"/>
      <c r="I106" s="193"/>
      <c r="J106" s="193"/>
      <c r="K106" s="193"/>
      <c r="L106" s="193"/>
    </row>
    <row r="107" spans="1:12" x14ac:dyDescent="0.2">
      <c r="A107" s="275"/>
      <c r="B107" s="15"/>
      <c r="C107" s="15"/>
      <c r="D107" s="38"/>
      <c r="E107" s="197"/>
      <c r="F107" s="193"/>
      <c r="G107" s="193"/>
      <c r="H107" s="193"/>
      <c r="I107" s="193"/>
      <c r="J107" s="193"/>
      <c r="K107" s="193"/>
      <c r="L107" s="193"/>
    </row>
    <row r="108" spans="1:12" x14ac:dyDescent="0.2">
      <c r="A108" s="275"/>
      <c r="B108" s="20" t="s">
        <v>57</v>
      </c>
      <c r="C108" s="20"/>
      <c r="D108" s="34" t="s">
        <v>57</v>
      </c>
      <c r="E108" s="207" t="s">
        <v>57</v>
      </c>
      <c r="F108" s="193"/>
      <c r="G108" s="193"/>
      <c r="H108" s="193"/>
      <c r="I108" s="193"/>
      <c r="J108" s="193"/>
      <c r="K108" s="193"/>
      <c r="L108" s="193"/>
    </row>
    <row r="109" spans="1:12" x14ac:dyDescent="0.2">
      <c r="A109" s="275">
        <v>78</v>
      </c>
      <c r="B109" s="14" t="s">
        <v>152</v>
      </c>
      <c r="C109" s="12"/>
      <c r="D109" s="28"/>
      <c r="E109" s="197"/>
      <c r="F109" s="193"/>
      <c r="G109" s="193"/>
      <c r="H109" s="193"/>
      <c r="I109" s="193"/>
      <c r="J109" s="193"/>
      <c r="K109" s="193"/>
      <c r="L109" s="193"/>
    </row>
    <row r="110" spans="1:12" x14ac:dyDescent="0.2">
      <c r="A110" s="275">
        <v>79</v>
      </c>
      <c r="B110" s="366" t="s">
        <v>269</v>
      </c>
      <c r="C110" s="12"/>
      <c r="D110" s="153">
        <f>-SUM('4-6 Stage3b Sources &amp; Uses'!F28:F29)</f>
        <v>-1356858.3898080494</v>
      </c>
      <c r="E110" s="153">
        <f>-SUM('4-6 Stage3b Sources &amp; Uses'!G28:G29)</f>
        <v>0</v>
      </c>
      <c r="F110" s="153">
        <f>-SUM('4-6 Stage3b Sources &amp; Uses'!H28:H29)</f>
        <v>0</v>
      </c>
      <c r="G110" s="193"/>
      <c r="H110" s="193"/>
      <c r="I110" s="193"/>
      <c r="J110" s="193"/>
      <c r="K110" s="193"/>
      <c r="L110" s="193"/>
    </row>
    <row r="111" spans="1:12" ht="15.75" x14ac:dyDescent="0.2">
      <c r="A111" s="275">
        <v>80</v>
      </c>
      <c r="B111" s="366" t="s">
        <v>416</v>
      </c>
      <c r="C111" s="12"/>
      <c r="D111" s="32"/>
      <c r="E111" s="197">
        <f>'4-4b - St2b Condo Add'!B29</f>
        <v>204460.96410459606</v>
      </c>
      <c r="F111" s="193"/>
      <c r="G111" s="193"/>
      <c r="H111" s="193"/>
      <c r="I111" s="193"/>
      <c r="J111" s="193"/>
      <c r="K111" s="193"/>
      <c r="L111" s="193"/>
    </row>
    <row r="112" spans="1:12" x14ac:dyDescent="0.2">
      <c r="A112" s="275">
        <v>81</v>
      </c>
      <c r="B112" s="376" t="s">
        <v>141</v>
      </c>
      <c r="C112" s="12"/>
      <c r="D112" s="12"/>
      <c r="E112" s="197">
        <f>E35</f>
        <v>0</v>
      </c>
      <c r="F112" s="197">
        <f t="shared" ref="F112:K112" si="29">F35</f>
        <v>5.8207660913467407E-11</v>
      </c>
      <c r="G112" s="197">
        <f t="shared" si="29"/>
        <v>114187.60861057381</v>
      </c>
      <c r="H112" s="197">
        <f t="shared" si="29"/>
        <v>184858.13307368848</v>
      </c>
      <c r="I112" s="197">
        <f t="shared" si="29"/>
        <v>203168.06833426387</v>
      </c>
      <c r="J112" s="197">
        <f t="shared" si="29"/>
        <v>222027.30165265687</v>
      </c>
      <c r="K112" s="197">
        <f t="shared" si="29"/>
        <v>236716.84717074101</v>
      </c>
      <c r="L112" s="193"/>
    </row>
    <row r="113" spans="1:12" x14ac:dyDescent="0.2">
      <c r="A113" s="275">
        <v>82</v>
      </c>
      <c r="B113" s="366" t="s">
        <v>266</v>
      </c>
      <c r="C113" s="12"/>
      <c r="D113" s="12"/>
      <c r="E113" s="197"/>
      <c r="F113" s="197">
        <f>'4-6 Stage3b Sources &amp; Uses'!E73</f>
        <v>0</v>
      </c>
      <c r="G113" s="197"/>
      <c r="H113" s="197"/>
      <c r="I113" s="197"/>
      <c r="J113" s="197"/>
      <c r="K113" s="197"/>
      <c r="L113" s="193"/>
    </row>
    <row r="114" spans="1:12" x14ac:dyDescent="0.2">
      <c r="A114" s="275">
        <v>83</v>
      </c>
      <c r="B114" s="376" t="s">
        <v>143</v>
      </c>
      <c r="C114" s="12"/>
      <c r="D114" s="30"/>
      <c r="E114" s="200"/>
      <c r="F114" s="212"/>
      <c r="G114" s="212"/>
      <c r="H114" s="212"/>
      <c r="I114" s="212"/>
      <c r="J114" s="212"/>
      <c r="K114" s="212">
        <f>K64</f>
        <v>2592359.1791206524</v>
      </c>
      <c r="L114" s="193"/>
    </row>
    <row r="115" spans="1:12" ht="13.5" thickBot="1" x14ac:dyDescent="0.25">
      <c r="A115" s="275">
        <v>84</v>
      </c>
      <c r="B115" s="12" t="s">
        <v>151</v>
      </c>
      <c r="D115" s="33">
        <f>SUM(D110:D114)</f>
        <v>-1356858.3898080494</v>
      </c>
      <c r="E115" s="33">
        <f>SUM(E110:E114)</f>
        <v>204460.96410459606</v>
      </c>
      <c r="F115" s="33">
        <f t="shared" ref="F115:K115" si="30">SUM(F110:F114)</f>
        <v>5.8207660913467407E-11</v>
      </c>
      <c r="G115" s="33">
        <f t="shared" si="30"/>
        <v>114187.60861057381</v>
      </c>
      <c r="H115" s="33">
        <f t="shared" si="30"/>
        <v>184858.13307368848</v>
      </c>
      <c r="I115" s="33">
        <f t="shared" si="30"/>
        <v>203168.06833426387</v>
      </c>
      <c r="J115" s="33">
        <f t="shared" si="30"/>
        <v>222027.30165265687</v>
      </c>
      <c r="K115" s="33">
        <f t="shared" si="30"/>
        <v>2829076.0262913932</v>
      </c>
      <c r="L115" s="193"/>
    </row>
    <row r="116" spans="1:12" ht="13.5" thickTop="1" x14ac:dyDescent="0.2">
      <c r="A116" s="275"/>
      <c r="B116" s="12"/>
      <c r="C116" s="12"/>
      <c r="D116" s="28"/>
      <c r="E116" s="197"/>
      <c r="F116" s="193"/>
      <c r="G116" s="193"/>
      <c r="H116" s="193"/>
      <c r="I116" s="193"/>
      <c r="J116" s="193"/>
      <c r="K116" s="193"/>
      <c r="L116" s="193"/>
    </row>
    <row r="117" spans="1:12" x14ac:dyDescent="0.2">
      <c r="A117" s="275">
        <v>85</v>
      </c>
      <c r="B117" s="377" t="s">
        <v>152</v>
      </c>
      <c r="C117" s="378"/>
      <c r="D117" s="379">
        <f>SUM(IRR(D115:K115))</f>
        <v>0.18614280546072326</v>
      </c>
      <c r="E117" s="197"/>
      <c r="F117" s="193"/>
      <c r="G117" s="193"/>
      <c r="H117" s="193"/>
      <c r="I117" s="193"/>
      <c r="J117" s="193"/>
      <c r="K117" s="193"/>
      <c r="L117" s="193"/>
    </row>
    <row r="118" spans="1:12" x14ac:dyDescent="0.2">
      <c r="A118" s="275">
        <v>86</v>
      </c>
      <c r="B118" s="380" t="s">
        <v>54</v>
      </c>
      <c r="C118" s="36"/>
      <c r="D118" s="381">
        <f>D115+NPV(0.15,E115:K115)</f>
        <v>262260.63017767644</v>
      </c>
      <c r="E118" s="197"/>
      <c r="F118" s="193"/>
      <c r="G118" s="193"/>
      <c r="H118" s="193"/>
      <c r="I118" s="193"/>
      <c r="J118" s="193"/>
      <c r="K118" s="193"/>
      <c r="L118" s="193"/>
    </row>
    <row r="119" spans="1:12" x14ac:dyDescent="0.2">
      <c r="A119" s="275"/>
      <c r="B119" s="12"/>
      <c r="C119" s="12"/>
      <c r="D119" s="12"/>
      <c r="E119" s="194"/>
      <c r="F119" s="193"/>
      <c r="G119" s="193"/>
      <c r="H119" s="193"/>
      <c r="I119" s="193"/>
      <c r="J119" s="193"/>
      <c r="K119" s="193"/>
      <c r="L119" s="193"/>
    </row>
    <row r="120" spans="1:12" x14ac:dyDescent="0.2">
      <c r="A120" s="275"/>
    </row>
    <row r="121" spans="1:12" x14ac:dyDescent="0.2">
      <c r="B121" s="804" t="s">
        <v>417</v>
      </c>
      <c r="C121" s="805"/>
      <c r="D121" s="805"/>
      <c r="E121" s="805"/>
      <c r="F121" s="805"/>
      <c r="G121" s="805"/>
      <c r="H121" s="805"/>
      <c r="I121" s="805"/>
      <c r="J121" s="805"/>
      <c r="K121" s="805"/>
    </row>
    <row r="122" spans="1:12" x14ac:dyDescent="0.2">
      <c r="B122" s="805"/>
      <c r="C122" s="805"/>
      <c r="D122" s="805"/>
      <c r="E122" s="805"/>
      <c r="F122" s="805"/>
      <c r="G122" s="805"/>
      <c r="H122" s="805"/>
      <c r="I122" s="805"/>
      <c r="J122" s="805"/>
      <c r="K122" s="805"/>
    </row>
    <row r="123" spans="1:12" x14ac:dyDescent="0.2">
      <c r="B123" s="805"/>
      <c r="C123" s="805"/>
      <c r="D123" s="805"/>
      <c r="E123" s="805"/>
      <c r="F123" s="805"/>
      <c r="G123" s="805"/>
      <c r="H123" s="805"/>
      <c r="I123" s="805"/>
      <c r="J123" s="805"/>
      <c r="K123" s="805"/>
    </row>
    <row r="124" spans="1:12" x14ac:dyDescent="0.2">
      <c r="B124" t="s">
        <v>57</v>
      </c>
    </row>
    <row r="125" spans="1:12" x14ac:dyDescent="0.2">
      <c r="B125" s="804" t="s">
        <v>418</v>
      </c>
      <c r="C125" s="805"/>
      <c r="D125" s="805"/>
      <c r="E125" s="805"/>
      <c r="F125" s="805"/>
      <c r="G125" s="805"/>
      <c r="H125" s="805"/>
      <c r="I125" s="805"/>
      <c r="J125" s="805"/>
      <c r="K125" s="805"/>
    </row>
    <row r="126" spans="1:12" x14ac:dyDescent="0.2">
      <c r="B126" s="805"/>
      <c r="C126" s="805"/>
      <c r="D126" s="805"/>
      <c r="E126" s="805"/>
      <c r="F126" s="805"/>
      <c r="G126" s="805"/>
      <c r="H126" s="805"/>
      <c r="I126" s="805"/>
      <c r="J126" s="805"/>
      <c r="K126" s="805"/>
    </row>
    <row r="127" spans="1:12" x14ac:dyDescent="0.2">
      <c r="B127" s="805"/>
      <c r="C127" s="805"/>
      <c r="D127" s="805"/>
      <c r="E127" s="805"/>
      <c r="F127" s="805"/>
      <c r="G127" s="805"/>
      <c r="H127" s="805"/>
      <c r="I127" s="805"/>
      <c r="J127" s="805"/>
      <c r="K127" s="805"/>
    </row>
    <row r="128" spans="1:12" x14ac:dyDescent="0.2">
      <c r="B128" s="805"/>
      <c r="C128" s="805"/>
      <c r="D128" s="805"/>
      <c r="E128" s="805"/>
      <c r="F128" s="805"/>
      <c r="G128" s="805"/>
      <c r="H128" s="805"/>
      <c r="I128" s="805"/>
      <c r="J128" s="805"/>
      <c r="K128" s="805"/>
    </row>
    <row r="129" spans="2:12" x14ac:dyDescent="0.2">
      <c r="B129" s="167"/>
      <c r="C129" s="167"/>
      <c r="D129" s="167"/>
      <c r="E129" s="167"/>
      <c r="F129" s="167"/>
      <c r="G129" s="167"/>
      <c r="H129" s="167"/>
      <c r="I129" s="167"/>
      <c r="J129" s="167"/>
      <c r="K129" s="167"/>
    </row>
    <row r="130" spans="2:12" x14ac:dyDescent="0.2">
      <c r="B130" s="804" t="s">
        <v>419</v>
      </c>
      <c r="C130" s="805"/>
      <c r="D130" s="805"/>
      <c r="E130" s="805"/>
      <c r="F130" s="805"/>
      <c r="G130" s="805"/>
      <c r="H130" s="805"/>
      <c r="I130" s="805"/>
      <c r="J130" s="805"/>
      <c r="K130" s="805"/>
    </row>
    <row r="131" spans="2:12" x14ac:dyDescent="0.2">
      <c r="B131" s="805"/>
      <c r="C131" s="805"/>
      <c r="D131" s="805"/>
      <c r="E131" s="805"/>
      <c r="F131" s="805"/>
      <c r="G131" s="805"/>
      <c r="H131" s="805"/>
      <c r="I131" s="805"/>
      <c r="J131" s="805"/>
      <c r="K131" s="805"/>
    </row>
    <row r="132" spans="2:12" x14ac:dyDescent="0.2">
      <c r="B132" s="805"/>
      <c r="C132" s="805"/>
      <c r="D132" s="805"/>
      <c r="E132" s="805"/>
      <c r="F132" s="805"/>
      <c r="G132" s="805"/>
      <c r="H132" s="805"/>
      <c r="I132" s="805"/>
      <c r="J132" s="805"/>
      <c r="K132" s="805"/>
    </row>
    <row r="134" spans="2:12" ht="14.25" x14ac:dyDescent="0.2">
      <c r="B134" s="642" t="s">
        <v>420</v>
      </c>
    </row>
    <row r="136" spans="2:12" ht="12.75" customHeight="1" x14ac:dyDescent="0.2">
      <c r="B136" s="804" t="s">
        <v>421</v>
      </c>
      <c r="C136" s="805"/>
      <c r="D136" s="805"/>
      <c r="E136" s="805"/>
      <c r="F136" s="805"/>
      <c r="G136" s="805"/>
      <c r="H136" s="805"/>
      <c r="I136" s="805"/>
      <c r="J136" s="805"/>
      <c r="K136" s="805"/>
      <c r="L136" s="288"/>
    </row>
    <row r="137" spans="2:12" x14ac:dyDescent="0.2">
      <c r="B137" s="805"/>
      <c r="C137" s="805"/>
      <c r="D137" s="805"/>
      <c r="E137" s="805"/>
      <c r="F137" s="805"/>
      <c r="G137" s="805"/>
      <c r="H137" s="805"/>
      <c r="I137" s="805"/>
      <c r="J137" s="805"/>
      <c r="K137" s="805"/>
      <c r="L137" s="288"/>
    </row>
    <row r="138" spans="2:12" x14ac:dyDescent="0.2">
      <c r="B138" s="805"/>
      <c r="C138" s="805"/>
      <c r="D138" s="805"/>
      <c r="E138" s="805"/>
      <c r="F138" s="805"/>
      <c r="G138" s="805"/>
      <c r="H138" s="805"/>
      <c r="I138" s="805"/>
      <c r="J138" s="805"/>
      <c r="K138" s="805"/>
      <c r="L138" s="288"/>
    </row>
    <row r="139" spans="2:12" x14ac:dyDescent="0.2">
      <c r="B139" s="805"/>
      <c r="C139" s="805"/>
      <c r="D139" s="805"/>
      <c r="E139" s="805"/>
      <c r="F139" s="805"/>
      <c r="G139" s="805"/>
      <c r="H139" s="805"/>
      <c r="I139" s="805"/>
      <c r="J139" s="805"/>
      <c r="K139" s="805"/>
      <c r="L139" s="288"/>
    </row>
    <row r="141" spans="2:12" ht="14.25" x14ac:dyDescent="0.2">
      <c r="B141" s="642" t="s">
        <v>355</v>
      </c>
      <c r="E141" s="193"/>
      <c r="F141" s="193"/>
      <c r="G141" s="193"/>
      <c r="H141" s="193"/>
      <c r="I141" s="193"/>
      <c r="J141" s="193"/>
      <c r="K141" s="193"/>
      <c r="L141" s="193"/>
    </row>
    <row r="142" spans="2:12" x14ac:dyDescent="0.2">
      <c r="E142" s="193"/>
      <c r="F142" s="193"/>
      <c r="G142" s="193"/>
      <c r="H142" s="193"/>
      <c r="I142" s="193"/>
      <c r="J142" s="193"/>
      <c r="K142" s="193"/>
      <c r="L142" s="193"/>
    </row>
    <row r="143" spans="2:12" x14ac:dyDescent="0.2">
      <c r="B143" s="804" t="s">
        <v>422</v>
      </c>
      <c r="C143" s="805"/>
      <c r="D143" s="805"/>
      <c r="E143" s="805"/>
      <c r="F143" s="805"/>
      <c r="G143" s="805"/>
      <c r="H143" s="805"/>
      <c r="I143" s="805"/>
      <c r="J143" s="805"/>
      <c r="K143" s="805"/>
      <c r="L143" s="288"/>
    </row>
    <row r="144" spans="2:12" x14ac:dyDescent="0.2">
      <c r="B144" s="805"/>
      <c r="C144" s="805"/>
      <c r="D144" s="805"/>
      <c r="E144" s="805"/>
      <c r="F144" s="805"/>
      <c r="G144" s="805"/>
      <c r="H144" s="805"/>
      <c r="I144" s="805"/>
      <c r="J144" s="805"/>
      <c r="K144" s="805"/>
      <c r="L144" s="288"/>
    </row>
    <row r="146" spans="2:8" x14ac:dyDescent="0.2">
      <c r="B146" s="796"/>
      <c r="C146" s="105"/>
      <c r="D146" s="105"/>
      <c r="E146" s="105"/>
      <c r="F146" s="105"/>
      <c r="G146" s="105"/>
      <c r="H146" s="105"/>
    </row>
    <row r="147" spans="2:8" x14ac:dyDescent="0.2">
      <c r="B147" s="753"/>
      <c r="C147" s="753"/>
      <c r="D147" s="753"/>
      <c r="E147" s="753"/>
      <c r="F147" s="753"/>
      <c r="G147" s="753"/>
      <c r="H147" s="105"/>
    </row>
    <row r="148" spans="2:8" x14ac:dyDescent="0.2">
      <c r="B148" s="712"/>
    </row>
  </sheetData>
  <mergeCells count="5">
    <mergeCell ref="B143:K144"/>
    <mergeCell ref="B121:K123"/>
    <mergeCell ref="B130:K132"/>
    <mergeCell ref="B125:K128"/>
    <mergeCell ref="B136:K139"/>
  </mergeCells>
  <phoneticPr fontId="0" type="noConversion"/>
  <pageMargins left="0.75" right="0.75" top="1" bottom="1" header="0.5" footer="0.5"/>
  <pageSetup scale="71"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21" zoomScaleNormal="100" workbookViewId="0">
      <selection activeCell="I1" sqref="I1"/>
    </sheetView>
  </sheetViews>
  <sheetFormatPr defaultRowHeight="12.75" x14ac:dyDescent="0.2"/>
  <cols>
    <col min="1" max="1" width="6.140625" customWidth="1"/>
    <col min="3" max="3" width="23.140625" customWidth="1"/>
    <col min="4" max="4" width="14" bestFit="1" customWidth="1"/>
    <col min="5" max="5" width="12.28515625" bestFit="1" customWidth="1"/>
    <col min="6" max="6" width="10.42578125" bestFit="1" customWidth="1"/>
    <col min="7" max="7" width="10.7109375" bestFit="1" customWidth="1"/>
    <col min="8" max="10" width="11.42578125" bestFit="1" customWidth="1"/>
    <col min="11" max="11" width="13.42578125" bestFit="1" customWidth="1"/>
  </cols>
  <sheetData>
    <row r="1" spans="1:11" ht="47.25" x14ac:dyDescent="0.25">
      <c r="B1" s="697" t="s">
        <v>456</v>
      </c>
      <c r="C1" s="700"/>
      <c r="D1" s="700"/>
      <c r="E1" s="700"/>
      <c r="F1" s="700"/>
      <c r="G1" s="700"/>
      <c r="H1" s="700"/>
      <c r="I1" s="700"/>
      <c r="J1" s="700"/>
      <c r="K1" s="700"/>
    </row>
    <row r="2" spans="1:11" x14ac:dyDescent="0.2">
      <c r="B2" s="562"/>
      <c r="C2" s="138"/>
      <c r="D2" s="138"/>
      <c r="E2" s="135"/>
      <c r="F2" s="124"/>
      <c r="G2" s="124"/>
      <c r="H2" s="124"/>
      <c r="I2" s="124"/>
      <c r="J2" s="124"/>
      <c r="K2" s="124"/>
    </row>
    <row r="3" spans="1:11" ht="15" x14ac:dyDescent="0.2">
      <c r="A3">
        <v>1</v>
      </c>
      <c r="B3" s="532" t="s">
        <v>439</v>
      </c>
      <c r="C3" s="125"/>
      <c r="D3" s="125"/>
      <c r="E3" s="126">
        <f>SUM('4-6 Stage3b Sources &amp; Uses'!E28:E29)</f>
        <v>1356858.3898080494</v>
      </c>
      <c r="F3" s="124"/>
      <c r="G3" s="124"/>
      <c r="H3" s="124"/>
      <c r="I3" s="124"/>
      <c r="J3" s="124"/>
      <c r="K3" s="124"/>
    </row>
    <row r="4" spans="1:11" ht="15" x14ac:dyDescent="0.2">
      <c r="A4">
        <v>2</v>
      </c>
      <c r="B4" s="562" t="s">
        <v>440</v>
      </c>
      <c r="C4" s="138"/>
      <c r="D4" s="138"/>
      <c r="E4" s="570">
        <v>0.95</v>
      </c>
      <c r="F4" s="124"/>
      <c r="G4" s="124"/>
      <c r="H4" s="124"/>
      <c r="I4" s="124"/>
      <c r="J4" s="124"/>
      <c r="K4" s="124"/>
    </row>
    <row r="5" spans="1:11" x14ac:dyDescent="0.2">
      <c r="A5" s="275">
        <v>3</v>
      </c>
      <c r="B5" s="124" t="s">
        <v>157</v>
      </c>
      <c r="C5" s="124"/>
      <c r="D5" s="124"/>
      <c r="E5" s="571">
        <v>0.08</v>
      </c>
      <c r="F5" s="124"/>
      <c r="G5" s="124"/>
      <c r="H5" s="124"/>
      <c r="I5" s="124"/>
      <c r="J5" s="124"/>
      <c r="K5" s="124"/>
    </row>
    <row r="6" spans="1:11" ht="15" x14ac:dyDescent="0.2">
      <c r="A6" s="275">
        <v>4</v>
      </c>
      <c r="B6" s="132" t="s">
        <v>441</v>
      </c>
      <c r="C6" s="124"/>
      <c r="D6" s="124"/>
      <c r="E6" s="11">
        <f>E4</f>
        <v>0.95</v>
      </c>
      <c r="F6" s="124"/>
      <c r="G6" s="124"/>
      <c r="H6" s="124"/>
      <c r="I6" s="124"/>
      <c r="J6" s="124"/>
      <c r="K6" s="124"/>
    </row>
    <row r="7" spans="1:11" ht="13.5" thickBot="1" x14ac:dyDescent="0.25">
      <c r="A7" s="275">
        <v>5</v>
      </c>
      <c r="B7" s="127" t="s">
        <v>158</v>
      </c>
      <c r="C7" s="127"/>
      <c r="D7" s="127"/>
      <c r="E7" s="572">
        <v>0.7</v>
      </c>
      <c r="F7" s="124"/>
      <c r="G7" s="124"/>
      <c r="H7" s="124"/>
      <c r="I7" s="124"/>
      <c r="J7" s="124"/>
      <c r="K7" s="124"/>
    </row>
    <row r="8" spans="1:11" x14ac:dyDescent="0.2">
      <c r="A8" s="275"/>
      <c r="B8" s="124"/>
      <c r="C8" s="124"/>
      <c r="D8" s="124"/>
      <c r="E8" s="124"/>
      <c r="F8" s="124"/>
      <c r="G8" s="124"/>
      <c r="H8" s="124"/>
      <c r="I8" s="124"/>
      <c r="J8" s="124"/>
      <c r="K8" s="124"/>
    </row>
    <row r="9" spans="1:11" x14ac:dyDescent="0.2">
      <c r="A9" s="275">
        <v>6</v>
      </c>
      <c r="B9" s="124"/>
      <c r="C9" s="124"/>
      <c r="D9" s="124"/>
      <c r="E9" s="797" t="s">
        <v>112</v>
      </c>
      <c r="F9" s="797"/>
      <c r="G9" s="798" t="s">
        <v>465</v>
      </c>
      <c r="H9" s="799"/>
      <c r="I9" s="799"/>
      <c r="J9" s="799"/>
      <c r="K9" s="128"/>
    </row>
    <row r="10" spans="1:11" ht="21.75" x14ac:dyDescent="0.2">
      <c r="A10" s="275">
        <v>7</v>
      </c>
      <c r="B10" s="73"/>
      <c r="C10" s="73"/>
      <c r="D10" s="745" t="s">
        <v>115</v>
      </c>
      <c r="E10" s="745">
        <v>1</v>
      </c>
      <c r="F10" s="745">
        <v>2</v>
      </c>
      <c r="G10" s="745">
        <v>3</v>
      </c>
      <c r="H10" s="745">
        <v>4</v>
      </c>
      <c r="I10" s="745">
        <v>5</v>
      </c>
      <c r="J10" s="745">
        <v>6</v>
      </c>
      <c r="K10" s="745">
        <v>7</v>
      </c>
    </row>
    <row r="11" spans="1:11" x14ac:dyDescent="0.2">
      <c r="A11" s="275"/>
      <c r="B11" s="124"/>
      <c r="C11" s="124"/>
      <c r="D11" s="124"/>
      <c r="E11" s="124"/>
      <c r="F11" s="124"/>
      <c r="G11" s="124"/>
      <c r="H11" s="124"/>
      <c r="I11" s="124"/>
      <c r="J11" s="124"/>
      <c r="K11" s="124"/>
    </row>
    <row r="12" spans="1:11" x14ac:dyDescent="0.2">
      <c r="A12" s="275">
        <v>8</v>
      </c>
      <c r="B12" s="124" t="s">
        <v>359</v>
      </c>
      <c r="C12" s="124"/>
      <c r="D12" s="129">
        <f>-E3</f>
        <v>-1356858.3898080494</v>
      </c>
      <c r="E12" s="129">
        <f>'4-7 St3c Combined Dev+Op Period'!E103</f>
        <v>246531.67324674415</v>
      </c>
      <c r="F12" s="129">
        <f>'4-7 St3c Combined Dev+Op Period'!F103</f>
        <v>5.8207660913467407E-11</v>
      </c>
      <c r="G12" s="129">
        <f>'4-7 St3c Combined Dev+Op Period'!G103</f>
        <v>114187.60861057381</v>
      </c>
      <c r="H12" s="129">
        <f>'4-7 St3c Combined Dev+Op Period'!H103</f>
        <v>184858.13307368848</v>
      </c>
      <c r="I12" s="129">
        <f>'4-7 St3c Combined Dev+Op Period'!I103</f>
        <v>203168.06833426387</v>
      </c>
      <c r="J12" s="129">
        <f>'4-7 St3c Combined Dev+Op Period'!J103</f>
        <v>222027.30165265687</v>
      </c>
      <c r="K12" s="129">
        <f>'4-7 St3c Combined Dev+Op Period'!K103</f>
        <v>3535638.4372906871</v>
      </c>
    </row>
    <row r="13" spans="1:11" x14ac:dyDescent="0.2">
      <c r="B13" s="124"/>
      <c r="C13" s="124"/>
      <c r="D13" s="124"/>
      <c r="E13" s="124"/>
      <c r="F13" s="124"/>
      <c r="G13" s="124"/>
      <c r="H13" s="124"/>
      <c r="I13" s="124"/>
      <c r="J13" s="124"/>
      <c r="K13" s="124"/>
    </row>
    <row r="14" spans="1:11" ht="15" x14ac:dyDescent="0.2">
      <c r="A14" s="275">
        <v>9</v>
      </c>
      <c r="B14" s="130" t="s">
        <v>442</v>
      </c>
      <c r="C14" s="124"/>
      <c r="D14" s="124"/>
      <c r="E14" s="124"/>
      <c r="F14" s="124"/>
      <c r="G14" s="124"/>
      <c r="H14" s="124"/>
      <c r="I14" s="124"/>
      <c r="J14" s="124"/>
      <c r="K14" s="124"/>
    </row>
    <row r="15" spans="1:11" x14ac:dyDescent="0.2">
      <c r="A15" s="275">
        <v>10</v>
      </c>
      <c r="B15" s="124" t="s">
        <v>159</v>
      </c>
      <c r="C15" s="124"/>
      <c r="D15" s="124"/>
      <c r="E15" s="124">
        <f>-D12</f>
        <v>1356858.3898080494</v>
      </c>
      <c r="F15" s="124">
        <f t="shared" ref="F15:K15" si="0">E28</f>
        <v>1218875.3877459492</v>
      </c>
      <c r="G15" s="124">
        <f t="shared" si="0"/>
        <v>1218875.3877459492</v>
      </c>
      <c r="H15" s="124">
        <f t="shared" si="0"/>
        <v>1218875.3877459492</v>
      </c>
      <c r="I15" s="124">
        <f t="shared" si="0"/>
        <v>1212359.7391207146</v>
      </c>
      <c r="J15" s="124">
        <f t="shared" si="0"/>
        <v>1106180.4499161078</v>
      </c>
      <c r="K15" s="124">
        <f t="shared" si="0"/>
        <v>972647.58425673959</v>
      </c>
    </row>
    <row r="16" spans="1:11" x14ac:dyDescent="0.2">
      <c r="A16" s="275">
        <v>11</v>
      </c>
      <c r="B16" s="124" t="s">
        <v>160</v>
      </c>
      <c r="C16" s="124"/>
      <c r="D16" s="124"/>
      <c r="E16" s="124">
        <f t="shared" ref="E16:K16" si="1">E15*$E$5</f>
        <v>108548.67118464396</v>
      </c>
      <c r="F16" s="124">
        <f t="shared" si="1"/>
        <v>97510.031019675938</v>
      </c>
      <c r="G16" s="124">
        <f t="shared" si="1"/>
        <v>97510.031019675938</v>
      </c>
      <c r="H16" s="124">
        <f t="shared" si="1"/>
        <v>97510.031019675938</v>
      </c>
      <c r="I16" s="124">
        <f t="shared" si="1"/>
        <v>96988.779129657167</v>
      </c>
      <c r="J16" s="124">
        <f t="shared" si="1"/>
        <v>88494.435993288629</v>
      </c>
      <c r="K16" s="124">
        <f t="shared" si="1"/>
        <v>77811.806740539163</v>
      </c>
    </row>
    <row r="17" spans="1:12" x14ac:dyDescent="0.2">
      <c r="A17" s="275">
        <v>12</v>
      </c>
      <c r="B17" s="124" t="s">
        <v>161</v>
      </c>
      <c r="C17" s="124"/>
      <c r="D17" s="124"/>
      <c r="E17" s="124">
        <f t="shared" ref="E17:K17" si="2">MIN(E16,MAX(E12,0))</f>
        <v>108548.67118464396</v>
      </c>
      <c r="F17" s="124">
        <f t="shared" si="2"/>
        <v>5.8207660913467407E-11</v>
      </c>
      <c r="G17" s="124">
        <f t="shared" si="2"/>
        <v>97510.031019675938</v>
      </c>
      <c r="H17" s="124">
        <f t="shared" si="2"/>
        <v>97510.031019675938</v>
      </c>
      <c r="I17" s="124">
        <f t="shared" si="2"/>
        <v>96988.779129657167</v>
      </c>
      <c r="J17" s="124">
        <f t="shared" si="2"/>
        <v>88494.435993288629</v>
      </c>
      <c r="K17" s="124">
        <f t="shared" si="2"/>
        <v>77811.806740539163</v>
      </c>
    </row>
    <row r="18" spans="1:12" x14ac:dyDescent="0.2">
      <c r="B18" s="124"/>
      <c r="C18" s="124"/>
      <c r="D18" s="124"/>
      <c r="E18" s="124"/>
      <c r="F18" s="124"/>
      <c r="G18" s="124"/>
      <c r="H18" s="124"/>
      <c r="I18" s="124"/>
      <c r="J18" s="124"/>
      <c r="K18" s="124"/>
    </row>
    <row r="19" spans="1:12" ht="15" x14ac:dyDescent="0.2">
      <c r="A19" s="275">
        <v>13</v>
      </c>
      <c r="B19" s="130" t="s">
        <v>443</v>
      </c>
      <c r="C19" s="124"/>
      <c r="D19" s="124"/>
      <c r="E19" s="124"/>
      <c r="F19" s="124"/>
      <c r="G19" s="124"/>
      <c r="H19" s="124"/>
      <c r="I19" s="124"/>
      <c r="J19" s="124"/>
      <c r="K19" s="124"/>
    </row>
    <row r="20" spans="1:12" x14ac:dyDescent="0.2">
      <c r="A20" s="275">
        <v>14</v>
      </c>
      <c r="B20" s="124" t="s">
        <v>101</v>
      </c>
      <c r="C20" s="124"/>
      <c r="D20" s="124"/>
      <c r="E20" s="124">
        <f t="shared" ref="E20:K20" si="3">D23</f>
        <v>0</v>
      </c>
      <c r="F20" s="124">
        <f t="shared" si="3"/>
        <v>0</v>
      </c>
      <c r="G20" s="124">
        <f t="shared" si="3"/>
        <v>97510.03101967588</v>
      </c>
      <c r="H20" s="124">
        <f t="shared" si="3"/>
        <v>80832.453428778012</v>
      </c>
      <c r="I20" s="124">
        <f t="shared" si="3"/>
        <v>0</v>
      </c>
      <c r="J20" s="124">
        <f t="shared" si="3"/>
        <v>0</v>
      </c>
      <c r="K20" s="124">
        <f t="shared" si="3"/>
        <v>0</v>
      </c>
    </row>
    <row r="21" spans="1:12" x14ac:dyDescent="0.2">
      <c r="A21" s="275">
        <v>15</v>
      </c>
      <c r="B21" s="124" t="s">
        <v>162</v>
      </c>
      <c r="C21" s="124"/>
      <c r="D21" s="124"/>
      <c r="E21" s="124">
        <f t="shared" ref="E21:K21" si="4">E16-E17</f>
        <v>0</v>
      </c>
      <c r="F21" s="124">
        <f t="shared" si="4"/>
        <v>97510.03101967588</v>
      </c>
      <c r="G21" s="124">
        <f t="shared" si="4"/>
        <v>0</v>
      </c>
      <c r="H21" s="124">
        <f t="shared" si="4"/>
        <v>0</v>
      </c>
      <c r="I21" s="124">
        <f t="shared" si="4"/>
        <v>0</v>
      </c>
      <c r="J21" s="124">
        <f t="shared" si="4"/>
        <v>0</v>
      </c>
      <c r="K21" s="124">
        <f t="shared" si="4"/>
        <v>0</v>
      </c>
    </row>
    <row r="22" spans="1:12" x14ac:dyDescent="0.2">
      <c r="A22" s="275">
        <v>16</v>
      </c>
      <c r="B22" s="124" t="s">
        <v>163</v>
      </c>
      <c r="C22" s="124"/>
      <c r="D22" s="124"/>
      <c r="E22" s="124">
        <f t="shared" ref="E22:K22" si="5">IF(E12-E17&gt;0,MIN(E20+E21,E12-E17),0)</f>
        <v>0</v>
      </c>
      <c r="F22" s="124">
        <f t="shared" si="5"/>
        <v>0</v>
      </c>
      <c r="G22" s="124">
        <f t="shared" si="5"/>
        <v>16677.577590897869</v>
      </c>
      <c r="H22" s="124">
        <f t="shared" si="5"/>
        <v>80832.453428778012</v>
      </c>
      <c r="I22" s="124">
        <f t="shared" si="5"/>
        <v>0</v>
      </c>
      <c r="J22" s="124">
        <f t="shared" si="5"/>
        <v>0</v>
      </c>
      <c r="K22" s="124">
        <f t="shared" si="5"/>
        <v>0</v>
      </c>
    </row>
    <row r="23" spans="1:12" x14ac:dyDescent="0.2">
      <c r="A23" s="275">
        <v>17</v>
      </c>
      <c r="B23" s="124" t="s">
        <v>105</v>
      </c>
      <c r="C23" s="124"/>
      <c r="D23" s="124"/>
      <c r="E23" s="124">
        <f t="shared" ref="E23:K23" si="6">E20+E21-E22</f>
        <v>0</v>
      </c>
      <c r="F23" s="124">
        <f t="shared" si="6"/>
        <v>97510.03101967588</v>
      </c>
      <c r="G23" s="124">
        <f t="shared" si="6"/>
        <v>80832.453428778012</v>
      </c>
      <c r="H23" s="124">
        <f t="shared" si="6"/>
        <v>0</v>
      </c>
      <c r="I23" s="124">
        <f t="shared" si="6"/>
        <v>0</v>
      </c>
      <c r="J23" s="124">
        <f t="shared" si="6"/>
        <v>0</v>
      </c>
      <c r="K23" s="124">
        <f t="shared" si="6"/>
        <v>0</v>
      </c>
    </row>
    <row r="24" spans="1:12" x14ac:dyDescent="0.2">
      <c r="B24" s="124"/>
      <c r="C24" s="124"/>
      <c r="D24" s="124"/>
      <c r="E24" s="124"/>
      <c r="F24" s="124"/>
      <c r="G24" s="124"/>
      <c r="H24" s="124"/>
      <c r="I24" s="124"/>
      <c r="J24" s="124"/>
      <c r="K24" s="124"/>
    </row>
    <row r="25" spans="1:12" ht="15" x14ac:dyDescent="0.2">
      <c r="A25" s="275">
        <v>18</v>
      </c>
      <c r="B25" s="130" t="s">
        <v>444</v>
      </c>
      <c r="C25" s="124"/>
      <c r="D25" s="124"/>
      <c r="E25" s="124"/>
      <c r="F25" s="124"/>
      <c r="G25" s="124"/>
      <c r="H25" s="124"/>
      <c r="I25" s="124"/>
      <c r="J25" s="124"/>
      <c r="K25" s="124"/>
    </row>
    <row r="26" spans="1:12" x14ac:dyDescent="0.2">
      <c r="A26" s="275">
        <v>19</v>
      </c>
      <c r="B26" s="124" t="s">
        <v>159</v>
      </c>
      <c r="C26" s="124"/>
      <c r="D26" s="124"/>
      <c r="E26" s="124">
        <f t="shared" ref="E26:K26" si="7">E15</f>
        <v>1356858.3898080494</v>
      </c>
      <c r="F26" s="124">
        <f t="shared" si="7"/>
        <v>1218875.3877459492</v>
      </c>
      <c r="G26" s="124">
        <f t="shared" si="7"/>
        <v>1218875.3877459492</v>
      </c>
      <c r="H26" s="124">
        <f t="shared" si="7"/>
        <v>1218875.3877459492</v>
      </c>
      <c r="I26" s="124">
        <f t="shared" si="7"/>
        <v>1212359.7391207146</v>
      </c>
      <c r="J26" s="124">
        <f t="shared" si="7"/>
        <v>1106180.4499161078</v>
      </c>
      <c r="K26" s="124">
        <f t="shared" si="7"/>
        <v>972647.58425673959</v>
      </c>
    </row>
    <row r="27" spans="1:12" x14ac:dyDescent="0.2">
      <c r="A27" s="275">
        <v>20</v>
      </c>
      <c r="B27" s="124" t="s">
        <v>164</v>
      </c>
      <c r="C27" s="124"/>
      <c r="D27" s="124"/>
      <c r="E27" s="124">
        <f>MIN(IF(E12-E17-E22&gt;0,(E12-E17-E22),0),E26)</f>
        <v>137983.00206210019</v>
      </c>
      <c r="F27" s="124">
        <f t="shared" ref="F27:K27" si="8">MIN(IF(F12-F17-F22&gt;0,(F12-F17-F22),0),F26)</f>
        <v>0</v>
      </c>
      <c r="G27" s="124">
        <f t="shared" si="8"/>
        <v>0</v>
      </c>
      <c r="H27" s="124">
        <f t="shared" si="8"/>
        <v>6515.6486252345348</v>
      </c>
      <c r="I27" s="124">
        <f t="shared" si="8"/>
        <v>106179.2892046067</v>
      </c>
      <c r="J27" s="124">
        <f t="shared" si="8"/>
        <v>133532.86565936822</v>
      </c>
      <c r="K27" s="124">
        <f t="shared" si="8"/>
        <v>972647.58425673959</v>
      </c>
    </row>
    <row r="28" spans="1:12" x14ac:dyDescent="0.2">
      <c r="A28" s="275">
        <v>21</v>
      </c>
      <c r="B28" s="124" t="s">
        <v>105</v>
      </c>
      <c r="C28" s="124"/>
      <c r="D28" s="124"/>
      <c r="E28" s="124">
        <f t="shared" ref="E28:K28" si="9">E26-E27</f>
        <v>1218875.3877459492</v>
      </c>
      <c r="F28" s="124">
        <f t="shared" si="9"/>
        <v>1218875.3877459492</v>
      </c>
      <c r="G28" s="124">
        <f t="shared" si="9"/>
        <v>1218875.3877459492</v>
      </c>
      <c r="H28" s="124">
        <f t="shared" si="9"/>
        <v>1212359.7391207146</v>
      </c>
      <c r="I28" s="124">
        <f t="shared" si="9"/>
        <v>1106180.4499161078</v>
      </c>
      <c r="J28" s="124">
        <f t="shared" si="9"/>
        <v>972647.58425673959</v>
      </c>
      <c r="K28" s="124">
        <f t="shared" si="9"/>
        <v>0</v>
      </c>
      <c r="L28" s="453"/>
    </row>
    <row r="29" spans="1:12" x14ac:dyDescent="0.2">
      <c r="B29" s="124"/>
      <c r="C29" s="124"/>
      <c r="D29" s="124"/>
      <c r="E29" s="124"/>
      <c r="F29" s="124"/>
      <c r="G29" s="124"/>
      <c r="H29" s="124"/>
      <c r="I29" s="124"/>
      <c r="J29" s="124"/>
      <c r="K29" s="124"/>
    </row>
    <row r="30" spans="1:12" ht="15" x14ac:dyDescent="0.2">
      <c r="A30" s="275">
        <v>22</v>
      </c>
      <c r="B30" s="130" t="s">
        <v>445</v>
      </c>
      <c r="C30" s="124"/>
      <c r="D30" s="124"/>
      <c r="E30" s="124"/>
      <c r="F30" s="124"/>
      <c r="G30" s="124"/>
      <c r="H30" s="124"/>
      <c r="I30" s="124"/>
      <c r="J30" s="124"/>
      <c r="K30" s="124"/>
    </row>
    <row r="31" spans="1:12" x14ac:dyDescent="0.2">
      <c r="A31" s="275">
        <v>23</v>
      </c>
      <c r="B31" s="124" t="s">
        <v>161</v>
      </c>
      <c r="C31" s="124"/>
      <c r="D31" s="124"/>
      <c r="E31" s="124">
        <f t="shared" ref="E31:J31" si="10">E17</f>
        <v>108548.67118464396</v>
      </c>
      <c r="F31" s="124">
        <f t="shared" si="10"/>
        <v>5.8207660913467407E-11</v>
      </c>
      <c r="G31" s="124">
        <f t="shared" si="10"/>
        <v>97510.031019675938</v>
      </c>
      <c r="H31" s="124">
        <f t="shared" si="10"/>
        <v>97510.031019675938</v>
      </c>
      <c r="I31" s="124">
        <f t="shared" si="10"/>
        <v>96988.779129657167</v>
      </c>
      <c r="J31" s="124">
        <f t="shared" si="10"/>
        <v>88494.435993288629</v>
      </c>
      <c r="K31" s="124">
        <f>K17</f>
        <v>77811.806740539163</v>
      </c>
    </row>
    <row r="32" spans="1:12" x14ac:dyDescent="0.2">
      <c r="A32" s="275">
        <v>24</v>
      </c>
      <c r="B32" s="124" t="s">
        <v>163</v>
      </c>
      <c r="C32" s="124"/>
      <c r="D32" s="124"/>
      <c r="E32" s="124">
        <f t="shared" ref="E32:J32" si="11">E22</f>
        <v>0</v>
      </c>
      <c r="F32" s="124">
        <f t="shared" si="11"/>
        <v>0</v>
      </c>
      <c r="G32" s="124">
        <f t="shared" si="11"/>
        <v>16677.577590897869</v>
      </c>
      <c r="H32" s="124">
        <f t="shared" si="11"/>
        <v>80832.453428778012</v>
      </c>
      <c r="I32" s="124">
        <f t="shared" si="11"/>
        <v>0</v>
      </c>
      <c r="J32" s="124">
        <f t="shared" si="11"/>
        <v>0</v>
      </c>
      <c r="K32" s="124">
        <f>K22</f>
        <v>0</v>
      </c>
    </row>
    <row r="33" spans="1:11" x14ac:dyDescent="0.2">
      <c r="A33" s="275">
        <v>25</v>
      </c>
      <c r="B33" s="124" t="s">
        <v>164</v>
      </c>
      <c r="C33" s="124"/>
      <c r="D33" s="124"/>
      <c r="E33" s="131">
        <f t="shared" ref="E33:J33" si="12">E27</f>
        <v>137983.00206210019</v>
      </c>
      <c r="F33" s="131">
        <f t="shared" si="12"/>
        <v>0</v>
      </c>
      <c r="G33" s="131">
        <f t="shared" si="12"/>
        <v>0</v>
      </c>
      <c r="H33" s="131">
        <f t="shared" si="12"/>
        <v>6515.6486252345348</v>
      </c>
      <c r="I33" s="131">
        <f t="shared" si="12"/>
        <v>106179.2892046067</v>
      </c>
      <c r="J33" s="131">
        <f t="shared" si="12"/>
        <v>133532.86565936822</v>
      </c>
      <c r="K33" s="131">
        <f>K27</f>
        <v>972647.58425673959</v>
      </c>
    </row>
    <row r="34" spans="1:11" x14ac:dyDescent="0.2">
      <c r="A34" s="275">
        <v>26</v>
      </c>
      <c r="B34" s="124" t="s">
        <v>165</v>
      </c>
      <c r="C34" s="124"/>
      <c r="D34" s="124"/>
      <c r="E34" s="124">
        <f t="shared" ref="E34:K34" si="13">SUM(E31:E33)</f>
        <v>246531.67324674415</v>
      </c>
      <c r="F34" s="124">
        <f t="shared" si="13"/>
        <v>5.8207660913467407E-11</v>
      </c>
      <c r="G34" s="124">
        <f t="shared" si="13"/>
        <v>114187.60861057381</v>
      </c>
      <c r="H34" s="124">
        <f t="shared" si="13"/>
        <v>184858.13307368848</v>
      </c>
      <c r="I34" s="124">
        <f t="shared" si="13"/>
        <v>203168.06833426387</v>
      </c>
      <c r="J34" s="124">
        <f t="shared" si="13"/>
        <v>222027.30165265687</v>
      </c>
      <c r="K34" s="124">
        <f t="shared" si="13"/>
        <v>1050459.3909972787</v>
      </c>
    </row>
    <row r="35" spans="1:11" x14ac:dyDescent="0.2">
      <c r="B35" s="124"/>
      <c r="C35" s="124"/>
      <c r="D35" s="564"/>
      <c r="E35" s="124"/>
      <c r="F35" s="124"/>
      <c r="G35" s="124"/>
      <c r="H35" s="124"/>
      <c r="I35" s="124"/>
      <c r="J35" s="124"/>
      <c r="K35" s="124"/>
    </row>
    <row r="36" spans="1:11" x14ac:dyDescent="0.2">
      <c r="A36" s="275">
        <v>27</v>
      </c>
      <c r="B36" s="130" t="s">
        <v>166</v>
      </c>
      <c r="C36" s="124"/>
      <c r="D36" s="564"/>
      <c r="E36" s="124"/>
      <c r="F36" s="124"/>
      <c r="G36" s="124"/>
      <c r="H36" s="124"/>
      <c r="I36" s="124"/>
      <c r="J36" s="124"/>
      <c r="K36" s="124"/>
    </row>
    <row r="37" spans="1:11" x14ac:dyDescent="0.2">
      <c r="A37" s="275">
        <v>28</v>
      </c>
      <c r="B37" s="124" t="s">
        <v>359</v>
      </c>
      <c r="C37" s="124"/>
      <c r="D37" s="564"/>
      <c r="E37" s="124">
        <f t="shared" ref="E37:K37" si="14">E12</f>
        <v>246531.67324674415</v>
      </c>
      <c r="F37" s="124">
        <f t="shared" si="14"/>
        <v>5.8207660913467407E-11</v>
      </c>
      <c r="G37" s="124">
        <f t="shared" si="14"/>
        <v>114187.60861057381</v>
      </c>
      <c r="H37" s="124">
        <f t="shared" si="14"/>
        <v>184858.13307368848</v>
      </c>
      <c r="I37" s="124">
        <f t="shared" si="14"/>
        <v>203168.06833426387</v>
      </c>
      <c r="J37" s="124">
        <f t="shared" si="14"/>
        <v>222027.30165265687</v>
      </c>
      <c r="K37" s="124">
        <f t="shared" si="14"/>
        <v>3535638.4372906871</v>
      </c>
    </row>
    <row r="38" spans="1:11" x14ac:dyDescent="0.2">
      <c r="A38" s="275">
        <v>29</v>
      </c>
      <c r="B38" s="124" t="s">
        <v>165</v>
      </c>
      <c r="C38" s="124"/>
      <c r="D38" s="564"/>
      <c r="E38" s="131">
        <f t="shared" ref="E38:K38" si="15">E34</f>
        <v>246531.67324674415</v>
      </c>
      <c r="F38" s="131">
        <f t="shared" si="15"/>
        <v>5.8207660913467407E-11</v>
      </c>
      <c r="G38" s="131">
        <f t="shared" si="15"/>
        <v>114187.60861057381</v>
      </c>
      <c r="H38" s="131">
        <f t="shared" si="15"/>
        <v>184858.13307368848</v>
      </c>
      <c r="I38" s="131">
        <f t="shared" si="15"/>
        <v>203168.06833426387</v>
      </c>
      <c r="J38" s="131">
        <f t="shared" si="15"/>
        <v>222027.30165265687</v>
      </c>
      <c r="K38" s="131">
        <f t="shared" si="15"/>
        <v>1050459.3909972787</v>
      </c>
    </row>
    <row r="39" spans="1:11" ht="13.5" thickBot="1" x14ac:dyDescent="0.25">
      <c r="A39" s="275">
        <v>30</v>
      </c>
      <c r="B39" s="124" t="s">
        <v>166</v>
      </c>
      <c r="C39" s="124"/>
      <c r="D39" s="564"/>
      <c r="E39" s="565">
        <f t="shared" ref="E39:K39" si="16">E37-E38</f>
        <v>0</v>
      </c>
      <c r="F39" s="565">
        <f t="shared" si="16"/>
        <v>0</v>
      </c>
      <c r="G39" s="565">
        <f t="shared" si="16"/>
        <v>0</v>
      </c>
      <c r="H39" s="565">
        <f t="shared" si="16"/>
        <v>0</v>
      </c>
      <c r="I39" s="565">
        <f t="shared" si="16"/>
        <v>0</v>
      </c>
      <c r="J39" s="565">
        <f t="shared" si="16"/>
        <v>0</v>
      </c>
      <c r="K39" s="565">
        <f t="shared" si="16"/>
        <v>2485179.0462934086</v>
      </c>
    </row>
    <row r="40" spans="1:11" ht="13.5" thickTop="1" x14ac:dyDescent="0.2">
      <c r="B40" s="124"/>
      <c r="C40" s="124"/>
      <c r="D40" s="564"/>
      <c r="E40" s="124"/>
      <c r="F40" s="124"/>
      <c r="G40" s="124"/>
      <c r="H40" s="124"/>
      <c r="I40" s="124"/>
      <c r="J40" s="124"/>
      <c r="K40" s="124"/>
    </row>
    <row r="41" spans="1:11" x14ac:dyDescent="0.2">
      <c r="B41" s="124"/>
      <c r="C41" s="124"/>
      <c r="D41" s="564"/>
      <c r="E41" s="124"/>
      <c r="F41" s="124"/>
      <c r="G41" s="124"/>
      <c r="H41" s="124"/>
      <c r="I41" s="124"/>
      <c r="J41" s="124"/>
      <c r="K41" s="124"/>
    </row>
    <row r="42" spans="1:11" x14ac:dyDescent="0.2">
      <c r="A42" s="275">
        <v>31</v>
      </c>
      <c r="B42" s="130" t="s">
        <v>276</v>
      </c>
      <c r="C42" s="124"/>
      <c r="D42" s="564"/>
      <c r="E42" s="124"/>
      <c r="F42" s="124"/>
      <c r="G42" s="124"/>
      <c r="H42" s="124"/>
      <c r="I42" s="124"/>
      <c r="J42" s="124"/>
      <c r="K42" s="124"/>
    </row>
    <row r="43" spans="1:11" x14ac:dyDescent="0.2">
      <c r="A43" s="275">
        <v>32</v>
      </c>
      <c r="B43" s="132" t="s">
        <v>271</v>
      </c>
      <c r="C43" s="124"/>
      <c r="D43" s="124"/>
      <c r="E43" s="138">
        <f>E34*$E$6</f>
        <v>234205.08958440693</v>
      </c>
      <c r="F43" s="138">
        <f t="shared" ref="F43:K43" si="17">F34*$E$6</f>
        <v>5.5297277867794034E-11</v>
      </c>
      <c r="G43" s="138">
        <f t="shared" si="17"/>
        <v>108478.22818004512</v>
      </c>
      <c r="H43" s="138">
        <f t="shared" si="17"/>
        <v>175615.22642000407</v>
      </c>
      <c r="I43" s="138">
        <f t="shared" si="17"/>
        <v>193009.66491755066</v>
      </c>
      <c r="J43" s="138">
        <f t="shared" si="17"/>
        <v>210925.936570024</v>
      </c>
      <c r="K43" s="138">
        <f t="shared" si="17"/>
        <v>997936.42144741479</v>
      </c>
    </row>
    <row r="44" spans="1:11" x14ac:dyDescent="0.2">
      <c r="A44" s="275">
        <v>33</v>
      </c>
      <c r="B44" s="124" t="s">
        <v>158</v>
      </c>
      <c r="C44" s="124"/>
      <c r="D44" s="124"/>
      <c r="E44" s="131">
        <f t="shared" ref="E44:K44" si="18">E39*$E$7</f>
        <v>0</v>
      </c>
      <c r="F44" s="131">
        <f t="shared" si="18"/>
        <v>0</v>
      </c>
      <c r="G44" s="131">
        <f t="shared" si="18"/>
        <v>0</v>
      </c>
      <c r="H44" s="131">
        <f t="shared" si="18"/>
        <v>0</v>
      </c>
      <c r="I44" s="131">
        <f t="shared" si="18"/>
        <v>0</v>
      </c>
      <c r="J44" s="131">
        <f t="shared" si="18"/>
        <v>0</v>
      </c>
      <c r="K44" s="131">
        <f t="shared" si="18"/>
        <v>1739625.332405386</v>
      </c>
    </row>
    <row r="45" spans="1:11" x14ac:dyDescent="0.2">
      <c r="A45" s="275">
        <v>34</v>
      </c>
      <c r="B45" s="132" t="s">
        <v>272</v>
      </c>
      <c r="C45" s="124"/>
      <c r="D45" s="124"/>
      <c r="E45" s="124">
        <f>SUM(E43:E44)</f>
        <v>234205.08958440693</v>
      </c>
      <c r="F45" s="124">
        <f t="shared" ref="F45:K45" si="19">SUM(F43:F44)</f>
        <v>5.5297277867794034E-11</v>
      </c>
      <c r="G45" s="124">
        <f t="shared" si="19"/>
        <v>108478.22818004512</v>
      </c>
      <c r="H45" s="124">
        <f t="shared" si="19"/>
        <v>175615.22642000407</v>
      </c>
      <c r="I45" s="124">
        <f t="shared" si="19"/>
        <v>193009.66491755066</v>
      </c>
      <c r="J45" s="124">
        <f t="shared" si="19"/>
        <v>210925.936570024</v>
      </c>
      <c r="K45" s="124">
        <f t="shared" si="19"/>
        <v>2737561.7538528009</v>
      </c>
    </row>
    <row r="46" spans="1:11" x14ac:dyDescent="0.2">
      <c r="B46" s="124"/>
      <c r="C46" s="124"/>
      <c r="D46" s="124"/>
      <c r="E46" s="124"/>
      <c r="F46" s="124"/>
      <c r="G46" s="124"/>
      <c r="H46" s="124"/>
      <c r="I46" s="124"/>
      <c r="J46" s="124"/>
      <c r="K46" s="124"/>
    </row>
    <row r="47" spans="1:11" x14ac:dyDescent="0.2">
      <c r="A47" s="275">
        <v>35</v>
      </c>
      <c r="B47" s="130" t="s">
        <v>273</v>
      </c>
      <c r="C47" s="124"/>
      <c r="D47" s="124"/>
      <c r="E47" s="124"/>
      <c r="F47" s="124"/>
      <c r="G47" s="124"/>
      <c r="H47" s="124"/>
      <c r="I47" s="124"/>
      <c r="J47" s="124"/>
      <c r="K47" s="124"/>
    </row>
    <row r="48" spans="1:11" x14ac:dyDescent="0.2">
      <c r="A48" s="275">
        <v>36</v>
      </c>
      <c r="B48" s="132" t="s">
        <v>274</v>
      </c>
      <c r="C48" s="124"/>
      <c r="D48" s="124"/>
      <c r="E48" s="138">
        <f>E34-E43</f>
        <v>12326.583662337216</v>
      </c>
      <c r="F48" s="138">
        <f t="shared" ref="F48:K48" si="20">F34-F43</f>
        <v>2.9103830456733729E-12</v>
      </c>
      <c r="G48" s="138">
        <f t="shared" si="20"/>
        <v>5709.3804305286903</v>
      </c>
      <c r="H48" s="138">
        <f t="shared" si="20"/>
        <v>9242.9066536844184</v>
      </c>
      <c r="I48" s="138">
        <f t="shared" si="20"/>
        <v>10158.403416713205</v>
      </c>
      <c r="J48" s="138">
        <f t="shared" si="20"/>
        <v>11101.365082632867</v>
      </c>
      <c r="K48" s="138">
        <f t="shared" si="20"/>
        <v>52522.969549863948</v>
      </c>
    </row>
    <row r="49" spans="1:11" x14ac:dyDescent="0.2">
      <c r="A49" s="275">
        <v>37</v>
      </c>
      <c r="B49" s="124" t="s">
        <v>275</v>
      </c>
      <c r="C49" s="124"/>
      <c r="D49" s="124"/>
      <c r="E49" s="131">
        <f>E39-E44</f>
        <v>0</v>
      </c>
      <c r="F49" s="131">
        <f t="shared" ref="F49:K49" si="21">F39-F44</f>
        <v>0</v>
      </c>
      <c r="G49" s="131">
        <f t="shared" si="21"/>
        <v>0</v>
      </c>
      <c r="H49" s="131">
        <f t="shared" si="21"/>
        <v>0</v>
      </c>
      <c r="I49" s="131">
        <f t="shared" si="21"/>
        <v>0</v>
      </c>
      <c r="J49" s="131">
        <f t="shared" si="21"/>
        <v>0</v>
      </c>
      <c r="K49" s="131">
        <f t="shared" si="21"/>
        <v>745553.71388802258</v>
      </c>
    </row>
    <row r="50" spans="1:11" x14ac:dyDescent="0.2">
      <c r="A50" s="275">
        <v>38</v>
      </c>
      <c r="B50" s="132" t="s">
        <v>272</v>
      </c>
      <c r="C50" s="124"/>
      <c r="D50" s="124"/>
      <c r="E50" s="124">
        <f t="shared" ref="E50:K50" si="22">SUM(E48:E49)</f>
        <v>12326.583662337216</v>
      </c>
      <c r="F50" s="124">
        <f t="shared" si="22"/>
        <v>2.9103830456733729E-12</v>
      </c>
      <c r="G50" s="124">
        <f t="shared" si="22"/>
        <v>5709.3804305286903</v>
      </c>
      <c r="H50" s="124">
        <f t="shared" si="22"/>
        <v>9242.9066536844184</v>
      </c>
      <c r="I50" s="124">
        <f t="shared" si="22"/>
        <v>10158.403416713205</v>
      </c>
      <c r="J50" s="124">
        <f t="shared" si="22"/>
        <v>11101.365082632867</v>
      </c>
      <c r="K50" s="124">
        <f t="shared" si="22"/>
        <v>798076.68343788653</v>
      </c>
    </row>
    <row r="51" spans="1:11" x14ac:dyDescent="0.2">
      <c r="B51" s="124"/>
      <c r="C51" s="124"/>
      <c r="D51" s="124"/>
      <c r="E51" s="124"/>
      <c r="F51" s="124"/>
      <c r="G51" s="124"/>
      <c r="H51" s="124"/>
      <c r="I51" s="124"/>
      <c r="J51" s="124"/>
      <c r="K51" s="124"/>
    </row>
    <row r="52" spans="1:11" x14ac:dyDescent="0.2">
      <c r="A52" s="275">
        <v>39</v>
      </c>
      <c r="B52" s="130" t="s">
        <v>277</v>
      </c>
      <c r="C52" s="124"/>
      <c r="D52" s="124"/>
      <c r="E52" s="124"/>
      <c r="F52" s="124"/>
      <c r="G52" s="124"/>
      <c r="H52" s="124"/>
      <c r="I52" s="124"/>
      <c r="J52" s="124"/>
      <c r="K52" s="124"/>
    </row>
    <row r="53" spans="1:11" x14ac:dyDescent="0.2">
      <c r="A53" s="275">
        <v>40</v>
      </c>
      <c r="B53" s="569" t="s">
        <v>446</v>
      </c>
      <c r="C53" s="129"/>
      <c r="D53" s="134">
        <f>-E4*E3</f>
        <v>-1289015.4703176469</v>
      </c>
      <c r="E53" s="134">
        <f>E45</f>
        <v>234205.08958440693</v>
      </c>
      <c r="F53" s="134">
        <f t="shared" ref="F53:K53" si="23">F45</f>
        <v>5.5297277867794034E-11</v>
      </c>
      <c r="G53" s="134">
        <f t="shared" si="23"/>
        <v>108478.22818004512</v>
      </c>
      <c r="H53" s="134">
        <f t="shared" si="23"/>
        <v>175615.22642000407</v>
      </c>
      <c r="I53" s="134">
        <f t="shared" si="23"/>
        <v>193009.66491755066</v>
      </c>
      <c r="J53" s="134">
        <f t="shared" si="23"/>
        <v>210925.936570024</v>
      </c>
      <c r="K53" s="134">
        <f t="shared" si="23"/>
        <v>2737561.7538528009</v>
      </c>
    </row>
    <row r="54" spans="1:11" x14ac:dyDescent="0.2">
      <c r="B54" s="133"/>
      <c r="C54" s="129"/>
      <c r="D54" s="135"/>
      <c r="E54" s="135"/>
      <c r="F54" s="135"/>
      <c r="G54" s="135"/>
      <c r="H54" s="135"/>
      <c r="I54" s="135"/>
      <c r="J54" s="135"/>
      <c r="K54" s="135"/>
    </row>
    <row r="55" spans="1:11" x14ac:dyDescent="0.2">
      <c r="A55" s="275">
        <v>41</v>
      </c>
      <c r="B55" s="567" t="s">
        <v>167</v>
      </c>
      <c r="C55" s="130"/>
      <c r="D55" s="136">
        <f>IRR(D53:K53)</f>
        <v>0.1941490710332634</v>
      </c>
      <c r="E55" s="124"/>
      <c r="F55" s="124"/>
      <c r="G55" s="124"/>
      <c r="H55" s="124"/>
      <c r="I55" s="124"/>
      <c r="J55" s="124"/>
      <c r="K55" s="124"/>
    </row>
    <row r="56" spans="1:11" x14ac:dyDescent="0.2">
      <c r="A56" s="275">
        <v>42</v>
      </c>
      <c r="B56" s="568" t="s">
        <v>170</v>
      </c>
      <c r="C56" s="137"/>
      <c r="D56" s="137">
        <f>D53+NPV(0.15,E53:K53)</f>
        <v>302675.78140353016</v>
      </c>
      <c r="E56" s="138"/>
      <c r="F56" s="138"/>
      <c r="G56" s="138"/>
      <c r="H56" s="138"/>
      <c r="I56" s="138"/>
      <c r="J56" s="138"/>
      <c r="K56" s="138"/>
    </row>
    <row r="57" spans="1:11" x14ac:dyDescent="0.2">
      <c r="A57" s="275"/>
      <c r="B57" s="124"/>
      <c r="C57" s="124"/>
      <c r="D57" s="124"/>
      <c r="E57" s="124"/>
      <c r="F57" s="124"/>
      <c r="G57" s="124"/>
      <c r="H57" s="124"/>
      <c r="I57" s="124"/>
      <c r="J57" s="124"/>
      <c r="K57" s="124"/>
    </row>
    <row r="58" spans="1:11" x14ac:dyDescent="0.2">
      <c r="A58" s="275">
        <v>43</v>
      </c>
      <c r="B58" s="137" t="s">
        <v>168</v>
      </c>
      <c r="C58" s="138"/>
      <c r="D58" s="138"/>
      <c r="E58" s="138"/>
      <c r="F58" s="138"/>
      <c r="G58" s="138"/>
      <c r="H58" s="138"/>
      <c r="I58" s="138"/>
      <c r="J58" s="138"/>
      <c r="K58" s="138"/>
    </row>
    <row r="59" spans="1:11" x14ac:dyDescent="0.2">
      <c r="A59" s="275">
        <v>44</v>
      </c>
      <c r="B59" s="124" t="s">
        <v>169</v>
      </c>
      <c r="C59" s="124"/>
      <c r="D59" s="566">
        <f t="shared" ref="D59:K59" si="24">D12-D53</f>
        <v>-67842.919490402564</v>
      </c>
      <c r="E59" s="566">
        <f t="shared" si="24"/>
        <v>12326.583662337216</v>
      </c>
      <c r="F59" s="566">
        <f t="shared" si="24"/>
        <v>2.9103830456733729E-12</v>
      </c>
      <c r="G59" s="566">
        <f t="shared" si="24"/>
        <v>5709.3804305286903</v>
      </c>
      <c r="H59" s="566">
        <f t="shared" si="24"/>
        <v>9242.9066536844184</v>
      </c>
      <c r="I59" s="566">
        <f t="shared" si="24"/>
        <v>10158.403416713205</v>
      </c>
      <c r="J59" s="566">
        <f t="shared" si="24"/>
        <v>11101.365082632867</v>
      </c>
      <c r="K59" s="566">
        <f t="shared" si="24"/>
        <v>798076.68343788618</v>
      </c>
    </row>
    <row r="60" spans="1:11" x14ac:dyDescent="0.2">
      <c r="A60" s="275"/>
      <c r="B60" s="124"/>
      <c r="C60" s="124"/>
      <c r="D60" s="124"/>
      <c r="E60" s="124"/>
      <c r="F60" s="124"/>
      <c r="G60" s="124"/>
      <c r="H60" s="124"/>
      <c r="I60" s="124"/>
      <c r="J60" s="124"/>
      <c r="K60" s="124"/>
    </row>
    <row r="61" spans="1:11" x14ac:dyDescent="0.2">
      <c r="A61" s="275">
        <v>45</v>
      </c>
      <c r="B61" s="130" t="s">
        <v>14</v>
      </c>
      <c r="C61" s="130"/>
      <c r="D61" s="136">
        <f>IRR(D59:K59)</f>
        <v>0.47252833059490396</v>
      </c>
      <c r="E61" s="124"/>
      <c r="F61" s="124"/>
      <c r="G61" s="124"/>
      <c r="H61" s="124"/>
      <c r="I61" s="124"/>
      <c r="J61" s="124"/>
      <c r="K61" s="124"/>
    </row>
    <row r="62" spans="1:11" x14ac:dyDescent="0.2">
      <c r="A62" s="275">
        <v>46</v>
      </c>
      <c r="B62" s="137" t="s">
        <v>170</v>
      </c>
      <c r="C62" s="137"/>
      <c r="D62" s="563">
        <f>D59+NPV(0.15,E59:K59)</f>
        <v>261791.05542714306</v>
      </c>
      <c r="E62" s="138"/>
      <c r="F62" s="138"/>
      <c r="G62" s="138"/>
      <c r="H62" s="138"/>
      <c r="I62" s="138"/>
      <c r="J62" s="138"/>
      <c r="K62" s="138"/>
    </row>
    <row r="63" spans="1:11" x14ac:dyDescent="0.2">
      <c r="A63" s="275"/>
      <c r="B63" s="138"/>
      <c r="C63" s="138"/>
      <c r="D63" s="138"/>
      <c r="E63" s="138"/>
      <c r="F63" s="138"/>
      <c r="G63" s="138"/>
      <c r="H63" s="138"/>
      <c r="I63" s="138"/>
      <c r="J63" s="138"/>
      <c r="K63" s="138"/>
    </row>
    <row r="64" spans="1:11" x14ac:dyDescent="0.2">
      <c r="A64" s="275"/>
      <c r="B64" s="57"/>
      <c r="C64" s="57"/>
      <c r="D64" s="57"/>
      <c r="E64" s="57"/>
      <c r="F64" s="57"/>
      <c r="G64" s="57"/>
      <c r="H64" s="57"/>
      <c r="I64" s="57"/>
      <c r="J64" s="57"/>
      <c r="K64" s="57"/>
    </row>
    <row r="65" spans="1:11" x14ac:dyDescent="0.2">
      <c r="A65" s="275"/>
      <c r="B65" s="642" t="s">
        <v>447</v>
      </c>
    </row>
    <row r="66" spans="1:11" x14ac:dyDescent="0.2">
      <c r="A66" s="275"/>
    </row>
    <row r="67" spans="1:11" x14ac:dyDescent="0.2">
      <c r="A67" s="275"/>
      <c r="B67" s="804" t="s">
        <v>448</v>
      </c>
      <c r="C67" s="804"/>
      <c r="D67" s="804"/>
      <c r="E67" s="804"/>
      <c r="F67" s="804"/>
      <c r="G67" s="804"/>
      <c r="H67" s="804"/>
      <c r="I67" s="804"/>
      <c r="J67" s="804"/>
      <c r="K67" s="804"/>
    </row>
    <row r="68" spans="1:11" x14ac:dyDescent="0.2">
      <c r="A68" s="275"/>
      <c r="B68" s="804"/>
      <c r="C68" s="804"/>
      <c r="D68" s="804"/>
      <c r="E68" s="804"/>
      <c r="F68" s="804"/>
      <c r="G68" s="804"/>
      <c r="H68" s="804"/>
      <c r="I68" s="804"/>
      <c r="J68" s="804"/>
      <c r="K68" s="804"/>
    </row>
    <row r="69" spans="1:11" x14ac:dyDescent="0.2">
      <c r="B69" s="804"/>
      <c r="C69" s="804"/>
      <c r="D69" s="804"/>
      <c r="E69" s="804"/>
      <c r="F69" s="804"/>
      <c r="G69" s="804"/>
      <c r="H69" s="804"/>
      <c r="I69" s="804"/>
      <c r="J69" s="804"/>
      <c r="K69" s="804"/>
    </row>
    <row r="74" spans="1:11" x14ac:dyDescent="0.2">
      <c r="B74" s="712"/>
    </row>
  </sheetData>
  <mergeCells count="1">
    <mergeCell ref="B67:K69"/>
  </mergeCells>
  <phoneticPr fontId="0" type="noConversion"/>
  <pageMargins left="0.75" right="0.75" top="1" bottom="1" header="0.5" footer="0.5"/>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C34" sqref="C34"/>
    </sheetView>
  </sheetViews>
  <sheetFormatPr defaultRowHeight="12.75" x14ac:dyDescent="0.2"/>
  <cols>
    <col min="1" max="1" width="35.7109375" customWidth="1"/>
    <col min="2" max="5" width="10.7109375" customWidth="1"/>
    <col min="6" max="6" width="12.7109375" customWidth="1"/>
    <col min="7" max="7" width="10.7109375" customWidth="1"/>
    <col min="8" max="9" width="3.7109375" customWidth="1"/>
  </cols>
  <sheetData>
    <row r="1" spans="1:15" ht="31.5" x14ac:dyDescent="0.25">
      <c r="A1" s="697" t="s">
        <v>15</v>
      </c>
      <c r="B1" s="2"/>
      <c r="C1" s="2"/>
      <c r="D1" s="2"/>
      <c r="E1" s="2"/>
      <c r="F1" s="2"/>
      <c r="G1" s="2"/>
    </row>
    <row r="2" spans="1:15" ht="12.75" customHeight="1" x14ac:dyDescent="0.25">
      <c r="A2" s="3"/>
      <c r="B2" s="3"/>
      <c r="C2" s="3"/>
      <c r="D2" s="3"/>
      <c r="E2" s="3"/>
      <c r="F2" s="3"/>
      <c r="G2" s="3"/>
    </row>
    <row r="3" spans="1:15" ht="38.25" x14ac:dyDescent="0.2">
      <c r="A3" s="703" t="s">
        <v>208</v>
      </c>
      <c r="B3" s="754" t="s">
        <v>58</v>
      </c>
      <c r="C3" s="754" t="s">
        <v>291</v>
      </c>
      <c r="D3" s="754" t="s">
        <v>292</v>
      </c>
      <c r="E3" s="754" t="s">
        <v>293</v>
      </c>
      <c r="F3" s="754" t="s">
        <v>75</v>
      </c>
      <c r="G3" s="755" t="s">
        <v>215</v>
      </c>
      <c r="J3" s="274"/>
    </row>
    <row r="4" spans="1:15" x14ac:dyDescent="0.2">
      <c r="A4" s="5"/>
      <c r="B4" s="271"/>
      <c r="C4" s="5"/>
      <c r="D4" s="5"/>
      <c r="E4" s="5"/>
      <c r="F4" s="5"/>
      <c r="G4" s="5"/>
    </row>
    <row r="5" spans="1:15" x14ac:dyDescent="0.2">
      <c r="A5" s="284" t="s">
        <v>199</v>
      </c>
      <c r="B5" s="272">
        <v>10</v>
      </c>
      <c r="C5" s="237">
        <v>1.125</v>
      </c>
      <c r="D5" s="236">
        <v>800</v>
      </c>
      <c r="E5" s="236">
        <f>B5*D5</f>
        <v>8000</v>
      </c>
      <c r="F5" s="238">
        <f>C5*D5</f>
        <v>900</v>
      </c>
      <c r="G5" s="238">
        <f>F5*B5*12</f>
        <v>108000</v>
      </c>
      <c r="H5" s="105"/>
      <c r="I5" s="105"/>
    </row>
    <row r="6" spans="1:15" x14ac:dyDescent="0.2">
      <c r="A6" s="284" t="s">
        <v>203</v>
      </c>
      <c r="B6" s="272">
        <v>27</v>
      </c>
      <c r="C6" s="237">
        <v>1.1017441860465116</v>
      </c>
      <c r="D6" s="236">
        <v>955.55556000000001</v>
      </c>
      <c r="E6" s="236">
        <f>B6*D6</f>
        <v>25800.000120000001</v>
      </c>
      <c r="F6" s="238">
        <f>C6*D6</f>
        <v>1052.7777826744186</v>
      </c>
      <c r="G6" s="238">
        <f>F6*B6*12</f>
        <v>341100.00158651161</v>
      </c>
      <c r="H6" s="105"/>
      <c r="I6" s="105"/>
    </row>
    <row r="7" spans="1:15" x14ac:dyDescent="0.2">
      <c r="A7" s="284" t="s">
        <v>202</v>
      </c>
      <c r="B7" s="272">
        <v>8</v>
      </c>
      <c r="C7" s="237">
        <v>1.0274725274725274</v>
      </c>
      <c r="D7" s="236">
        <v>1137.5</v>
      </c>
      <c r="E7" s="236">
        <f>B7*D7</f>
        <v>9100</v>
      </c>
      <c r="F7" s="238">
        <f>C7*D7</f>
        <v>1168.75</v>
      </c>
      <c r="G7" s="238">
        <f>F7*B7*12</f>
        <v>112200</v>
      </c>
      <c r="H7" s="105"/>
      <c r="I7" s="105"/>
    </row>
    <row r="8" spans="1:15" x14ac:dyDescent="0.2">
      <c r="A8" s="284" t="s">
        <v>201</v>
      </c>
      <c r="B8" s="272">
        <v>6</v>
      </c>
      <c r="C8" s="237">
        <v>1.2068965517241379</v>
      </c>
      <c r="D8" s="236">
        <v>1450</v>
      </c>
      <c r="E8" s="236">
        <f>B8*D8</f>
        <v>8700</v>
      </c>
      <c r="F8" s="238">
        <f>C8*D8</f>
        <v>1750</v>
      </c>
      <c r="G8" s="238">
        <f>F8*B8*12</f>
        <v>126000</v>
      </c>
      <c r="H8" s="105"/>
      <c r="I8" s="105"/>
    </row>
    <row r="9" spans="1:15" x14ac:dyDescent="0.2">
      <c r="A9" s="284" t="s">
        <v>200</v>
      </c>
      <c r="B9" s="272">
        <v>2</v>
      </c>
      <c r="C9" s="237">
        <v>1.0183673469387755</v>
      </c>
      <c r="D9" s="236">
        <v>2450</v>
      </c>
      <c r="E9" s="236">
        <f>B9*D9</f>
        <v>4900</v>
      </c>
      <c r="F9" s="238">
        <f>C9*D9</f>
        <v>2495</v>
      </c>
      <c r="G9" s="238">
        <f>F9*B9*12</f>
        <v>59880</v>
      </c>
      <c r="H9" s="105"/>
      <c r="I9" s="105"/>
      <c r="K9" s="275"/>
      <c r="L9" s="275"/>
      <c r="M9" s="275"/>
      <c r="N9" s="275"/>
    </row>
    <row r="10" spans="1:15" x14ac:dyDescent="0.2">
      <c r="A10" s="239" t="s">
        <v>57</v>
      </c>
      <c r="B10" s="241" t="s">
        <v>59</v>
      </c>
      <c r="C10" s="240" t="s">
        <v>57</v>
      </c>
      <c r="D10" s="239" t="s">
        <v>57</v>
      </c>
      <c r="E10" s="241"/>
      <c r="F10" s="243"/>
      <c r="G10" s="243"/>
      <c r="H10" s="105"/>
      <c r="I10" s="105"/>
      <c r="J10" s="275"/>
    </row>
    <row r="11" spans="1:15" x14ac:dyDescent="0.2">
      <c r="A11" s="235" t="s">
        <v>212</v>
      </c>
      <c r="B11" s="272">
        <f>SUM(B5:B10)</f>
        <v>53</v>
      </c>
      <c r="C11" s="244">
        <f>G11/E11/12</f>
        <v>1.1020353982294699</v>
      </c>
      <c r="D11" s="236">
        <f>E11/B11</f>
        <v>1066.0377381132075</v>
      </c>
      <c r="E11" s="236">
        <f>SUM(E5:E10)</f>
        <v>56500.000119999997</v>
      </c>
      <c r="F11" s="286">
        <f>G11/B11/12</f>
        <v>1174.8113232492321</v>
      </c>
      <c r="G11" s="245">
        <f>SUM(G5:G10)</f>
        <v>747180.00158651161</v>
      </c>
      <c r="H11" s="105"/>
      <c r="I11" s="105"/>
      <c r="J11" s="275"/>
    </row>
    <row r="12" spans="1:15" x14ac:dyDescent="0.2">
      <c r="H12" s="105"/>
      <c r="I12" s="105"/>
      <c r="J12" s="275"/>
    </row>
    <row r="13" spans="1:15" x14ac:dyDescent="0.2">
      <c r="A13" s="284" t="s">
        <v>223</v>
      </c>
      <c r="B13" s="272">
        <f t="shared" ref="B13:G13" si="0">B28</f>
        <v>4</v>
      </c>
      <c r="C13" s="244">
        <f t="shared" si="0"/>
        <v>1.3084858044164038</v>
      </c>
      <c r="D13" s="236">
        <f t="shared" si="0"/>
        <v>1981.25</v>
      </c>
      <c r="E13" s="236">
        <f t="shared" si="0"/>
        <v>7925</v>
      </c>
      <c r="F13" s="286">
        <f t="shared" si="0"/>
        <v>2592.4375</v>
      </c>
      <c r="G13" s="245">
        <f t="shared" si="0"/>
        <v>124437</v>
      </c>
      <c r="J13" s="275"/>
      <c r="K13" s="275"/>
      <c r="O13" s="275"/>
    </row>
    <row r="14" spans="1:15" ht="14.25" x14ac:dyDescent="0.2">
      <c r="A14" s="284" t="s">
        <v>450</v>
      </c>
      <c r="B14" s="272"/>
      <c r="C14" s="244"/>
      <c r="D14" s="236"/>
      <c r="E14" s="236"/>
      <c r="F14" s="286"/>
      <c r="G14" s="245">
        <v>18300</v>
      </c>
      <c r="H14" s="105"/>
      <c r="I14" s="105"/>
    </row>
    <row r="15" spans="1:15" ht="14.25" x14ac:dyDescent="0.2">
      <c r="A15" s="285" t="s">
        <v>294</v>
      </c>
      <c r="B15" s="273"/>
      <c r="C15" s="248"/>
      <c r="D15" s="248"/>
      <c r="E15" s="248"/>
      <c r="F15" s="287"/>
      <c r="G15" s="246">
        <v>2400</v>
      </c>
      <c r="H15" s="105"/>
      <c r="I15" s="105"/>
    </row>
    <row r="16" spans="1:15" x14ac:dyDescent="0.2">
      <c r="A16" s="247" t="s">
        <v>213</v>
      </c>
      <c r="B16" s="272">
        <f>SUM(B11:B15)</f>
        <v>57</v>
      </c>
      <c r="C16" s="244">
        <f>G16/E16/12</f>
        <v>1.1542064415010405</v>
      </c>
      <c r="D16" s="236">
        <f>E16/B16</f>
        <v>1130.26316</v>
      </c>
      <c r="E16" s="236">
        <f>SUM(E11:E15)</f>
        <v>64425.000119999997</v>
      </c>
      <c r="F16" s="286">
        <f>SUM(F11:F15)</f>
        <v>3767.2488232492324</v>
      </c>
      <c r="G16" s="245">
        <f>SUM(G11:G15)</f>
        <v>892317.00158651161</v>
      </c>
    </row>
    <row r="23" spans="1:10" ht="38.25" x14ac:dyDescent="0.2">
      <c r="A23" s="703" t="s">
        <v>209</v>
      </c>
      <c r="B23" s="704" t="s">
        <v>58</v>
      </c>
      <c r="C23" s="704" t="s">
        <v>291</v>
      </c>
      <c r="D23" s="704" t="s">
        <v>292</v>
      </c>
      <c r="E23" s="704" t="s">
        <v>293</v>
      </c>
      <c r="F23" s="704" t="s">
        <v>75</v>
      </c>
      <c r="G23" s="705" t="s">
        <v>215</v>
      </c>
    </row>
    <row r="24" spans="1:10" x14ac:dyDescent="0.2">
      <c r="A24" s="5"/>
      <c r="B24" s="271"/>
      <c r="C24" s="5"/>
      <c r="D24" s="5"/>
      <c r="E24" s="5"/>
      <c r="F24" s="5"/>
      <c r="G24" s="5"/>
    </row>
    <row r="25" spans="1:10" x14ac:dyDescent="0.2">
      <c r="A25" s="284" t="s">
        <v>210</v>
      </c>
      <c r="B25" s="272">
        <v>3</v>
      </c>
      <c r="C25" s="237">
        <f>15/12</f>
        <v>1.25</v>
      </c>
      <c r="D25" s="236">
        <f>6998/3</f>
        <v>2332.6666666666665</v>
      </c>
      <c r="E25" s="236">
        <f>B25*D25</f>
        <v>6998</v>
      </c>
      <c r="F25" s="238">
        <f>C25*D25</f>
        <v>2915.833333333333</v>
      </c>
      <c r="G25" s="238">
        <f>F25*B25*12</f>
        <v>104970</v>
      </c>
    </row>
    <row r="26" spans="1:10" x14ac:dyDescent="0.2">
      <c r="A26" s="284" t="s">
        <v>207</v>
      </c>
      <c r="B26" s="272">
        <v>1</v>
      </c>
      <c r="C26" s="237">
        <f>21/12</f>
        <v>1.75</v>
      </c>
      <c r="D26" s="236">
        <v>927</v>
      </c>
      <c r="E26" s="236">
        <f>B26*D26</f>
        <v>927</v>
      </c>
      <c r="F26" s="238">
        <f>C26*D26</f>
        <v>1622.25</v>
      </c>
      <c r="G26" s="238">
        <f>F26*B26*12</f>
        <v>19467</v>
      </c>
    </row>
    <row r="27" spans="1:10" x14ac:dyDescent="0.2">
      <c r="A27" s="239" t="s">
        <v>57</v>
      </c>
      <c r="B27" s="241" t="s">
        <v>59</v>
      </c>
      <c r="C27" s="240" t="s">
        <v>57</v>
      </c>
      <c r="D27" s="239" t="s">
        <v>57</v>
      </c>
      <c r="E27" s="241"/>
      <c r="F27" s="243"/>
      <c r="G27" s="243"/>
    </row>
    <row r="28" spans="1:10" x14ac:dyDescent="0.2">
      <c r="A28" s="756" t="s">
        <v>213</v>
      </c>
      <c r="B28" s="757">
        <f>SUM(B25:B27)</f>
        <v>4</v>
      </c>
      <c r="C28" s="758">
        <f>G28/E28/12</f>
        <v>1.3084858044164038</v>
      </c>
      <c r="D28" s="759">
        <f>E28/B28</f>
        <v>1981.25</v>
      </c>
      <c r="E28" s="759">
        <f>SUM(E25:E27)</f>
        <v>7925</v>
      </c>
      <c r="F28" s="760">
        <f>G28/B28/12</f>
        <v>2592.4375</v>
      </c>
      <c r="G28" s="761">
        <f>SUM(G25:G27)</f>
        <v>124437</v>
      </c>
    </row>
    <row r="30" spans="1:10" ht="38.25" x14ac:dyDescent="0.2">
      <c r="A30" s="703" t="s">
        <v>211</v>
      </c>
      <c r="B30" s="704" t="s">
        <v>58</v>
      </c>
      <c r="C30" s="704" t="s">
        <v>295</v>
      </c>
      <c r="D30" s="704" t="s">
        <v>292</v>
      </c>
      <c r="E30" s="704" t="s">
        <v>293</v>
      </c>
      <c r="F30" s="704" t="s">
        <v>214</v>
      </c>
      <c r="G30" s="705" t="s">
        <v>216</v>
      </c>
    </row>
    <row r="31" spans="1:10" x14ac:dyDescent="0.2">
      <c r="A31" s="5"/>
      <c r="B31" s="271"/>
      <c r="C31" s="5"/>
      <c r="D31" s="5"/>
      <c r="E31" s="5"/>
      <c r="F31" s="5"/>
      <c r="G31" s="5"/>
    </row>
    <row r="32" spans="1:10" x14ac:dyDescent="0.2">
      <c r="A32" s="284" t="s">
        <v>211</v>
      </c>
      <c r="B32" s="272">
        <v>3</v>
      </c>
      <c r="C32" s="237">
        <f>325000/2000</f>
        <v>162.5</v>
      </c>
      <c r="D32" s="236">
        <v>2000</v>
      </c>
      <c r="E32" s="236">
        <f>B32*D32</f>
        <v>6000</v>
      </c>
      <c r="F32" s="238">
        <f>C32*D32</f>
        <v>325000</v>
      </c>
      <c r="G32" s="238">
        <f>F32*B32</f>
        <v>975000</v>
      </c>
      <c r="J32" s="51"/>
    </row>
    <row r="33" spans="1:7" x14ac:dyDescent="0.2">
      <c r="A33" s="239" t="s">
        <v>57</v>
      </c>
      <c r="B33" s="241" t="s">
        <v>59</v>
      </c>
      <c r="C33" s="240" t="s">
        <v>57</v>
      </c>
      <c r="D33" s="239" t="s">
        <v>57</v>
      </c>
      <c r="E33" s="241"/>
      <c r="F33" s="242"/>
      <c r="G33" s="243"/>
    </row>
    <row r="34" spans="1:7" x14ac:dyDescent="0.2">
      <c r="A34" s="235" t="s">
        <v>5</v>
      </c>
      <c r="B34" s="272">
        <f>SUM(B32:B33)</f>
        <v>3</v>
      </c>
      <c r="C34" s="244">
        <f>G34/E34</f>
        <v>162.5</v>
      </c>
      <c r="D34" s="236">
        <f>E34/B34</f>
        <v>2000</v>
      </c>
      <c r="E34" s="236">
        <f>SUM(E32:E33)</f>
        <v>6000</v>
      </c>
      <c r="F34" s="286">
        <f>G34/B34</f>
        <v>325000</v>
      </c>
      <c r="G34" s="245">
        <f>SUM(G32:G33)</f>
        <v>975000</v>
      </c>
    </row>
    <row r="38" spans="1:7" x14ac:dyDescent="0.2">
      <c r="A38" s="804" t="s">
        <v>423</v>
      </c>
      <c r="B38" s="805"/>
      <c r="C38" s="805"/>
      <c r="D38" s="805"/>
      <c r="E38" s="805"/>
      <c r="F38" s="805"/>
      <c r="G38" s="805"/>
    </row>
    <row r="39" spans="1:7" x14ac:dyDescent="0.2">
      <c r="A39" s="805"/>
      <c r="B39" s="805"/>
      <c r="C39" s="805"/>
      <c r="D39" s="805"/>
      <c r="E39" s="805"/>
      <c r="F39" s="805"/>
      <c r="G39" s="805"/>
    </row>
    <row r="40" spans="1:7" x14ac:dyDescent="0.2">
      <c r="A40" s="167"/>
      <c r="B40" s="167"/>
      <c r="C40" s="167"/>
      <c r="D40" s="167"/>
      <c r="E40" s="167"/>
      <c r="F40" s="167"/>
      <c r="G40" s="167"/>
    </row>
    <row r="41" spans="1:7" x14ac:dyDescent="0.2">
      <c r="A41" s="804" t="s">
        <v>424</v>
      </c>
      <c r="B41" s="805"/>
      <c r="C41" s="805"/>
      <c r="D41" s="805"/>
      <c r="E41" s="805"/>
      <c r="F41" s="805"/>
      <c r="G41" s="805"/>
    </row>
    <row r="42" spans="1:7" x14ac:dyDescent="0.2">
      <c r="A42" s="805"/>
      <c r="B42" s="805"/>
      <c r="C42" s="805"/>
      <c r="D42" s="805"/>
      <c r="E42" s="805"/>
      <c r="F42" s="805"/>
      <c r="G42" s="805"/>
    </row>
    <row r="43" spans="1:7" x14ac:dyDescent="0.2">
      <c r="A43" s="805"/>
      <c r="B43" s="805"/>
      <c r="C43" s="805"/>
      <c r="D43" s="805"/>
      <c r="E43" s="805"/>
      <c r="F43" s="805"/>
      <c r="G43" s="805"/>
    </row>
    <row r="44" spans="1:7" x14ac:dyDescent="0.2">
      <c r="A44" s="805"/>
      <c r="B44" s="805"/>
      <c r="C44" s="805"/>
      <c r="D44" s="805"/>
      <c r="E44" s="805"/>
      <c r="F44" s="805"/>
      <c r="G44" s="805"/>
    </row>
  </sheetData>
  <mergeCells count="2">
    <mergeCell ref="A38:G39"/>
    <mergeCell ref="A41:G44"/>
  </mergeCells>
  <phoneticPr fontId="0" type="noConversion"/>
  <pageMargins left="0.75" right="0.75" top="1" bottom="1" header="0.5" footer="0.5"/>
  <pageSetup scale="84"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0" sqref="A30:D33"/>
    </sheetView>
  </sheetViews>
  <sheetFormatPr defaultRowHeight="12.75" x14ac:dyDescent="0.2"/>
  <cols>
    <col min="1" max="1" width="27" style="167" customWidth="1"/>
    <col min="2" max="2" width="8.7109375" customWidth="1"/>
    <col min="3" max="3" width="26.5703125" customWidth="1"/>
    <col min="4" max="4" width="11.7109375" customWidth="1"/>
    <col min="5" max="6" width="3.7109375" customWidth="1"/>
    <col min="7" max="7" width="9.7109375" bestFit="1" customWidth="1"/>
  </cols>
  <sheetData>
    <row r="1" spans="1:4" ht="39.75" customHeight="1" x14ac:dyDescent="0.35">
      <c r="A1" s="641" t="s">
        <v>196</v>
      </c>
      <c r="B1" s="640"/>
      <c r="C1" s="640"/>
      <c r="D1" s="7"/>
    </row>
    <row r="2" spans="1:4" x14ac:dyDescent="0.2">
      <c r="A2" s="158"/>
      <c r="B2" s="8"/>
      <c r="C2" s="8"/>
      <c r="D2" s="8"/>
    </row>
    <row r="3" spans="1:4" ht="38.25" x14ac:dyDescent="0.2">
      <c r="A3" s="159"/>
      <c r="B3" s="704" t="s">
        <v>56</v>
      </c>
      <c r="C3" s="4"/>
      <c r="D3" s="704" t="s">
        <v>60</v>
      </c>
    </row>
    <row r="4" spans="1:4" x14ac:dyDescent="0.2">
      <c r="A4" s="160" t="s">
        <v>236</v>
      </c>
      <c r="B4" s="106"/>
      <c r="C4" s="106"/>
      <c r="D4" s="106"/>
    </row>
    <row r="5" spans="1:4" ht="15.75" x14ac:dyDescent="0.2">
      <c r="A5" s="161" t="s">
        <v>298</v>
      </c>
      <c r="B5" s="107"/>
      <c r="C5" s="108"/>
      <c r="D5" s="149">
        <f>'4-3a-Stage 1a Rents &amp; Sales'!G16</f>
        <v>892317.00158651161</v>
      </c>
    </row>
    <row r="6" spans="1:4" x14ac:dyDescent="0.2">
      <c r="A6" s="713" t="s">
        <v>61</v>
      </c>
      <c r="B6" s="708">
        <v>0.05</v>
      </c>
      <c r="C6" s="362"/>
      <c r="D6" s="714">
        <f>-D5*B6</f>
        <v>-44615.850079325581</v>
      </c>
    </row>
    <row r="7" spans="1:4" x14ac:dyDescent="0.2">
      <c r="A7" s="715" t="s">
        <v>219</v>
      </c>
      <c r="B7" s="709">
        <v>5.0000000000000001E-3</v>
      </c>
      <c r="C7" s="363"/>
      <c r="D7" s="716">
        <f>-B7*D5</f>
        <v>-4461.5850079325583</v>
      </c>
    </row>
    <row r="8" spans="1:4" x14ac:dyDescent="0.2">
      <c r="A8" s="164" t="s">
        <v>217</v>
      </c>
      <c r="B8" s="114"/>
      <c r="C8" s="115"/>
      <c r="D8" s="116">
        <f>SUM(D5:D7)</f>
        <v>843239.5664992535</v>
      </c>
    </row>
    <row r="9" spans="1:4" x14ac:dyDescent="0.2">
      <c r="A9" s="161" t="s">
        <v>57</v>
      </c>
      <c r="B9" s="111"/>
      <c r="C9" s="108"/>
      <c r="D9" s="109"/>
    </row>
    <row r="10" spans="1:4" x14ac:dyDescent="0.2">
      <c r="A10" s="165"/>
      <c r="B10" s="111"/>
      <c r="C10" s="107"/>
      <c r="D10" s="109"/>
    </row>
    <row r="11" spans="1:4" ht="15.75" x14ac:dyDescent="0.2">
      <c r="A11" s="164" t="s">
        <v>299</v>
      </c>
      <c r="B11" s="117"/>
      <c r="C11" s="118"/>
      <c r="D11" s="109"/>
    </row>
    <row r="12" spans="1:4" x14ac:dyDescent="0.2">
      <c r="A12" s="162" t="s">
        <v>180</v>
      </c>
      <c r="B12" s="110">
        <v>0.03</v>
      </c>
      <c r="C12" s="108" t="s">
        <v>218</v>
      </c>
      <c r="D12" s="109">
        <f>B12*D8</f>
        <v>25297.186994977605</v>
      </c>
    </row>
    <row r="13" spans="1:4" ht="12.75" customHeight="1" x14ac:dyDescent="0.2">
      <c r="A13" s="162" t="s">
        <v>449</v>
      </c>
      <c r="B13" s="168">
        <v>1950</v>
      </c>
      <c r="C13" s="108" t="s">
        <v>76</v>
      </c>
      <c r="D13" s="109">
        <f>B13*'4-3a-Stage 1a Rents &amp; Sales'!B11</f>
        <v>103350</v>
      </c>
    </row>
    <row r="14" spans="1:4" x14ac:dyDescent="0.2">
      <c r="A14" s="161" t="s">
        <v>62</v>
      </c>
      <c r="B14" s="110">
        <v>1.3636363636363625E-2</v>
      </c>
      <c r="C14" s="119" t="s">
        <v>220</v>
      </c>
      <c r="D14" s="292">
        <f>B14*9900000</f>
        <v>134999.99999999988</v>
      </c>
    </row>
    <row r="15" spans="1:4" x14ac:dyDescent="0.2">
      <c r="A15" s="161" t="s">
        <v>63</v>
      </c>
      <c r="B15" s="109">
        <v>400</v>
      </c>
      <c r="C15" s="119" t="s">
        <v>76</v>
      </c>
      <c r="D15" s="109">
        <f>B15*'4-3a-Stage 1a Rents &amp; Sales'!B11</f>
        <v>21200</v>
      </c>
    </row>
    <row r="16" spans="1:4" x14ac:dyDescent="0.2">
      <c r="A16" s="298" t="s">
        <v>204</v>
      </c>
      <c r="B16" s="290">
        <v>500</v>
      </c>
      <c r="C16" s="289" t="s">
        <v>76</v>
      </c>
      <c r="D16" s="290">
        <f>B16*'4-3a-Stage 1a Rents &amp; Sales'!B11</f>
        <v>26500</v>
      </c>
    </row>
    <row r="17" spans="1:16" x14ac:dyDescent="0.2">
      <c r="A17" s="163" t="s">
        <v>224</v>
      </c>
      <c r="B17" s="120">
        <v>150</v>
      </c>
      <c r="C17" s="113" t="s">
        <v>76</v>
      </c>
      <c r="D17" s="120">
        <f>B17*'4-3a-Stage 1a Rents &amp; Sales'!B11</f>
        <v>7950</v>
      </c>
    </row>
    <row r="18" spans="1:16" x14ac:dyDescent="0.2">
      <c r="A18" s="164" t="s">
        <v>64</v>
      </c>
      <c r="B18" s="114"/>
      <c r="C18" s="115"/>
      <c r="D18" s="116">
        <f>SUM(D12:D17)</f>
        <v>319297.18699497747</v>
      </c>
    </row>
    <row r="19" spans="1:16" x14ac:dyDescent="0.2">
      <c r="A19" s="163"/>
      <c r="B19" s="112"/>
      <c r="C19" s="113"/>
      <c r="D19" s="112"/>
      <c r="H19" s="169"/>
    </row>
    <row r="20" spans="1:16" x14ac:dyDescent="0.2">
      <c r="A20" s="164" t="s">
        <v>65</v>
      </c>
      <c r="B20" s="121"/>
      <c r="C20" s="115"/>
      <c r="D20" s="122">
        <f>D8-D18</f>
        <v>523942.37950427603</v>
      </c>
    </row>
    <row r="21" spans="1:16" x14ac:dyDescent="0.2">
      <c r="A21" s="165"/>
      <c r="B21" s="105"/>
      <c r="C21" s="105"/>
      <c r="D21" s="105"/>
      <c r="P21" s="51"/>
    </row>
    <row r="22" spans="1:16" x14ac:dyDescent="0.2">
      <c r="A22" s="165"/>
      <c r="B22" s="105"/>
      <c r="C22" s="105"/>
      <c r="D22" s="105"/>
    </row>
    <row r="25" spans="1:16" x14ac:dyDescent="0.2">
      <c r="A25" s="166"/>
      <c r="B25" s="151" t="s">
        <v>172</v>
      </c>
    </row>
    <row r="27" spans="1:16" s="288" customFormat="1" x14ac:dyDescent="0.2">
      <c r="A27" s="804" t="s">
        <v>297</v>
      </c>
      <c r="B27" s="805"/>
      <c r="C27" s="805"/>
      <c r="D27" s="805"/>
    </row>
    <row r="28" spans="1:16" s="288" customFormat="1" x14ac:dyDescent="0.2">
      <c r="A28" s="805"/>
      <c r="B28" s="805"/>
      <c r="C28" s="805"/>
      <c r="D28" s="805"/>
    </row>
    <row r="29" spans="1:16" s="288" customFormat="1" x14ac:dyDescent="0.2"/>
    <row r="30" spans="1:16" s="288" customFormat="1" x14ac:dyDescent="0.2">
      <c r="A30" s="805" t="str">
        <f>"bCustomary expense items have been shown.  In the pro forma, per-unit expense items are applied against "&amp;TEXT('4-3a-Stage 1a Rents &amp; Sales'!B11,"0")&amp;" units. For expenses based on project cost, the total project cost used to estimate expenses is $9,900,000, which accounts for the apartment and retail portions only before application of any subsidies."</f>
        <v>bCustomary expense items have been shown.  In the pro forma, per-unit expense items are applied against 53 units. For expenses based on project cost, the total project cost used to estimate expenses is $9,900,000, which accounts for the apartment and retail portions only before application of any subsidies.</v>
      </c>
      <c r="B30" s="805"/>
      <c r="C30" s="805"/>
      <c r="D30" s="805"/>
    </row>
    <row r="31" spans="1:16" s="288" customFormat="1" x14ac:dyDescent="0.2">
      <c r="A31" s="805"/>
      <c r="B31" s="805"/>
      <c r="C31" s="805"/>
      <c r="D31" s="805"/>
    </row>
    <row r="32" spans="1:16" s="288" customFormat="1" x14ac:dyDescent="0.2">
      <c r="A32" s="805"/>
      <c r="B32" s="805"/>
      <c r="C32" s="805"/>
      <c r="D32" s="805"/>
    </row>
    <row r="33" spans="1:4" s="288" customFormat="1" x14ac:dyDescent="0.2">
      <c r="A33" s="805"/>
      <c r="B33" s="805"/>
      <c r="C33" s="805"/>
      <c r="D33" s="805"/>
    </row>
    <row r="34" spans="1:4" s="288" customFormat="1" x14ac:dyDescent="0.2"/>
    <row r="35" spans="1:4" ht="12.75" customHeight="1" x14ac:dyDescent="0.2">
      <c r="A35" s="706" t="s">
        <v>296</v>
      </c>
      <c r="B35" s="167"/>
      <c r="C35" s="167"/>
      <c r="D35" s="167"/>
    </row>
    <row r="37" spans="1:4" x14ac:dyDescent="0.2">
      <c r="A37" s="707"/>
    </row>
  </sheetData>
  <mergeCells count="2">
    <mergeCell ref="A27:D28"/>
    <mergeCell ref="A30:D33"/>
  </mergeCells>
  <phoneticPr fontId="0" type="noConversion"/>
  <pageMargins left="0.75" right="0.75" top="1" bottom="1" header="0.5" footer="0.5"/>
  <pageSetup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activeCell="C24" sqref="C24"/>
    </sheetView>
  </sheetViews>
  <sheetFormatPr defaultRowHeight="12.75" x14ac:dyDescent="0.2"/>
  <cols>
    <col min="1" max="1" width="47.42578125" bestFit="1" customWidth="1"/>
    <col min="2" max="2" width="15.7109375" customWidth="1"/>
    <col min="3" max="3" width="15.7109375" style="105" customWidth="1"/>
    <col min="4" max="5" width="3.7109375" customWidth="1"/>
    <col min="6" max="6" width="13.7109375" bestFit="1" customWidth="1"/>
    <col min="10" max="10" width="10.28515625" bestFit="1" customWidth="1"/>
    <col min="11" max="11" width="9.7109375" bestFit="1" customWidth="1"/>
    <col min="12" max="12" width="10" bestFit="1" customWidth="1"/>
  </cols>
  <sheetData>
    <row r="1" spans="1:12" ht="39" x14ac:dyDescent="0.35">
      <c r="A1" s="6" t="s">
        <v>197</v>
      </c>
      <c r="B1" s="7"/>
      <c r="C1" s="142"/>
    </row>
    <row r="2" spans="1:12" x14ac:dyDescent="0.2">
      <c r="A2" s="9"/>
      <c r="B2" s="9"/>
      <c r="C2" s="143"/>
    </row>
    <row r="3" spans="1:12" x14ac:dyDescent="0.2">
      <c r="A3" s="299" t="s">
        <v>4</v>
      </c>
      <c r="B3" s="9"/>
      <c r="C3" s="143"/>
    </row>
    <row r="4" spans="1:12" ht="15.75" x14ac:dyDescent="0.2">
      <c r="A4" s="300" t="s">
        <v>304</v>
      </c>
      <c r="B4" s="9"/>
      <c r="C4" s="152">
        <f>'4-3b-Stage 1b Pro Forma NOI'!D20</f>
        <v>523942.37950427603</v>
      </c>
    </row>
    <row r="5" spans="1:12" x14ac:dyDescent="0.2">
      <c r="A5" s="301" t="s">
        <v>66</v>
      </c>
      <c r="B5" s="9"/>
      <c r="C5" s="303">
        <v>0.06</v>
      </c>
    </row>
    <row r="6" spans="1:12" x14ac:dyDescent="0.2">
      <c r="A6" s="300" t="s">
        <v>3</v>
      </c>
      <c r="B6" s="9"/>
      <c r="C6" s="144">
        <f>C4/C5</f>
        <v>8732372.9917379338</v>
      </c>
    </row>
    <row r="7" spans="1:12" x14ac:dyDescent="0.2">
      <c r="A7" s="301"/>
      <c r="B7" s="9"/>
      <c r="C7" s="143"/>
    </row>
    <row r="8" spans="1:12" x14ac:dyDescent="0.2">
      <c r="A8" s="299" t="s">
        <v>67</v>
      </c>
      <c r="B8" s="9"/>
      <c r="C8" s="143"/>
    </row>
    <row r="9" spans="1:12" ht="15.75" x14ac:dyDescent="0.2">
      <c r="A9" s="300" t="s">
        <v>305</v>
      </c>
      <c r="B9" s="9"/>
      <c r="C9" s="145">
        <v>5.7500000000000002E-2</v>
      </c>
      <c r="L9" s="275"/>
    </row>
    <row r="10" spans="1:12" x14ac:dyDescent="0.2">
      <c r="A10" s="301" t="s">
        <v>69</v>
      </c>
      <c r="B10" s="9"/>
      <c r="C10" s="143">
        <v>30</v>
      </c>
      <c r="K10" s="291"/>
    </row>
    <row r="11" spans="1:12" x14ac:dyDescent="0.2">
      <c r="A11" s="301"/>
      <c r="B11" s="9"/>
      <c r="C11" s="143"/>
      <c r="K11" s="291"/>
    </row>
    <row r="12" spans="1:12" x14ac:dyDescent="0.2">
      <c r="A12" s="299" t="s">
        <v>225</v>
      </c>
      <c r="B12" s="9"/>
      <c r="C12" s="143"/>
      <c r="K12" s="291"/>
    </row>
    <row r="13" spans="1:12" ht="15.75" x14ac:dyDescent="0.2">
      <c r="A13" s="300" t="s">
        <v>306</v>
      </c>
      <c r="B13" s="9"/>
      <c r="C13" s="145">
        <v>0.75</v>
      </c>
      <c r="K13" s="291"/>
    </row>
    <row r="14" spans="1:12" x14ac:dyDescent="0.2">
      <c r="A14" s="300" t="s">
        <v>226</v>
      </c>
      <c r="B14" s="9"/>
      <c r="C14" s="144">
        <f>C6*C13</f>
        <v>6549279.7438034508</v>
      </c>
      <c r="K14" s="304"/>
    </row>
    <row r="15" spans="1:12" x14ac:dyDescent="0.2">
      <c r="A15" s="301"/>
      <c r="B15" s="9"/>
      <c r="C15" s="143"/>
      <c r="K15" s="291"/>
    </row>
    <row r="16" spans="1:12" x14ac:dyDescent="0.2">
      <c r="A16" s="299" t="s">
        <v>70</v>
      </c>
      <c r="B16" s="9"/>
      <c r="C16" s="143"/>
      <c r="K16" s="304"/>
      <c r="L16" s="57"/>
    </row>
    <row r="17" spans="1:12" x14ac:dyDescent="0.2">
      <c r="A17" s="300" t="s">
        <v>190</v>
      </c>
      <c r="B17" s="9"/>
      <c r="C17" s="143">
        <f>C4/12</f>
        <v>43661.864958689672</v>
      </c>
      <c r="K17" s="291"/>
    </row>
    <row r="18" spans="1:12" x14ac:dyDescent="0.2">
      <c r="A18" s="301" t="s">
        <v>71</v>
      </c>
      <c r="B18" s="9"/>
      <c r="C18" s="146">
        <v>1.2</v>
      </c>
      <c r="L18" s="306"/>
    </row>
    <row r="19" spans="1:12" x14ac:dyDescent="0.2">
      <c r="A19" s="301" t="s">
        <v>72</v>
      </c>
      <c r="B19" s="9"/>
      <c r="C19" s="302">
        <f>C4/C18/12</f>
        <v>36384.887465574728</v>
      </c>
      <c r="F19" s="435"/>
      <c r="L19" s="58"/>
    </row>
    <row r="20" spans="1:12" x14ac:dyDescent="0.2">
      <c r="A20" s="300" t="s">
        <v>227</v>
      </c>
      <c r="B20" s="9"/>
      <c r="C20" s="144">
        <f>PV(C9/12,C10*12,-C19)</f>
        <v>6234849.1818680372</v>
      </c>
      <c r="F20" s="435"/>
    </row>
    <row r="21" spans="1:12" x14ac:dyDescent="0.2">
      <c r="A21" s="301"/>
      <c r="B21" s="9"/>
      <c r="C21" s="143"/>
    </row>
    <row r="22" spans="1:12" x14ac:dyDescent="0.2">
      <c r="A22" s="299" t="s">
        <v>73</v>
      </c>
      <c r="B22" s="9"/>
      <c r="C22" s="143"/>
    </row>
    <row r="23" spans="1:12" ht="15.75" x14ac:dyDescent="0.2">
      <c r="A23" s="300" t="s">
        <v>307</v>
      </c>
      <c r="B23" s="9"/>
      <c r="C23" s="144">
        <f>MIN(C20,C14)</f>
        <v>6234849.1818680372</v>
      </c>
      <c r="F23" s="435"/>
    </row>
    <row r="24" spans="1:12" ht="15.75" x14ac:dyDescent="0.2">
      <c r="A24" s="717" t="s">
        <v>331</v>
      </c>
      <c r="B24" s="305"/>
      <c r="C24" s="718">
        <f>70%*'4-3a-Stage 1a Rents &amp; Sales'!G34</f>
        <v>682500</v>
      </c>
    </row>
    <row r="25" spans="1:12" x14ac:dyDescent="0.2">
      <c r="A25" s="300" t="s">
        <v>228</v>
      </c>
      <c r="B25" s="9"/>
      <c r="C25" s="144">
        <f>SUM(C23:C24)</f>
        <v>6917349.1818680372</v>
      </c>
    </row>
    <row r="30" spans="1:12" x14ac:dyDescent="0.2">
      <c r="A30" s="150"/>
      <c r="B30" s="151" t="s">
        <v>172</v>
      </c>
    </row>
    <row r="32" spans="1:12" x14ac:dyDescent="0.2">
      <c r="A32" s="804" t="s">
        <v>300</v>
      </c>
      <c r="B32" s="805"/>
      <c r="C32" s="805"/>
    </row>
    <row r="33" spans="1:3" x14ac:dyDescent="0.2">
      <c r="A33" s="805"/>
      <c r="B33" s="805"/>
      <c r="C33" s="805"/>
    </row>
    <row r="35" spans="1:3" x14ac:dyDescent="0.2">
      <c r="A35" s="804" t="s">
        <v>301</v>
      </c>
      <c r="B35" s="805"/>
      <c r="C35" s="805"/>
    </row>
    <row r="36" spans="1:3" x14ac:dyDescent="0.2">
      <c r="A36" s="805"/>
      <c r="B36" s="805"/>
      <c r="C36" s="805"/>
    </row>
    <row r="38" spans="1:3" x14ac:dyDescent="0.2">
      <c r="A38" s="804" t="s">
        <v>302</v>
      </c>
      <c r="B38" s="805"/>
      <c r="C38" s="805"/>
    </row>
    <row r="39" spans="1:3" x14ac:dyDescent="0.2">
      <c r="A39" s="805"/>
      <c r="B39" s="805"/>
      <c r="C39" s="805"/>
    </row>
    <row r="41" spans="1:3" x14ac:dyDescent="0.2">
      <c r="A41" s="804" t="s">
        <v>303</v>
      </c>
      <c r="B41" s="805"/>
      <c r="C41" s="805"/>
    </row>
    <row r="42" spans="1:3" x14ac:dyDescent="0.2">
      <c r="A42" s="805"/>
      <c r="B42" s="805"/>
      <c r="C42" s="805"/>
    </row>
  </sheetData>
  <mergeCells count="4">
    <mergeCell ref="A32:C33"/>
    <mergeCell ref="A35:C36"/>
    <mergeCell ref="A38:C39"/>
    <mergeCell ref="A41:C42"/>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A8" zoomScaleNormal="100" workbookViewId="0">
      <selection activeCell="F11" sqref="F11"/>
    </sheetView>
  </sheetViews>
  <sheetFormatPr defaultRowHeight="12.75" x14ac:dyDescent="0.2"/>
  <cols>
    <col min="1" max="1" width="4.5703125" style="172" customWidth="1"/>
    <col min="2" max="2" width="8.7109375" style="173" customWidth="1"/>
    <col min="3" max="3" width="40.7109375" style="218" customWidth="1"/>
    <col min="4" max="4" width="12.7109375" style="185" customWidth="1"/>
    <col min="5" max="5" width="15.7109375" style="184" customWidth="1"/>
    <col min="6" max="8" width="15.7109375" style="171" customWidth="1"/>
    <col min="9" max="10" width="3.7109375" style="172" customWidth="1"/>
    <col min="11" max="11" width="9.140625" style="172"/>
    <col min="12" max="12" width="10" style="172" bestFit="1" customWidth="1"/>
    <col min="13" max="13" width="15.5703125" style="172" bestFit="1" customWidth="1"/>
    <col min="14" max="14" width="14.42578125" style="172" bestFit="1" customWidth="1"/>
    <col min="15" max="15" width="11.5703125" style="172" bestFit="1" customWidth="1"/>
    <col min="16" max="16" width="9.28515625" style="172" bestFit="1" customWidth="1"/>
    <col min="17" max="17" width="9.85546875" style="172" bestFit="1" customWidth="1"/>
    <col min="18" max="18" width="11.140625" style="172" bestFit="1" customWidth="1"/>
    <col min="19" max="20" width="9.140625" style="172"/>
    <col min="21" max="21" width="9.28515625" style="172" bestFit="1" customWidth="1"/>
    <col min="22" max="22" width="9.85546875" style="172" bestFit="1" customWidth="1"/>
    <col min="23" max="23" width="11.140625" style="172" bestFit="1" customWidth="1"/>
    <col min="24" max="16384" width="9.140625" style="172"/>
  </cols>
  <sheetData>
    <row r="1" spans="1:25" ht="50.25" customHeight="1" x14ac:dyDescent="0.25">
      <c r="B1" s="807" t="s">
        <v>198</v>
      </c>
      <c r="C1" s="808"/>
      <c r="D1" s="805"/>
      <c r="E1" s="805"/>
      <c r="F1" s="805"/>
      <c r="G1" s="805"/>
      <c r="H1" s="805"/>
    </row>
    <row r="2" spans="1:25" ht="12.75" customHeight="1" x14ac:dyDescent="0.2">
      <c r="B2" s="147"/>
      <c r="C2" s="219"/>
      <c r="D2" s="186"/>
      <c r="E2" s="186"/>
      <c r="F2" s="174"/>
      <c r="G2" s="174"/>
      <c r="H2" s="174"/>
    </row>
    <row r="3" spans="1:25" s="293" customFormat="1" ht="24.95" customHeight="1" x14ac:dyDescent="0.2">
      <c r="B3" s="175"/>
      <c r="C3" s="220"/>
      <c r="D3" s="187"/>
      <c r="E3" s="710" t="s">
        <v>476</v>
      </c>
      <c r="F3" s="710" t="s">
        <v>287</v>
      </c>
      <c r="G3" s="710" t="s">
        <v>16</v>
      </c>
      <c r="H3" s="710" t="s">
        <v>32</v>
      </c>
    </row>
    <row r="4" spans="1:25" s="293" customFormat="1" ht="12.75" customHeight="1" x14ac:dyDescent="0.2">
      <c r="A4" s="642">
        <v>1</v>
      </c>
      <c r="C4" s="192" t="s">
        <v>174</v>
      </c>
      <c r="D4" s="187"/>
      <c r="E4" s="801">
        <f>F4</f>
        <v>60</v>
      </c>
      <c r="F4" s="323">
        <f>units_apt+units_retail+units_condo</f>
        <v>60</v>
      </c>
      <c r="G4" s="324">
        <f>units_apt+units_retail</f>
        <v>57</v>
      </c>
      <c r="H4" s="324">
        <f>units_condo</f>
        <v>3</v>
      </c>
    </row>
    <row r="5" spans="1:25" s="293" customFormat="1" ht="12.75" customHeight="1" x14ac:dyDescent="0.2">
      <c r="A5" s="642">
        <v>2</v>
      </c>
      <c r="C5" s="192" t="s">
        <v>478</v>
      </c>
      <c r="D5" s="187"/>
      <c r="E5" s="802">
        <v>75696</v>
      </c>
      <c r="F5" s="331">
        <f>SUM(G5:H5)</f>
        <v>70425.000119999997</v>
      </c>
      <c r="G5" s="324">
        <f>'4-3a-Stage 1a Rents &amp; Sales'!E11+'4-3a-Stage 1a Rents &amp; Sales'!E28</f>
        <v>64425.000119999997</v>
      </c>
      <c r="H5" s="324">
        <f>'4-3a-Stage 1a Rents &amp; Sales'!E34</f>
        <v>6000</v>
      </c>
    </row>
    <row r="6" spans="1:25" s="293" customFormat="1" ht="12.75" customHeight="1" x14ac:dyDescent="0.2">
      <c r="A6" s="642">
        <v>3</v>
      </c>
      <c r="C6" s="220" t="s">
        <v>24</v>
      </c>
      <c r="D6" s="187"/>
      <c r="E6" s="803"/>
      <c r="F6" s="719">
        <f>E5/$E$5</f>
        <v>1</v>
      </c>
      <c r="G6" s="719">
        <f>G5/$F$5</f>
        <v>0.91480298204080424</v>
      </c>
      <c r="H6" s="719">
        <f>H5/$F$5</f>
        <v>8.5197017959195709E-2</v>
      </c>
      <c r="I6" s="711"/>
    </row>
    <row r="7" spans="1:25" ht="12.75" customHeight="1" x14ac:dyDescent="0.2">
      <c r="A7" s="642"/>
      <c r="B7" s="176"/>
      <c r="C7" s="219"/>
      <c r="D7" s="188"/>
      <c r="E7" s="188"/>
      <c r="F7" s="177"/>
      <c r="G7" s="177"/>
      <c r="H7" s="177"/>
    </row>
    <row r="8" spans="1:25" ht="12.75" customHeight="1" x14ac:dyDescent="0.2">
      <c r="A8" s="642">
        <v>4</v>
      </c>
      <c r="B8" s="175" t="s">
        <v>310</v>
      </c>
      <c r="C8" s="219"/>
      <c r="D8" s="188"/>
      <c r="E8" s="188"/>
      <c r="F8" s="177"/>
      <c r="G8" s="177"/>
      <c r="H8" s="177"/>
      <c r="K8" s="322"/>
      <c r="P8" s="322"/>
    </row>
    <row r="9" spans="1:25" ht="12.75" customHeight="1" x14ac:dyDescent="0.2">
      <c r="A9" s="642">
        <v>5</v>
      </c>
      <c r="B9" s="176" t="s">
        <v>80</v>
      </c>
      <c r="C9" s="219"/>
      <c r="D9" s="221">
        <v>16.533238216021982</v>
      </c>
      <c r="E9" s="293" t="s">
        <v>451</v>
      </c>
      <c r="F9" s="178">
        <f>D9*E5</f>
        <v>1251500</v>
      </c>
      <c r="G9" s="178">
        <f>$F9*G$6</f>
        <v>1144875.9320240666</v>
      </c>
      <c r="H9" s="178">
        <f t="shared" ref="H9:H20" si="0">$F9*H$6</f>
        <v>106624.06797593343</v>
      </c>
    </row>
    <row r="10" spans="1:25" ht="12.75" customHeight="1" x14ac:dyDescent="0.2">
      <c r="A10" s="642">
        <v>6</v>
      </c>
      <c r="B10" s="176" t="s">
        <v>311</v>
      </c>
      <c r="C10" s="219"/>
      <c r="D10" s="325">
        <v>3.6484364604125082E-2</v>
      </c>
      <c r="E10" s="326">
        <v>12</v>
      </c>
      <c r="F10" s="177">
        <f>D10*(F9-500000)*E10/12</f>
        <v>27418</v>
      </c>
      <c r="G10" s="328">
        <f t="shared" ref="G10:G20" si="1">$F10*G$6</f>
        <v>25082.068161594769</v>
      </c>
      <c r="H10" s="328">
        <f t="shared" si="0"/>
        <v>2335.9318384052281</v>
      </c>
      <c r="K10" s="347"/>
      <c r="P10" s="347"/>
      <c r="V10" s="307"/>
      <c r="W10" s="307"/>
      <c r="X10" s="350"/>
      <c r="Y10" s="350"/>
    </row>
    <row r="11" spans="1:25" ht="12.75" customHeight="1" x14ac:dyDescent="0.2">
      <c r="A11" s="642">
        <v>7</v>
      </c>
      <c r="B11" s="176" t="s">
        <v>81</v>
      </c>
      <c r="C11" s="219"/>
      <c r="D11" s="221">
        <v>1.1731135066582119</v>
      </c>
      <c r="E11" s="293" t="s">
        <v>451</v>
      </c>
      <c r="F11" s="177">
        <f>D11*E5</f>
        <v>88800.000000000015</v>
      </c>
      <c r="G11" s="328">
        <f t="shared" si="1"/>
        <v>81234.504805223434</v>
      </c>
      <c r="H11" s="328">
        <f t="shared" si="0"/>
        <v>7565.4951947765803</v>
      </c>
      <c r="K11" s="347"/>
      <c r="P11" s="347"/>
      <c r="V11" s="307"/>
      <c r="W11" s="307"/>
      <c r="X11" s="351"/>
    </row>
    <row r="12" spans="1:25" ht="12.75" customHeight="1" x14ac:dyDescent="0.2">
      <c r="A12" s="642">
        <v>8</v>
      </c>
      <c r="B12" s="176" t="s">
        <v>33</v>
      </c>
      <c r="C12" s="219"/>
      <c r="D12" s="221">
        <v>1.4607641090678503</v>
      </c>
      <c r="E12" s="293" t="s">
        <v>451</v>
      </c>
      <c r="F12" s="177">
        <f>D12*E5</f>
        <v>110574</v>
      </c>
      <c r="G12" s="328">
        <f t="shared" si="1"/>
        <v>101153.42493617989</v>
      </c>
      <c r="H12" s="328">
        <f t="shared" si="0"/>
        <v>9420.5750638201062</v>
      </c>
      <c r="P12" s="347"/>
      <c r="V12" s="307"/>
      <c r="W12" s="307"/>
      <c r="X12" s="351"/>
    </row>
    <row r="13" spans="1:25" ht="12.75" customHeight="1" x14ac:dyDescent="0.2">
      <c r="A13" s="642">
        <v>9</v>
      </c>
      <c r="B13" s="176" t="s">
        <v>175</v>
      </c>
      <c r="C13" s="219"/>
      <c r="D13" s="221">
        <v>98.773264109067853</v>
      </c>
      <c r="E13" s="293" t="s">
        <v>452</v>
      </c>
      <c r="F13" s="177">
        <f>E5*D13</f>
        <v>7476741</v>
      </c>
      <c r="G13" s="328">
        <f t="shared" si="1"/>
        <v>6839744.962746745</v>
      </c>
      <c r="H13" s="328">
        <f t="shared" si="0"/>
        <v>636996.03725325491</v>
      </c>
      <c r="V13" s="307"/>
      <c r="W13" s="307"/>
      <c r="X13" s="351"/>
    </row>
    <row r="14" spans="1:25" ht="12.75" customHeight="1" x14ac:dyDescent="0.2">
      <c r="A14" s="642">
        <v>10</v>
      </c>
      <c r="B14" s="176" t="s">
        <v>82</v>
      </c>
      <c r="C14" s="219"/>
      <c r="D14" s="186"/>
      <c r="E14" s="186"/>
      <c r="F14" s="177"/>
      <c r="G14" s="179"/>
      <c r="H14" s="179"/>
      <c r="V14" s="307"/>
      <c r="W14" s="307"/>
      <c r="X14" s="351"/>
    </row>
    <row r="15" spans="1:25" ht="12.75" customHeight="1" x14ac:dyDescent="0.2">
      <c r="A15" s="642">
        <v>11</v>
      </c>
      <c r="B15" s="176"/>
      <c r="C15" s="219" t="s">
        <v>312</v>
      </c>
      <c r="D15" s="296">
        <v>5.0556786706935551E-2</v>
      </c>
      <c r="E15" s="186" t="s">
        <v>221</v>
      </c>
      <c r="F15" s="177">
        <f>D15*F13</f>
        <v>378000</v>
      </c>
      <c r="G15" s="328">
        <f t="shared" si="1"/>
        <v>345795.52721142402</v>
      </c>
      <c r="H15" s="328">
        <f t="shared" si="0"/>
        <v>32204.472788575978</v>
      </c>
      <c r="V15" s="307"/>
      <c r="W15" s="307"/>
      <c r="X15" s="350"/>
    </row>
    <row r="16" spans="1:25" ht="12.75" customHeight="1" x14ac:dyDescent="0.2">
      <c r="A16" s="642">
        <v>12</v>
      </c>
      <c r="B16" s="176"/>
      <c r="C16" s="295" t="s">
        <v>34</v>
      </c>
      <c r="D16" s="297">
        <v>228910</v>
      </c>
      <c r="E16" s="294" t="s">
        <v>26</v>
      </c>
      <c r="F16" s="177">
        <f>D16</f>
        <v>228910</v>
      </c>
      <c r="G16" s="328">
        <f t="shared" si="1"/>
        <v>209407.55061896049</v>
      </c>
      <c r="H16" s="328">
        <f t="shared" si="0"/>
        <v>19502.449381039489</v>
      </c>
      <c r="V16" s="307"/>
      <c r="W16" s="307"/>
    </row>
    <row r="17" spans="1:23" ht="12.75" customHeight="1" x14ac:dyDescent="0.2">
      <c r="A17" s="642">
        <v>13</v>
      </c>
      <c r="B17" s="176"/>
      <c r="C17" s="295" t="s">
        <v>222</v>
      </c>
      <c r="D17" s="297">
        <v>10883</v>
      </c>
      <c r="E17" s="294" t="s">
        <v>26</v>
      </c>
      <c r="F17" s="177">
        <f>D17</f>
        <v>10883</v>
      </c>
      <c r="G17" s="328">
        <f t="shared" si="1"/>
        <v>9955.8008535500721</v>
      </c>
      <c r="H17" s="328">
        <f t="shared" si="0"/>
        <v>927.19914644992684</v>
      </c>
      <c r="P17" s="347"/>
      <c r="V17" s="307"/>
      <c r="W17" s="307"/>
    </row>
    <row r="18" spans="1:23" ht="12.75" customHeight="1" x14ac:dyDescent="0.2">
      <c r="A18" s="642">
        <v>14</v>
      </c>
      <c r="B18" s="176"/>
      <c r="C18" s="219" t="s">
        <v>83</v>
      </c>
      <c r="D18" s="222">
        <v>1225</v>
      </c>
      <c r="E18" s="294" t="s">
        <v>25</v>
      </c>
      <c r="F18" s="177">
        <f>F4*D18</f>
        <v>73500</v>
      </c>
      <c r="G18" s="328">
        <f t="shared" si="1"/>
        <v>67238.019179999115</v>
      </c>
      <c r="H18" s="328">
        <f t="shared" si="0"/>
        <v>6261.9808200008847</v>
      </c>
      <c r="P18" s="347"/>
      <c r="V18" s="307"/>
      <c r="W18" s="307"/>
    </row>
    <row r="19" spans="1:23" ht="12.75" customHeight="1" x14ac:dyDescent="0.2">
      <c r="A19" s="642">
        <v>15</v>
      </c>
      <c r="B19" s="172"/>
      <c r="C19" s="187" t="s">
        <v>313</v>
      </c>
      <c r="D19" s="297">
        <v>50000</v>
      </c>
      <c r="E19" s="294" t="s">
        <v>26</v>
      </c>
      <c r="F19" s="177">
        <f>D19</f>
        <v>50000</v>
      </c>
      <c r="G19" s="329">
        <f t="shared" si="1"/>
        <v>45740.14910204021</v>
      </c>
      <c r="H19" s="329">
        <f t="shared" si="0"/>
        <v>4259.8508979597855</v>
      </c>
      <c r="P19" s="347"/>
      <c r="V19" s="307"/>
      <c r="W19" s="307"/>
    </row>
    <row r="20" spans="1:23" ht="12.75" customHeight="1" x14ac:dyDescent="0.2">
      <c r="A20" s="642">
        <v>16</v>
      </c>
      <c r="B20" s="172"/>
      <c r="C20" s="187" t="s">
        <v>314</v>
      </c>
      <c r="D20" s="223">
        <v>19800</v>
      </c>
      <c r="E20" s="294" t="s">
        <v>26</v>
      </c>
      <c r="F20" s="180">
        <f>D20</f>
        <v>19800</v>
      </c>
      <c r="G20" s="330">
        <f t="shared" si="1"/>
        <v>18113.099044407925</v>
      </c>
      <c r="H20" s="330">
        <f t="shared" si="0"/>
        <v>1686.900955592075</v>
      </c>
      <c r="W20" s="307"/>
    </row>
    <row r="21" spans="1:23" ht="12.75" customHeight="1" x14ac:dyDescent="0.2">
      <c r="A21" s="642">
        <v>17</v>
      </c>
      <c r="B21" s="172"/>
      <c r="C21" s="176" t="s">
        <v>177</v>
      </c>
      <c r="D21" s="224"/>
      <c r="E21" s="186"/>
      <c r="F21" s="177">
        <f>SUM(F15:F20)</f>
        <v>761093</v>
      </c>
      <c r="G21" s="328">
        <f>$F21*G$6</f>
        <v>696250.14601038187</v>
      </c>
      <c r="H21" s="328">
        <f>$F21*H$6</f>
        <v>64842.853989618139</v>
      </c>
      <c r="P21" s="347"/>
      <c r="W21" s="307"/>
    </row>
    <row r="22" spans="1:23" ht="12.75" customHeight="1" x14ac:dyDescent="0.2">
      <c r="A22" s="642"/>
      <c r="B22" s="176"/>
      <c r="C22" s="219"/>
      <c r="D22" s="225"/>
      <c r="E22" s="294"/>
      <c r="F22" s="179"/>
      <c r="G22" s="179"/>
      <c r="H22" s="179"/>
      <c r="P22" s="347"/>
      <c r="W22" s="307"/>
    </row>
    <row r="23" spans="1:23" ht="12.75" customHeight="1" x14ac:dyDescent="0.2">
      <c r="A23" s="642">
        <v>18</v>
      </c>
      <c r="B23" s="176" t="s">
        <v>84</v>
      </c>
      <c r="C23" s="219"/>
      <c r="D23" s="227">
        <v>2.819751033923204E-2</v>
      </c>
      <c r="E23" s="294" t="s">
        <v>221</v>
      </c>
      <c r="F23" s="180">
        <f>D23*F13</f>
        <v>210825.48165126011</v>
      </c>
      <c r="G23" s="330">
        <f>$F23*G$6</f>
        <v>192863.77930476161</v>
      </c>
      <c r="H23" s="330">
        <f>$F23*H$6</f>
        <v>17961.702346498492</v>
      </c>
      <c r="K23" s="347"/>
      <c r="P23" s="348"/>
      <c r="W23" s="307"/>
    </row>
    <row r="24" spans="1:23" ht="12.75" customHeight="1" x14ac:dyDescent="0.2">
      <c r="A24" s="642">
        <v>19</v>
      </c>
      <c r="B24" s="148" t="s">
        <v>315</v>
      </c>
      <c r="C24" s="192"/>
      <c r="D24" s="187"/>
      <c r="E24" s="187"/>
      <c r="F24" s="216">
        <f>SUM(F9:F13)+F21+F23</f>
        <v>9926951.4816512596</v>
      </c>
      <c r="G24" s="332">
        <f>$F24*G$6</f>
        <v>9081204.8179889526</v>
      </c>
      <c r="H24" s="332">
        <f>$F24*H$6</f>
        <v>845746.66366230685</v>
      </c>
      <c r="K24" s="347"/>
      <c r="P24" s="348"/>
      <c r="W24" s="307"/>
    </row>
    <row r="25" spans="1:23" ht="12.75" customHeight="1" x14ac:dyDescent="0.2">
      <c r="A25" s="642"/>
      <c r="B25" s="176"/>
      <c r="C25" s="192"/>
      <c r="D25" s="187"/>
      <c r="E25" s="186"/>
      <c r="F25" s="177"/>
      <c r="G25" s="177"/>
      <c r="H25" s="177"/>
      <c r="W25" s="307"/>
    </row>
    <row r="26" spans="1:23" ht="12.75" customHeight="1" x14ac:dyDescent="0.2">
      <c r="A26" s="642">
        <v>20</v>
      </c>
      <c r="B26" s="148" t="s">
        <v>316</v>
      </c>
      <c r="C26" s="219"/>
      <c r="D26" s="186"/>
      <c r="E26" s="189"/>
      <c r="F26" s="181"/>
      <c r="G26" s="181"/>
      <c r="H26" s="181"/>
      <c r="M26" s="349"/>
      <c r="W26" s="307"/>
    </row>
    <row r="27" spans="1:23" ht="12.75" customHeight="1" x14ac:dyDescent="0.2">
      <c r="A27" s="642">
        <v>21</v>
      </c>
      <c r="B27" s="176"/>
      <c r="C27" s="219" t="s">
        <v>229</v>
      </c>
      <c r="D27" s="226">
        <f>'4-3c-Stage 1c Debt Calculation'!C25</f>
        <v>6917349.1818680372</v>
      </c>
      <c r="E27" s="189"/>
      <c r="F27" s="181"/>
      <c r="G27" s="181"/>
      <c r="H27" s="181"/>
      <c r="W27" s="307"/>
    </row>
    <row r="28" spans="1:23" ht="12.75" customHeight="1" x14ac:dyDescent="0.2">
      <c r="A28" s="642">
        <v>22</v>
      </c>
      <c r="B28" s="176"/>
      <c r="C28" s="219" t="s">
        <v>85</v>
      </c>
      <c r="D28" s="227">
        <v>0.12</v>
      </c>
      <c r="E28" s="189"/>
      <c r="F28" s="181"/>
      <c r="G28" s="181"/>
      <c r="H28" s="181"/>
      <c r="W28" s="307"/>
    </row>
    <row r="29" spans="1:23" ht="12.75" customHeight="1" x14ac:dyDescent="0.2">
      <c r="A29" s="642">
        <v>23</v>
      </c>
      <c r="B29" s="176"/>
      <c r="C29" s="219" t="s">
        <v>86</v>
      </c>
      <c r="D29" s="228">
        <v>12</v>
      </c>
      <c r="E29" s="189"/>
      <c r="F29" s="181"/>
      <c r="G29" s="181"/>
      <c r="H29" s="181"/>
      <c r="W29" s="307"/>
    </row>
    <row r="30" spans="1:23" ht="12.75" customHeight="1" x14ac:dyDescent="0.2">
      <c r="A30" s="642">
        <v>24</v>
      </c>
      <c r="B30" s="176"/>
      <c r="C30" s="219" t="s">
        <v>87</v>
      </c>
      <c r="D30" s="227">
        <v>0.65</v>
      </c>
      <c r="E30" s="189"/>
      <c r="F30" s="181"/>
      <c r="G30" s="181"/>
      <c r="H30" s="181"/>
    </row>
    <row r="31" spans="1:23" ht="12.75" customHeight="1" x14ac:dyDescent="0.2">
      <c r="A31" s="642">
        <v>25</v>
      </c>
      <c r="C31" s="186" t="s">
        <v>317</v>
      </c>
      <c r="D31" s="186"/>
      <c r="E31" s="189"/>
      <c r="F31" s="327">
        <f>D27*D28*D29/12*D30</f>
        <v>539553.23618570704</v>
      </c>
      <c r="G31" s="330">
        <f>$F31*G$6</f>
        <v>493584.90943245118</v>
      </c>
      <c r="H31" s="330">
        <f>$F31*H$6</f>
        <v>45968.326753255846</v>
      </c>
    </row>
    <row r="32" spans="1:23" ht="12.75" customHeight="1" x14ac:dyDescent="0.2">
      <c r="A32" s="642">
        <v>26</v>
      </c>
      <c r="B32" s="148" t="s">
        <v>176</v>
      </c>
      <c r="C32" s="229"/>
      <c r="D32" s="230"/>
      <c r="E32" s="190"/>
      <c r="F32" s="216">
        <f>F24+F31</f>
        <v>10466504.717836967</v>
      </c>
      <c r="G32" s="332">
        <f>$F32*G$6</f>
        <v>9574789.7274214029</v>
      </c>
      <c r="H32" s="332">
        <f>$F32*H$6</f>
        <v>891714.99041556264</v>
      </c>
    </row>
    <row r="33" spans="1:23" ht="12.75" customHeight="1" x14ac:dyDescent="0.2">
      <c r="A33" s="642"/>
      <c r="B33" s="176"/>
      <c r="C33" s="219"/>
      <c r="D33" s="186"/>
      <c r="E33" s="189"/>
      <c r="F33" s="181"/>
      <c r="G33" s="181"/>
      <c r="H33" s="181"/>
    </row>
    <row r="34" spans="1:23" ht="12.75" customHeight="1" x14ac:dyDescent="0.2">
      <c r="A34" s="642">
        <v>27</v>
      </c>
      <c r="B34" s="148" t="s">
        <v>318</v>
      </c>
      <c r="C34" s="219"/>
      <c r="D34" s="186"/>
      <c r="E34" s="189"/>
      <c r="F34" s="181"/>
      <c r="G34" s="181"/>
      <c r="H34" s="181"/>
    </row>
    <row r="35" spans="1:23" ht="12.75" customHeight="1" x14ac:dyDescent="0.2">
      <c r="A35" s="642">
        <v>28</v>
      </c>
      <c r="B35" s="176"/>
      <c r="C35" s="219" t="s">
        <v>6</v>
      </c>
      <c r="D35" s="226">
        <f>'4-3b-Stage 1b Pro Forma NOI'!D5/12</f>
        <v>74359.750132209301</v>
      </c>
      <c r="E35" s="189"/>
      <c r="F35" s="181"/>
      <c r="G35" s="181"/>
      <c r="H35" s="181"/>
    </row>
    <row r="36" spans="1:23" ht="12.75" customHeight="1" x14ac:dyDescent="0.2">
      <c r="A36" s="642">
        <v>29</v>
      </c>
      <c r="B36" s="176"/>
      <c r="C36" s="219" t="s">
        <v>319</v>
      </c>
      <c r="D36" s="436">
        <v>6</v>
      </c>
      <c r="E36" s="189"/>
      <c r="F36" s="181"/>
      <c r="G36" s="181"/>
      <c r="H36" s="181"/>
    </row>
    <row r="37" spans="1:23" ht="12.75" customHeight="1" x14ac:dyDescent="0.2">
      <c r="A37" s="642">
        <v>30</v>
      </c>
      <c r="B37" s="176"/>
      <c r="C37" s="219" t="s">
        <v>320</v>
      </c>
      <c r="D37" s="225">
        <f>(30%+100%)/2</f>
        <v>0.65</v>
      </c>
      <c r="E37" s="189"/>
      <c r="F37" s="181"/>
      <c r="G37" s="181"/>
      <c r="H37" s="181"/>
    </row>
    <row r="38" spans="1:23" ht="12.75" customHeight="1" x14ac:dyDescent="0.2">
      <c r="A38" s="642">
        <v>31</v>
      </c>
      <c r="B38" s="147"/>
      <c r="C38" s="192" t="s">
        <v>321</v>
      </c>
      <c r="D38" s="186"/>
      <c r="E38" s="256">
        <f>D35*D37*D36</f>
        <v>290003.02551561629</v>
      </c>
      <c r="F38" s="182"/>
      <c r="G38" s="182"/>
      <c r="H38" s="182"/>
    </row>
    <row r="39" spans="1:23" ht="12.75" customHeight="1" x14ac:dyDescent="0.2">
      <c r="A39" s="642">
        <v>32</v>
      </c>
      <c r="B39" s="147"/>
      <c r="C39" s="192" t="s">
        <v>322</v>
      </c>
      <c r="D39" s="186"/>
      <c r="E39" s="358">
        <f>'4-3b-Stage 1b Pro Forma NOI'!D18*D36/12</f>
        <v>159648.59349748874</v>
      </c>
      <c r="F39" s="182"/>
      <c r="G39" s="182"/>
      <c r="H39" s="182"/>
    </row>
    <row r="40" spans="1:23" ht="12.75" customHeight="1" x14ac:dyDescent="0.2">
      <c r="A40" s="642">
        <v>33</v>
      </c>
      <c r="B40" s="147"/>
      <c r="C40" s="192" t="s">
        <v>323</v>
      </c>
      <c r="D40" s="186"/>
      <c r="E40" s="256">
        <f>E38-E39</f>
        <v>130354.43201812755</v>
      </c>
      <c r="F40" s="182"/>
      <c r="G40" s="182"/>
      <c r="H40" s="182"/>
    </row>
    <row r="41" spans="1:23" ht="12.75" customHeight="1" x14ac:dyDescent="0.2">
      <c r="A41" s="642">
        <v>34</v>
      </c>
      <c r="B41" s="176"/>
      <c r="C41" s="219" t="s">
        <v>324</v>
      </c>
      <c r="D41" s="186"/>
      <c r="E41" s="174">
        <f>D27*D28/12*D36</f>
        <v>415040.95091208222</v>
      </c>
      <c r="F41" s="183"/>
      <c r="G41" s="183"/>
      <c r="H41" s="183"/>
    </row>
    <row r="42" spans="1:23" ht="12.75" customHeight="1" x14ac:dyDescent="0.2">
      <c r="A42" s="642">
        <v>35</v>
      </c>
      <c r="B42" s="176"/>
      <c r="C42" s="219" t="s">
        <v>325</v>
      </c>
      <c r="D42" s="186"/>
      <c r="E42" s="189"/>
      <c r="F42" s="327">
        <f>-(E40-E41)</f>
        <v>284686.51889395469</v>
      </c>
      <c r="G42" s="330">
        <f>$F42*G$6</f>
        <v>260432.07643100552</v>
      </c>
      <c r="H42" s="330">
        <f>$F42*H$6</f>
        <v>24254.442462949166</v>
      </c>
      <c r="V42" s="308"/>
      <c r="W42" s="308"/>
    </row>
    <row r="43" spans="1:23" ht="12.75" customHeight="1" thickBot="1" x14ac:dyDescent="0.25">
      <c r="A43" s="642">
        <v>36</v>
      </c>
      <c r="B43" s="148" t="s">
        <v>88</v>
      </c>
      <c r="C43" s="231"/>
      <c r="D43" s="175"/>
      <c r="E43" s="191"/>
      <c r="F43" s="170">
        <f>F32+F42</f>
        <v>10751191.236730922</v>
      </c>
      <c r="G43" s="333">
        <f>$F43*G$6</f>
        <v>9835221.8038524091</v>
      </c>
      <c r="H43" s="333">
        <f>$F43*H$6</f>
        <v>915969.43287851184</v>
      </c>
      <c r="V43" s="309"/>
      <c r="W43" s="309"/>
    </row>
    <row r="44" spans="1:23" ht="13.5" thickTop="1" x14ac:dyDescent="0.2">
      <c r="A44" s="642"/>
    </row>
    <row r="45" spans="1:23" s="428" customFormat="1" ht="12.75" customHeight="1" x14ac:dyDescent="0.2">
      <c r="A45" s="642">
        <v>37</v>
      </c>
      <c r="B45" s="429"/>
      <c r="C45" s="430" t="s">
        <v>332</v>
      </c>
      <c r="D45" s="430"/>
      <c r="E45" s="431"/>
      <c r="F45" s="720">
        <v>-2476983.6650548349</v>
      </c>
      <c r="G45" s="721">
        <v>-2415812.2060558996</v>
      </c>
      <c r="H45" s="721">
        <v>-61171.458998934977</v>
      </c>
    </row>
    <row r="46" spans="1:23" x14ac:dyDescent="0.2">
      <c r="A46" s="642"/>
    </row>
    <row r="47" spans="1:23" ht="12.75" customHeight="1" thickBot="1" x14ac:dyDescent="0.25">
      <c r="A47" s="642">
        <v>38</v>
      </c>
      <c r="B47" s="148" t="s">
        <v>243</v>
      </c>
      <c r="C47" s="231"/>
      <c r="D47" s="175"/>
      <c r="E47" s="191"/>
      <c r="F47" s="170">
        <f>SUM(F45,cost_total)</f>
        <v>8274207.5716760866</v>
      </c>
      <c r="G47" s="333">
        <f>SUM(G43,G45)</f>
        <v>7419409.597796509</v>
      </c>
      <c r="H47" s="333">
        <f>SUM(H45,H43)</f>
        <v>854797.97387957689</v>
      </c>
      <c r="L47" s="432"/>
      <c r="N47" s="433"/>
      <c r="P47" s="433"/>
      <c r="V47" s="309"/>
      <c r="W47" s="309"/>
    </row>
    <row r="48" spans="1:23" ht="13.5" thickTop="1" x14ac:dyDescent="0.2">
      <c r="N48" s="171"/>
      <c r="O48" s="171"/>
    </row>
    <row r="49" spans="2:15" x14ac:dyDescent="0.2">
      <c r="L49" s="433"/>
      <c r="M49" s="434"/>
      <c r="N49" s="434"/>
      <c r="O49" s="434"/>
    </row>
    <row r="50" spans="2:15" x14ac:dyDescent="0.2">
      <c r="L50" s="433"/>
      <c r="M50" s="434"/>
      <c r="N50" s="434"/>
      <c r="O50" s="434"/>
    </row>
    <row r="51" spans="2:15" x14ac:dyDescent="0.2">
      <c r="B51" s="150"/>
      <c r="C51" s="151" t="s">
        <v>172</v>
      </c>
      <c r="L51" s="350"/>
      <c r="M51" s="434"/>
      <c r="N51" s="434"/>
      <c r="O51" s="434"/>
    </row>
    <row r="52" spans="2:15" x14ac:dyDescent="0.2">
      <c r="L52" s="350"/>
      <c r="M52" s="434"/>
      <c r="N52" s="434"/>
      <c r="O52" s="434"/>
    </row>
    <row r="53" spans="2:15" x14ac:dyDescent="0.2">
      <c r="B53" s="806" t="s">
        <v>308</v>
      </c>
      <c r="C53" s="805"/>
      <c r="D53" s="805"/>
      <c r="E53" s="805"/>
      <c r="F53" s="805"/>
      <c r="G53" s="805"/>
      <c r="H53" s="805"/>
      <c r="L53" s="350"/>
      <c r="M53" s="434"/>
      <c r="N53" s="434"/>
      <c r="O53" s="434"/>
    </row>
    <row r="54" spans="2:15" x14ac:dyDescent="0.2">
      <c r="B54" s="805"/>
      <c r="C54" s="805"/>
      <c r="D54" s="805"/>
      <c r="E54" s="805"/>
      <c r="F54" s="805"/>
      <c r="G54" s="805"/>
      <c r="H54" s="805"/>
      <c r="M54" s="434"/>
      <c r="N54" s="434"/>
      <c r="O54" s="434"/>
    </row>
    <row r="55" spans="2:15" x14ac:dyDescent="0.2">
      <c r="M55" s="434"/>
      <c r="N55" s="434"/>
      <c r="O55" s="434"/>
    </row>
    <row r="56" spans="2:15" x14ac:dyDescent="0.2">
      <c r="B56" s="806" t="s">
        <v>425</v>
      </c>
      <c r="C56" s="805"/>
      <c r="D56" s="805"/>
      <c r="E56" s="805"/>
      <c r="F56" s="805"/>
      <c r="G56" s="805"/>
      <c r="H56" s="805"/>
      <c r="L56" s="350"/>
      <c r="M56" s="434"/>
      <c r="N56" s="434"/>
      <c r="O56" s="434"/>
    </row>
    <row r="57" spans="2:15" x14ac:dyDescent="0.2">
      <c r="B57" s="805"/>
      <c r="C57" s="805"/>
      <c r="D57" s="805"/>
      <c r="E57" s="805"/>
      <c r="F57" s="805"/>
      <c r="G57" s="805"/>
      <c r="H57" s="805"/>
      <c r="M57" s="434"/>
      <c r="N57" s="434"/>
      <c r="O57" s="434"/>
    </row>
    <row r="58" spans="2:15" x14ac:dyDescent="0.2">
      <c r="M58" s="434"/>
      <c r="N58" s="434"/>
      <c r="O58" s="434"/>
    </row>
    <row r="59" spans="2:15" x14ac:dyDescent="0.2">
      <c r="B59" s="806" t="s">
        <v>309</v>
      </c>
      <c r="C59" s="805"/>
      <c r="D59" s="805"/>
      <c r="E59" s="805"/>
      <c r="F59" s="805"/>
      <c r="G59" s="805"/>
      <c r="H59" s="805"/>
      <c r="M59" s="434"/>
      <c r="N59" s="434"/>
      <c r="O59" s="434"/>
    </row>
    <row r="60" spans="2:15" x14ac:dyDescent="0.2">
      <c r="B60" s="805"/>
      <c r="C60" s="805"/>
      <c r="D60" s="805"/>
      <c r="E60" s="805"/>
      <c r="F60" s="805"/>
      <c r="G60" s="805"/>
      <c r="H60" s="805"/>
    </row>
    <row r="62" spans="2:15" x14ac:dyDescent="0.2">
      <c r="B62" s="806" t="s">
        <v>426</v>
      </c>
      <c r="C62" s="805"/>
      <c r="D62" s="805"/>
      <c r="E62" s="805"/>
      <c r="F62" s="805"/>
      <c r="G62" s="805"/>
      <c r="H62" s="805"/>
    </row>
    <row r="63" spans="2:15" x14ac:dyDescent="0.2">
      <c r="B63" s="805"/>
      <c r="C63" s="805"/>
      <c r="D63" s="805"/>
      <c r="E63" s="805"/>
      <c r="F63" s="805"/>
      <c r="G63" s="805"/>
      <c r="H63" s="805"/>
    </row>
    <row r="64" spans="2:15" x14ac:dyDescent="0.2">
      <c r="B64" s="805"/>
      <c r="C64" s="805"/>
      <c r="D64" s="805"/>
      <c r="E64" s="805"/>
      <c r="F64" s="805"/>
      <c r="G64" s="805"/>
      <c r="H64" s="805"/>
    </row>
    <row r="65" spans="2:8" x14ac:dyDescent="0.2">
      <c r="B65" s="805"/>
      <c r="C65" s="805"/>
      <c r="D65" s="805"/>
      <c r="E65" s="805"/>
      <c r="F65" s="805"/>
      <c r="G65" s="805"/>
      <c r="H65" s="805"/>
    </row>
    <row r="67" spans="2:8" x14ac:dyDescent="0.2">
      <c r="B67" s="806" t="s">
        <v>427</v>
      </c>
      <c r="C67" s="805"/>
      <c r="D67" s="805"/>
      <c r="E67" s="805"/>
      <c r="F67" s="805"/>
      <c r="G67" s="805"/>
      <c r="H67" s="805"/>
    </row>
    <row r="68" spans="2:8" x14ac:dyDescent="0.2">
      <c r="B68" s="805"/>
      <c r="C68" s="805"/>
      <c r="D68" s="805"/>
      <c r="E68" s="805"/>
      <c r="F68" s="805"/>
      <c r="G68" s="805"/>
      <c r="H68" s="805"/>
    </row>
    <row r="69" spans="2:8" x14ac:dyDescent="0.2">
      <c r="B69" s="805"/>
      <c r="C69" s="805"/>
      <c r="D69" s="805"/>
      <c r="E69" s="805"/>
      <c r="F69" s="805"/>
      <c r="G69" s="805"/>
      <c r="H69" s="805"/>
    </row>
    <row r="70" spans="2:8" x14ac:dyDescent="0.2">
      <c r="B70" s="805"/>
      <c r="C70" s="805"/>
      <c r="D70" s="805"/>
      <c r="E70" s="805"/>
      <c r="F70" s="805"/>
      <c r="G70" s="805"/>
      <c r="H70" s="805"/>
    </row>
    <row r="71" spans="2:8" x14ac:dyDescent="0.2">
      <c r="B71" s="805"/>
      <c r="C71" s="805"/>
      <c r="D71" s="805"/>
      <c r="E71" s="805"/>
      <c r="F71" s="805"/>
      <c r="G71" s="805"/>
      <c r="H71" s="805"/>
    </row>
    <row r="73" spans="2:8" x14ac:dyDescent="0.2">
      <c r="B73" s="806" t="s">
        <v>477</v>
      </c>
      <c r="C73" s="805"/>
      <c r="D73" s="805"/>
      <c r="E73" s="805"/>
      <c r="F73" s="805"/>
      <c r="G73" s="805"/>
      <c r="H73" s="805"/>
    </row>
    <row r="74" spans="2:8" x14ac:dyDescent="0.2">
      <c r="B74" s="805"/>
      <c r="C74" s="805"/>
      <c r="D74" s="805"/>
      <c r="E74" s="805"/>
      <c r="F74" s="805"/>
      <c r="G74" s="805"/>
      <c r="H74" s="805"/>
    </row>
    <row r="75" spans="2:8" x14ac:dyDescent="0.2">
      <c r="B75" s="805"/>
      <c r="C75" s="805"/>
      <c r="D75" s="805"/>
      <c r="E75" s="805"/>
      <c r="F75" s="805"/>
      <c r="G75" s="805"/>
      <c r="H75" s="805"/>
    </row>
    <row r="76" spans="2:8" x14ac:dyDescent="0.2">
      <c r="B76" s="805"/>
      <c r="C76" s="805"/>
      <c r="D76" s="805"/>
      <c r="E76" s="805"/>
      <c r="F76" s="805"/>
      <c r="G76" s="805"/>
      <c r="H76" s="805"/>
    </row>
  </sheetData>
  <mergeCells count="7">
    <mergeCell ref="B73:H76"/>
    <mergeCell ref="B67:H71"/>
    <mergeCell ref="B1:H1"/>
    <mergeCell ref="B59:H60"/>
    <mergeCell ref="B62:H65"/>
    <mergeCell ref="B53:H54"/>
    <mergeCell ref="B56:H57"/>
  </mergeCells>
  <phoneticPr fontId="0" type="noConversion"/>
  <pageMargins left="0.75" right="0.75" top="1" bottom="1"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B32" sqref="B32"/>
    </sheetView>
  </sheetViews>
  <sheetFormatPr defaultRowHeight="12.75" x14ac:dyDescent="0.2"/>
  <cols>
    <col min="1" max="1" width="5.42578125" customWidth="1"/>
    <col min="2" max="2" width="50.7109375" customWidth="1"/>
    <col min="3" max="3" width="17.140625" style="233" bestFit="1" customWidth="1"/>
    <col min="9" max="9" width="15.5703125" bestFit="1" customWidth="1"/>
  </cols>
  <sheetData>
    <row r="1" spans="1:9" ht="58.5" customHeight="1" x14ac:dyDescent="0.35">
      <c r="A1" s="809" t="s">
        <v>459</v>
      </c>
      <c r="B1" s="810"/>
      <c r="C1" s="810"/>
    </row>
    <row r="3" spans="1:9" x14ac:dyDescent="0.2">
      <c r="A3" t="s">
        <v>7</v>
      </c>
      <c r="C3" s="354">
        <f>'4-3b-Stage 1b Pro Forma NOI'!D20</f>
        <v>523942.37950427603</v>
      </c>
    </row>
    <row r="4" spans="1:9" x14ac:dyDescent="0.2">
      <c r="A4" s="310" t="s">
        <v>77</v>
      </c>
      <c r="C4" s="354">
        <f>cost_total</f>
        <v>10751191.236730922</v>
      </c>
    </row>
    <row r="5" spans="1:9" x14ac:dyDescent="0.2">
      <c r="A5" s="722" t="s">
        <v>9</v>
      </c>
      <c r="C5" s="723">
        <f>'4-3d-Stage 1d Development cost'!F45</f>
        <v>-2476983.6650548349</v>
      </c>
    </row>
    <row r="6" spans="1:9" x14ac:dyDescent="0.2">
      <c r="A6" s="310" t="s">
        <v>11</v>
      </c>
      <c r="C6" s="535">
        <f>SUM(C4:C5)</f>
        <v>8274207.5716760866</v>
      </c>
    </row>
    <row r="7" spans="1:9" x14ac:dyDescent="0.2">
      <c r="A7" s="722" t="s">
        <v>10</v>
      </c>
      <c r="C7" s="723">
        <f>-'4-3d-Stage 1d Development cost'!H47</f>
        <v>-854797.97387957689</v>
      </c>
      <c r="I7" s="534"/>
    </row>
    <row r="8" spans="1:9" x14ac:dyDescent="0.2">
      <c r="A8" t="s">
        <v>12</v>
      </c>
      <c r="C8" s="355">
        <f>SUM(C6:C7)</f>
        <v>7419409.59779651</v>
      </c>
      <c r="I8" s="534"/>
    </row>
    <row r="9" spans="1:9" x14ac:dyDescent="0.2">
      <c r="I9" s="534"/>
    </row>
    <row r="10" spans="1:9" x14ac:dyDescent="0.2">
      <c r="A10" s="276" t="s">
        <v>326</v>
      </c>
      <c r="B10" s="270"/>
      <c r="C10" s="234">
        <f>C3/C8</f>
        <v>7.0617799515999446E-2</v>
      </c>
      <c r="I10" s="435"/>
    </row>
    <row r="11" spans="1:9" x14ac:dyDescent="0.2">
      <c r="I11" s="435"/>
    </row>
    <row r="12" spans="1:9" x14ac:dyDescent="0.2">
      <c r="A12" t="s">
        <v>65</v>
      </c>
      <c r="C12" s="355">
        <f>C3</f>
        <v>523942.37950427603</v>
      </c>
    </row>
    <row r="13" spans="1:9" ht="14.25" x14ac:dyDescent="0.2">
      <c r="A13" s="642" t="s">
        <v>327</v>
      </c>
      <c r="C13" s="356">
        <f>-PMT(int_rate/12,'4-3c-Stage 1c Debt Calculation'!C10*12,'4-3c-Stage 1c Debt Calculation'!C23)*12</f>
        <v>436618.64958689758</v>
      </c>
    </row>
    <row r="14" spans="1:9" x14ac:dyDescent="0.2">
      <c r="A14" t="s">
        <v>237</v>
      </c>
      <c r="C14" s="355">
        <f>C12-C13</f>
        <v>87323.729917378456</v>
      </c>
    </row>
    <row r="16" spans="1:9" x14ac:dyDescent="0.2">
      <c r="A16" t="s">
        <v>230</v>
      </c>
      <c r="C16" s="355">
        <f>C8</f>
        <v>7419409.59779651</v>
      </c>
    </row>
    <row r="17" spans="1:3" ht="14.25" x14ac:dyDescent="0.2">
      <c r="A17" s="642" t="s">
        <v>328</v>
      </c>
      <c r="C17" s="356">
        <f>MIN('4-3c-Stage 1c Debt Calculation'!C23,C6)</f>
        <v>6234849.1818680372</v>
      </c>
    </row>
    <row r="18" spans="1:3" x14ac:dyDescent="0.2">
      <c r="A18" t="s">
        <v>137</v>
      </c>
      <c r="C18" s="355">
        <f>C16-C17</f>
        <v>1184560.4159284728</v>
      </c>
    </row>
    <row r="20" spans="1:3" x14ac:dyDescent="0.2">
      <c r="A20" s="215" t="s">
        <v>329</v>
      </c>
      <c r="B20" s="215"/>
      <c r="C20" s="234">
        <f>C14/C18</f>
        <v>7.3718257628027403E-2</v>
      </c>
    </row>
    <row r="22" spans="1:3" x14ac:dyDescent="0.2">
      <c r="A22" s="215" t="s">
        <v>278</v>
      </c>
    </row>
    <row r="23" spans="1:3" x14ac:dyDescent="0.2">
      <c r="B23" t="s">
        <v>65</v>
      </c>
      <c r="C23" s="355">
        <f>C3</f>
        <v>523942.37950427603</v>
      </c>
    </row>
    <row r="24" spans="1:3" x14ac:dyDescent="0.2">
      <c r="B24" t="s">
        <v>8</v>
      </c>
      <c r="C24" s="232">
        <v>0.06</v>
      </c>
    </row>
    <row r="25" spans="1:3" x14ac:dyDescent="0.2">
      <c r="B25" s="642" t="s">
        <v>330</v>
      </c>
      <c r="C25" s="355">
        <f>C23/C24</f>
        <v>8732372.9917379338</v>
      </c>
    </row>
    <row r="26" spans="1:3" x14ac:dyDescent="0.2">
      <c r="B26" s="722" t="s">
        <v>39</v>
      </c>
      <c r="C26" s="724">
        <f>-C16</f>
        <v>-7419409.59779651</v>
      </c>
    </row>
    <row r="27" spans="1:3" x14ac:dyDescent="0.2">
      <c r="B27" t="s">
        <v>179</v>
      </c>
      <c r="C27" s="357">
        <f>SUM(C25:C26)</f>
        <v>1312963.3939414239</v>
      </c>
    </row>
    <row r="31" spans="1:3" x14ac:dyDescent="0.2">
      <c r="C31" s="306"/>
    </row>
    <row r="32" spans="1:3" x14ac:dyDescent="0.2">
      <c r="A32" s="150"/>
      <c r="B32" s="151" t="s">
        <v>172</v>
      </c>
    </row>
    <row r="34" spans="1:3" ht="12.75" customHeight="1" x14ac:dyDescent="0.2">
      <c r="A34" s="805" t="str">
        <f>"a Annual Debt Service reflects the total mortgage principal amount of "&amp;TEXT(C17,"$0,000")&amp;", which excludes financing the For-Sale Condominiums."</f>
        <v>a Annual Debt Service reflects the total mortgage principal amount of $6,234,849, which excludes financing the For-Sale Condominiums.</v>
      </c>
      <c r="B34" s="805"/>
      <c r="C34" s="805"/>
    </row>
    <row r="35" spans="1:3" x14ac:dyDescent="0.2">
      <c r="A35" s="805"/>
      <c r="B35" s="805"/>
      <c r="C35" s="805"/>
    </row>
    <row r="37" spans="1:3" x14ac:dyDescent="0.2">
      <c r="A37" s="804" t="s">
        <v>460</v>
      </c>
      <c r="B37" s="805"/>
      <c r="C37" s="805"/>
    </row>
    <row r="38" spans="1:3" x14ac:dyDescent="0.2">
      <c r="A38" s="805"/>
      <c r="B38" s="805"/>
      <c r="C38" s="805"/>
    </row>
    <row r="42" spans="1:3" x14ac:dyDescent="0.2">
      <c r="A42" s="712"/>
    </row>
  </sheetData>
  <mergeCells count="3">
    <mergeCell ref="A37:C38"/>
    <mergeCell ref="A34:C35"/>
    <mergeCell ref="A1:C1"/>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topLeftCell="A131" zoomScaleNormal="100" workbookViewId="0">
      <selection activeCell="C10" sqref="C10"/>
    </sheetView>
  </sheetViews>
  <sheetFormatPr defaultRowHeight="12.75" x14ac:dyDescent="0.2"/>
  <cols>
    <col min="2" max="2" width="22.7109375" customWidth="1"/>
    <col min="3" max="3" width="20.7109375" customWidth="1"/>
    <col min="4" max="4" width="15.7109375" customWidth="1"/>
    <col min="5" max="12" width="15.7109375" style="193" customWidth="1"/>
    <col min="13" max="14" width="3.7109375" customWidth="1"/>
    <col min="19" max="19" width="13.42578125" bestFit="1" customWidth="1"/>
  </cols>
  <sheetData>
    <row r="1" spans="1:12" ht="39" x14ac:dyDescent="0.35">
      <c r="B1" s="1" t="s">
        <v>283</v>
      </c>
      <c r="C1" s="10"/>
      <c r="D1" s="10"/>
      <c r="E1" s="261"/>
      <c r="F1" s="392"/>
      <c r="G1" s="392"/>
      <c r="H1" s="392"/>
      <c r="I1" s="392"/>
      <c r="J1" s="392"/>
      <c r="K1" s="392"/>
      <c r="L1" s="392"/>
    </row>
    <row r="2" spans="1:12" x14ac:dyDescent="0.2">
      <c r="A2" s="748"/>
      <c r="B2" s="23"/>
      <c r="C2" s="23"/>
      <c r="D2" s="23"/>
      <c r="E2" s="211"/>
      <c r="F2" s="251"/>
    </row>
    <row r="3" spans="1:12" x14ac:dyDescent="0.2">
      <c r="A3" s="748">
        <v>1</v>
      </c>
      <c r="B3" s="37" t="s">
        <v>135</v>
      </c>
      <c r="C3" s="37"/>
      <c r="D3" s="725" t="s">
        <v>92</v>
      </c>
      <c r="E3" s="726" t="s">
        <v>22</v>
      </c>
      <c r="F3" s="726" t="s">
        <v>23</v>
      </c>
    </row>
    <row r="4" spans="1:12" x14ac:dyDescent="0.2">
      <c r="A4" s="748">
        <v>2</v>
      </c>
      <c r="B4" s="394" t="s">
        <v>77</v>
      </c>
      <c r="C4" s="23"/>
      <c r="D4" s="395">
        <f>'4-3d-Stage 1d Development cost'!F43</f>
        <v>10751191.236730922</v>
      </c>
      <c r="E4" s="438">
        <f>'4-3d-Stage 1d Development cost'!G$6*$D4</f>
        <v>9835221.8038524091</v>
      </c>
      <c r="F4" s="438">
        <f>'4-3d-Stage 1d Development cost'!H$6*$D4</f>
        <v>915969.43287851184</v>
      </c>
    </row>
    <row r="5" spans="1:12" x14ac:dyDescent="0.2">
      <c r="A5" s="748">
        <v>3</v>
      </c>
      <c r="B5" s="394" t="s">
        <v>279</v>
      </c>
      <c r="C5" s="23"/>
      <c r="D5" s="573">
        <f>'4-3d-Stage 1d Development cost'!F42</f>
        <v>284686.51889395469</v>
      </c>
      <c r="E5" s="438">
        <f>'4-3d-Stage 1d Development cost'!G42</f>
        <v>260432.07643100552</v>
      </c>
      <c r="F5" s="438">
        <f>'4-3d-Stage 1d Development cost'!H42</f>
        <v>24254.442462949166</v>
      </c>
    </row>
    <row r="6" spans="1:12" x14ac:dyDescent="0.2">
      <c r="A6" s="748">
        <v>4</v>
      </c>
      <c r="B6" s="394" t="s">
        <v>176</v>
      </c>
      <c r="C6" s="23"/>
      <c r="D6" s="396">
        <f>'4-3d-Stage 1d Development cost'!F32</f>
        <v>10466504.717836967</v>
      </c>
      <c r="E6" s="438">
        <f>'4-3d-Stage 1d Development cost'!G$6*$D6</f>
        <v>9574789.7274214029</v>
      </c>
      <c r="F6" s="438">
        <f>'4-3d-Stage 1d Development cost'!H$6*$D6</f>
        <v>891714.99041556264</v>
      </c>
    </row>
    <row r="7" spans="1:12" x14ac:dyDescent="0.2">
      <c r="A7" s="748">
        <v>5</v>
      </c>
      <c r="B7" s="394" t="s">
        <v>333</v>
      </c>
      <c r="C7" s="23"/>
      <c r="D7" s="396">
        <f>netcost_total</f>
        <v>8274207.5716760866</v>
      </c>
      <c r="E7" s="438">
        <f>'4-3d-Stage 1d Development cost'!G47</f>
        <v>7419409.597796509</v>
      </c>
      <c r="F7" s="438">
        <f>'4-3d-Stage 1d Development cost'!H47</f>
        <v>854797.97387957689</v>
      </c>
    </row>
    <row r="8" spans="1:12" x14ac:dyDescent="0.2">
      <c r="A8" s="748">
        <v>6</v>
      </c>
      <c r="B8" s="394" t="s">
        <v>461</v>
      </c>
      <c r="C8" s="23"/>
      <c r="D8" s="574">
        <f>F8+E8</f>
        <v>7989521.0527821314</v>
      </c>
      <c r="E8" s="438">
        <f>E7-E5</f>
        <v>7158977.5213655038</v>
      </c>
      <c r="F8" s="438">
        <f>F7-F5</f>
        <v>830543.53141662769</v>
      </c>
    </row>
    <row r="9" spans="1:12" x14ac:dyDescent="0.2">
      <c r="A9" s="748">
        <v>7</v>
      </c>
      <c r="B9" s="23" t="s">
        <v>109</v>
      </c>
      <c r="C9" s="23"/>
      <c r="D9" s="396">
        <f>'4-3d-Stage 1d Development cost'!F9</f>
        <v>1251500</v>
      </c>
      <c r="E9" s="438">
        <f>'4-3d-Stage 1d Development cost'!G$6*$D9</f>
        <v>1144875.9320240666</v>
      </c>
      <c r="F9" s="438">
        <f>'4-3d-Stage 1d Development cost'!H$6*$D9</f>
        <v>106624.06797593343</v>
      </c>
    </row>
    <row r="10" spans="1:12" x14ac:dyDescent="0.2">
      <c r="B10" s="23"/>
      <c r="C10" s="23"/>
      <c r="D10" s="23"/>
      <c r="E10" s="211"/>
      <c r="F10" s="251"/>
    </row>
    <row r="11" spans="1:12" x14ac:dyDescent="0.2">
      <c r="A11" s="746">
        <v>8</v>
      </c>
      <c r="B11" s="37" t="s">
        <v>136</v>
      </c>
      <c r="C11" s="37"/>
      <c r="D11" s="416"/>
      <c r="E11" s="211"/>
      <c r="F11" s="251"/>
    </row>
    <row r="12" spans="1:12" x14ac:dyDescent="0.2">
      <c r="A12" s="746">
        <v>9</v>
      </c>
      <c r="B12" s="394" t="s">
        <v>137</v>
      </c>
      <c r="C12" s="394"/>
      <c r="D12" s="531">
        <f>D7-D13</f>
        <v>1356858.3898080494</v>
      </c>
      <c r="E12" s="211">
        <f>$D12*(E13/$D13)</f>
        <v>1222984.0071946345</v>
      </c>
      <c r="F12" s="211">
        <f>D12-E12</f>
        <v>133874.3826134149</v>
      </c>
    </row>
    <row r="13" spans="1:12" ht="15.75" x14ac:dyDescent="0.2">
      <c r="A13" s="746">
        <v>10</v>
      </c>
      <c r="B13" s="394" t="s">
        <v>334</v>
      </c>
      <c r="C13" s="23"/>
      <c r="D13" s="536">
        <f>SUM(E13:F13)</f>
        <v>6917349.1818680372</v>
      </c>
      <c r="E13" s="438">
        <f>MIN('4-3e-Stage 1e Simple Ratios'!C17,E7)</f>
        <v>6234849.1818680372</v>
      </c>
      <c r="F13" s="438">
        <f>MIN('4-3c-Stage 1c Debt Calculation'!C24,F7)</f>
        <v>682500</v>
      </c>
    </row>
    <row r="14" spans="1:12" x14ac:dyDescent="0.2">
      <c r="A14" s="746">
        <v>11</v>
      </c>
      <c r="B14" s="23" t="s">
        <v>68</v>
      </c>
      <c r="C14" s="23"/>
      <c r="E14" s="397">
        <f>int_rate</f>
        <v>5.7500000000000002E-2</v>
      </c>
      <c r="F14" s="397">
        <f>constr_rate</f>
        <v>0.12</v>
      </c>
    </row>
    <row r="15" spans="1:12" x14ac:dyDescent="0.2">
      <c r="A15" s="746">
        <v>12</v>
      </c>
      <c r="B15" s="23" t="s">
        <v>138</v>
      </c>
      <c r="C15" s="23"/>
      <c r="E15" s="23">
        <v>30</v>
      </c>
      <c r="F15" s="393" t="s">
        <v>244</v>
      </c>
    </row>
    <row r="16" spans="1:12" x14ac:dyDescent="0.2">
      <c r="A16" s="746">
        <v>13</v>
      </c>
      <c r="B16" s="23" t="s">
        <v>74</v>
      </c>
      <c r="C16" s="23"/>
      <c r="D16" s="398">
        <f>SUM(E16:F16)</f>
        <v>482586.97634015343</v>
      </c>
      <c r="E16" s="398">
        <f>-PMT($E14/12,$E15*12,E13)*12</f>
        <v>436618.64958689758</v>
      </c>
      <c r="F16" s="398">
        <f>'4-3d-Stage 1d Development cost'!H31</f>
        <v>45968.326753255846</v>
      </c>
    </row>
    <row r="17" spans="1:19" x14ac:dyDescent="0.2">
      <c r="B17" s="23"/>
      <c r="C17" s="23"/>
      <c r="D17" s="23"/>
      <c r="E17" s="211"/>
      <c r="F17" s="251"/>
    </row>
    <row r="18" spans="1:19" x14ac:dyDescent="0.2">
      <c r="A18" s="746">
        <v>14</v>
      </c>
      <c r="B18" s="37" t="s">
        <v>139</v>
      </c>
      <c r="C18" s="37"/>
      <c r="D18" s="23"/>
      <c r="E18" s="211"/>
      <c r="F18" s="251"/>
    </row>
    <row r="19" spans="1:19" ht="15.75" x14ac:dyDescent="0.2">
      <c r="A19" s="746">
        <v>15</v>
      </c>
      <c r="B19" s="399" t="s">
        <v>335</v>
      </c>
      <c r="C19" s="400"/>
      <c r="D19" s="401">
        <f>D7-D9</f>
        <v>7022707.5716760866</v>
      </c>
      <c r="E19" s="401">
        <f>E7-E9</f>
        <v>6274533.6657724427</v>
      </c>
      <c r="F19" s="401">
        <f>F7-F9</f>
        <v>748173.90590364346</v>
      </c>
    </row>
    <row r="20" spans="1:19" x14ac:dyDescent="0.2">
      <c r="A20" s="746">
        <v>16</v>
      </c>
      <c r="B20" s="400" t="s">
        <v>89</v>
      </c>
      <c r="C20" s="400"/>
      <c r="D20" s="402">
        <v>27.5</v>
      </c>
      <c r="E20" s="211"/>
      <c r="F20" s="251"/>
    </row>
    <row r="21" spans="1:19" x14ac:dyDescent="0.2">
      <c r="A21" s="746">
        <v>17</v>
      </c>
      <c r="B21" s="399" t="s">
        <v>178</v>
      </c>
      <c r="C21" s="400"/>
      <c r="D21" s="402">
        <v>1</v>
      </c>
      <c r="E21" s="211"/>
      <c r="F21" s="251"/>
    </row>
    <row r="22" spans="1:19" x14ac:dyDescent="0.2">
      <c r="A22" s="746">
        <v>18</v>
      </c>
      <c r="B22" s="400" t="s">
        <v>336</v>
      </c>
      <c r="C22" s="400"/>
      <c r="D22" s="403">
        <f>D19/D20*D21</f>
        <v>255371.18442458496</v>
      </c>
      <c r="E22" s="403">
        <f>E19/$D20*$D21</f>
        <v>228164.86057354338</v>
      </c>
      <c r="F22" s="403">
        <f>F19/$D20*$D21</f>
        <v>27206.323851041579</v>
      </c>
      <c r="Q22" s="40"/>
      <c r="R22" s="306"/>
      <c r="S22" s="169"/>
    </row>
    <row r="23" spans="1:19" x14ac:dyDescent="0.2">
      <c r="B23" s="400"/>
      <c r="C23" s="400"/>
      <c r="D23" s="403"/>
      <c r="E23" s="403"/>
      <c r="F23" s="403"/>
      <c r="Q23" s="40"/>
      <c r="R23" s="306"/>
      <c r="S23" s="169"/>
    </row>
    <row r="24" spans="1:19" ht="15.75" x14ac:dyDescent="0.2">
      <c r="A24" s="746">
        <v>19</v>
      </c>
      <c r="B24" s="19" t="s">
        <v>337</v>
      </c>
      <c r="C24" s="400"/>
      <c r="D24" s="403"/>
      <c r="E24" s="403"/>
      <c r="F24" s="403"/>
      <c r="Q24" s="40"/>
      <c r="R24" s="306"/>
      <c r="S24" s="169"/>
    </row>
    <row r="25" spans="1:19" x14ac:dyDescent="0.2">
      <c r="A25" s="746">
        <v>20</v>
      </c>
      <c r="B25" s="394" t="s">
        <v>461</v>
      </c>
      <c r="C25" s="400"/>
      <c r="D25" s="575">
        <f>D8</f>
        <v>7989521.0527821314</v>
      </c>
      <c r="E25" s="575">
        <f>E8</f>
        <v>7158977.5213655038</v>
      </c>
      <c r="F25" s="575">
        <f>F8</f>
        <v>830543.53141662769</v>
      </c>
      <c r="Q25" s="40"/>
      <c r="R25" s="306"/>
      <c r="S25" s="169"/>
    </row>
    <row r="26" spans="1:19" x14ac:dyDescent="0.2">
      <c r="A26" s="746">
        <v>21</v>
      </c>
      <c r="B26" s="399" t="s">
        <v>280</v>
      </c>
      <c r="C26" s="400"/>
      <c r="D26" s="575">
        <f>D25-D13</f>
        <v>1072171.8709140942</v>
      </c>
      <c r="E26" s="403"/>
      <c r="F26" s="403"/>
      <c r="Q26" s="40"/>
      <c r="R26" s="306"/>
      <c r="S26" s="169"/>
    </row>
    <row r="27" spans="1:19" x14ac:dyDescent="0.2">
      <c r="A27" s="746">
        <v>22</v>
      </c>
      <c r="B27" s="399" t="s">
        <v>281</v>
      </c>
      <c r="C27" s="400"/>
      <c r="D27" s="575">
        <f>D25-D9</f>
        <v>6738021.0527821314</v>
      </c>
      <c r="E27" s="575">
        <f>E25-E9</f>
        <v>6014101.5893414374</v>
      </c>
      <c r="F27" s="575">
        <f>F25-F9</f>
        <v>723919.46344069426</v>
      </c>
      <c r="Q27" s="40"/>
      <c r="R27" s="306"/>
      <c r="S27" s="169"/>
    </row>
    <row r="28" spans="1:19" x14ac:dyDescent="0.2">
      <c r="A28" s="746">
        <v>23</v>
      </c>
      <c r="B28" s="399" t="s">
        <v>338</v>
      </c>
      <c r="C28" s="400"/>
      <c r="D28" s="403">
        <f>D27/$D$20</f>
        <v>245018.94737389567</v>
      </c>
      <c r="E28" s="403">
        <f>E27/$D$20</f>
        <v>218694.60324877955</v>
      </c>
      <c r="F28" s="403">
        <f>F27/$D$20</f>
        <v>26324.344125116157</v>
      </c>
      <c r="Q28" s="40"/>
      <c r="R28" s="306"/>
      <c r="S28" s="169"/>
    </row>
    <row r="29" spans="1:19" x14ac:dyDescent="0.2">
      <c r="B29" s="400"/>
      <c r="C29" s="400"/>
      <c r="D29" s="403"/>
      <c r="E29" s="403"/>
      <c r="F29" s="403"/>
      <c r="Q29" s="40"/>
      <c r="R29" s="306"/>
      <c r="S29" s="169"/>
    </row>
    <row r="30" spans="1:19" x14ac:dyDescent="0.2">
      <c r="B30" s="16"/>
      <c r="C30" s="16"/>
      <c r="D30" s="16"/>
      <c r="E30" s="194"/>
      <c r="Q30" s="40"/>
      <c r="R30" s="306"/>
      <c r="S30" s="169"/>
    </row>
    <row r="31" spans="1:19" x14ac:dyDescent="0.2">
      <c r="A31" s="746">
        <v>24</v>
      </c>
      <c r="B31" s="18" t="s">
        <v>31</v>
      </c>
      <c r="C31" s="18"/>
      <c r="D31" s="277"/>
      <c r="E31" s="727">
        <v>1</v>
      </c>
      <c r="F31" s="727">
        <v>2</v>
      </c>
      <c r="G31" s="727">
        <v>3</v>
      </c>
      <c r="H31" s="727">
        <v>4</v>
      </c>
      <c r="I31" s="727">
        <v>5</v>
      </c>
      <c r="J31" s="727">
        <v>6</v>
      </c>
      <c r="K31" s="727">
        <v>7</v>
      </c>
      <c r="L31" s="727">
        <v>8</v>
      </c>
      <c r="Q31" s="40"/>
      <c r="R31" s="306"/>
      <c r="S31" s="169"/>
    </row>
    <row r="32" spans="1:19" x14ac:dyDescent="0.2">
      <c r="A32" s="746">
        <v>25</v>
      </c>
      <c r="B32" s="19"/>
      <c r="C32" s="19"/>
      <c r="D32" s="17"/>
      <c r="E32" s="195"/>
      <c r="Q32" s="40"/>
    </row>
    <row r="33" spans="1:15" s="288" customFormat="1" x14ac:dyDescent="0.2">
      <c r="A33" s="746">
        <v>26</v>
      </c>
      <c r="B33" s="311" t="s">
        <v>101</v>
      </c>
      <c r="C33" s="20"/>
      <c r="D33" s="312"/>
      <c r="E33" s="313">
        <f t="shared" ref="E33:L33" si="0">PV($E$14/12,($E$15-D31)*12,-$E$16/12)</f>
        <v>6234849.1818680493</v>
      </c>
      <c r="F33" s="313">
        <f t="shared" si="0"/>
        <v>6154642.4707446266</v>
      </c>
      <c r="G33" s="313">
        <f t="shared" si="0"/>
        <v>6069700.3689288246</v>
      </c>
      <c r="H33" s="313">
        <f t="shared" si="0"/>
        <v>5979743.2997531127</v>
      </c>
      <c r="I33" s="313">
        <f t="shared" si="0"/>
        <v>5884475.1803906821</v>
      </c>
      <c r="J33" s="313">
        <f t="shared" si="0"/>
        <v>5783582.4473345764</v>
      </c>
      <c r="K33" s="313">
        <f t="shared" si="0"/>
        <v>5676733.0243413001</v>
      </c>
      <c r="L33" s="313">
        <f t="shared" si="0"/>
        <v>5563575.2294419641</v>
      </c>
      <c r="O33" s="314"/>
    </row>
    <row r="34" spans="1:15" x14ac:dyDescent="0.2">
      <c r="A34" s="746">
        <v>27</v>
      </c>
      <c r="B34" s="20" t="s">
        <v>105</v>
      </c>
      <c r="C34" s="20"/>
      <c r="D34" s="12"/>
      <c r="E34" s="278">
        <f t="shared" ref="E34:L34" si="1">PV($E$14/12,($E$15-E31)*12,-$E$16/12)</f>
        <v>6154642.4707446266</v>
      </c>
      <c r="F34" s="278">
        <f t="shared" si="1"/>
        <v>6069700.3689288246</v>
      </c>
      <c r="G34" s="278">
        <f t="shared" si="1"/>
        <v>5979743.2997531127</v>
      </c>
      <c r="H34" s="278">
        <f t="shared" si="1"/>
        <v>5884475.1803906821</v>
      </c>
      <c r="I34" s="278">
        <f t="shared" si="1"/>
        <v>5783582.4473345764</v>
      </c>
      <c r="J34" s="278">
        <f t="shared" si="1"/>
        <v>5676733.0243413001</v>
      </c>
      <c r="K34" s="278">
        <f t="shared" si="1"/>
        <v>5563575.2294419641</v>
      </c>
      <c r="L34" s="278">
        <f t="shared" si="1"/>
        <v>5443736.6174235735</v>
      </c>
    </row>
    <row r="35" spans="1:15" x14ac:dyDescent="0.2">
      <c r="A35" s="746">
        <v>28</v>
      </c>
      <c r="B35" s="20" t="s">
        <v>116</v>
      </c>
      <c r="C35" s="20"/>
      <c r="D35" s="12"/>
      <c r="E35" s="198">
        <f>E33-E34</f>
        <v>80206.71112342272</v>
      </c>
      <c r="F35" s="198">
        <f t="shared" ref="F35:L35" si="2">F33-F34</f>
        <v>84942.101815802045</v>
      </c>
      <c r="G35" s="198">
        <f t="shared" si="2"/>
        <v>89957.069175711833</v>
      </c>
      <c r="H35" s="198">
        <f t="shared" si="2"/>
        <v>95268.119362430647</v>
      </c>
      <c r="I35" s="198">
        <f t="shared" si="2"/>
        <v>100892.73305610567</v>
      </c>
      <c r="J35" s="198">
        <f t="shared" si="2"/>
        <v>106849.42299327627</v>
      </c>
      <c r="K35" s="198">
        <f t="shared" si="2"/>
        <v>113157.79489933606</v>
      </c>
      <c r="L35" s="198">
        <f t="shared" si="2"/>
        <v>119838.61201839056</v>
      </c>
    </row>
    <row r="36" spans="1:15" x14ac:dyDescent="0.2">
      <c r="A36" s="746">
        <v>29</v>
      </c>
      <c r="B36" s="22" t="s">
        <v>103</v>
      </c>
      <c r="C36" s="22"/>
      <c r="D36" s="23"/>
      <c r="E36" s="198">
        <f>$E$16-E35</f>
        <v>356411.93846347486</v>
      </c>
      <c r="F36" s="198">
        <f t="shared" ref="F36:L36" si="3">$E$16-F35</f>
        <v>351676.54777109553</v>
      </c>
      <c r="G36" s="198">
        <f t="shared" si="3"/>
        <v>346661.58041118574</v>
      </c>
      <c r="H36" s="198">
        <f t="shared" si="3"/>
        <v>341350.53022446693</v>
      </c>
      <c r="I36" s="198">
        <f t="shared" si="3"/>
        <v>335725.9165307919</v>
      </c>
      <c r="J36" s="198">
        <f t="shared" si="3"/>
        <v>329769.22659362131</v>
      </c>
      <c r="K36" s="198">
        <f t="shared" si="3"/>
        <v>323460.85468756151</v>
      </c>
      <c r="L36" s="198">
        <f t="shared" si="3"/>
        <v>316780.03756850702</v>
      </c>
    </row>
    <row r="37" spans="1:15" x14ac:dyDescent="0.2">
      <c r="B37" s="22"/>
      <c r="C37" s="22"/>
      <c r="D37" s="23"/>
      <c r="E37" s="198"/>
      <c r="F37" s="198"/>
      <c r="G37" s="198"/>
      <c r="H37" s="198"/>
      <c r="I37" s="198"/>
      <c r="J37" s="198"/>
      <c r="K37" s="198"/>
      <c r="L37" s="198"/>
    </row>
    <row r="38" spans="1:15" x14ac:dyDescent="0.2">
      <c r="B38" s="23"/>
      <c r="C38" s="23"/>
      <c r="D38" s="23"/>
      <c r="E38" s="198"/>
    </row>
    <row r="39" spans="1:15" x14ac:dyDescent="0.2">
      <c r="A39" s="746">
        <v>30</v>
      </c>
      <c r="B39" s="26" t="s">
        <v>35</v>
      </c>
      <c r="C39" s="26"/>
      <c r="D39" s="353"/>
      <c r="E39" s="727">
        <v>1</v>
      </c>
      <c r="F39" s="727">
        <v>2</v>
      </c>
      <c r="G39" s="727">
        <v>3</v>
      </c>
      <c r="H39" s="727">
        <v>4</v>
      </c>
      <c r="I39" s="727">
        <v>5</v>
      </c>
      <c r="J39" s="727">
        <v>6</v>
      </c>
      <c r="K39" s="727">
        <v>7</v>
      </c>
      <c r="L39" s="727">
        <v>8</v>
      </c>
    </row>
    <row r="40" spans="1:15" x14ac:dyDescent="0.2">
      <c r="B40" s="24"/>
      <c r="C40" s="24"/>
      <c r="D40" s="25"/>
      <c r="E40" s="199"/>
    </row>
    <row r="41" spans="1:15" x14ac:dyDescent="0.2">
      <c r="A41" s="746">
        <v>31</v>
      </c>
      <c r="B41" s="311" t="s">
        <v>101</v>
      </c>
      <c r="C41" s="20"/>
      <c r="D41" s="12"/>
      <c r="E41" s="198">
        <f>IF(E51=0,E19,E27)</f>
        <v>6274533.6657724427</v>
      </c>
      <c r="F41" s="194">
        <f>E43</f>
        <v>6046368.8051988995</v>
      </c>
      <c r="G41" s="194">
        <f t="shared" ref="G41:L41" si="4">F43</f>
        <v>5818203.9446253562</v>
      </c>
      <c r="H41" s="194">
        <f t="shared" si="4"/>
        <v>5590039.084051813</v>
      </c>
      <c r="I41" s="194">
        <f t="shared" si="4"/>
        <v>5361874.2234782698</v>
      </c>
      <c r="J41" s="194">
        <f t="shared" si="4"/>
        <v>5133709.3629047265</v>
      </c>
      <c r="K41" s="194">
        <f t="shared" si="4"/>
        <v>4905544.5023311833</v>
      </c>
      <c r="L41" s="194">
        <f t="shared" si="4"/>
        <v>4677379.6417576401</v>
      </c>
    </row>
    <row r="42" spans="1:15" x14ac:dyDescent="0.2">
      <c r="A42" s="746">
        <v>32</v>
      </c>
      <c r="B42" s="762" t="s">
        <v>118</v>
      </c>
      <c r="C42" s="359"/>
      <c r="D42" s="360"/>
      <c r="E42" s="198">
        <f>-MIN($E$41/$D$20*$D$21,E41)</f>
        <v>-228164.86057354338</v>
      </c>
      <c r="F42" s="198">
        <f t="shared" ref="F42:L42" si="5">-MIN($E$41/$D$20*$D$21,F41)</f>
        <v>-228164.86057354338</v>
      </c>
      <c r="G42" s="198">
        <f t="shared" si="5"/>
        <v>-228164.86057354338</v>
      </c>
      <c r="H42" s="198">
        <f t="shared" si="5"/>
        <v>-228164.86057354338</v>
      </c>
      <c r="I42" s="198">
        <f t="shared" si="5"/>
        <v>-228164.86057354338</v>
      </c>
      <c r="J42" s="198">
        <f t="shared" si="5"/>
        <v>-228164.86057354338</v>
      </c>
      <c r="K42" s="198">
        <f t="shared" si="5"/>
        <v>-228164.86057354338</v>
      </c>
      <c r="L42" s="198">
        <f t="shared" si="5"/>
        <v>-228164.86057354338</v>
      </c>
    </row>
    <row r="43" spans="1:15" x14ac:dyDescent="0.2">
      <c r="A43" s="746">
        <v>33</v>
      </c>
      <c r="B43" s="20" t="s">
        <v>105</v>
      </c>
      <c r="C43" s="20"/>
      <c r="D43" s="12"/>
      <c r="E43" s="198">
        <f>SUM(E41:E42)</f>
        <v>6046368.8051988995</v>
      </c>
      <c r="F43" s="198">
        <f t="shared" ref="F43:L43" si="6">SUM(F41:F42)</f>
        <v>5818203.9446253562</v>
      </c>
      <c r="G43" s="198">
        <f t="shared" si="6"/>
        <v>5590039.084051813</v>
      </c>
      <c r="H43" s="198">
        <f t="shared" si="6"/>
        <v>5361874.2234782698</v>
      </c>
      <c r="I43" s="198">
        <f t="shared" si="6"/>
        <v>5133709.3629047265</v>
      </c>
      <c r="J43" s="198">
        <f t="shared" si="6"/>
        <v>4905544.5023311833</v>
      </c>
      <c r="K43" s="198">
        <f t="shared" si="6"/>
        <v>4677379.6417576401</v>
      </c>
      <c r="L43" s="198">
        <f t="shared" si="6"/>
        <v>4449214.7811840968</v>
      </c>
    </row>
    <row r="44" spans="1:15" x14ac:dyDescent="0.2">
      <c r="A44" s="746">
        <v>34</v>
      </c>
      <c r="B44" s="20" t="s">
        <v>119</v>
      </c>
      <c r="C44" s="20"/>
      <c r="D44" s="12"/>
      <c r="E44" s="198">
        <f>-SUM($E$42:E42)</f>
        <v>228164.86057354338</v>
      </c>
      <c r="F44" s="198">
        <f>-SUM($E$42:F42)</f>
        <v>456329.72114708676</v>
      </c>
      <c r="G44" s="198">
        <f>-SUM($E$42:G42)</f>
        <v>684494.58172063017</v>
      </c>
      <c r="H44" s="198">
        <f>-SUM($E$42:H42)</f>
        <v>912659.44229417352</v>
      </c>
      <c r="I44" s="198">
        <f>-SUM($E$42:I42)</f>
        <v>1140824.3028677169</v>
      </c>
      <c r="J44" s="198">
        <f>-SUM($E$42:J42)</f>
        <v>1368989.1634412603</v>
      </c>
      <c r="K44" s="198">
        <f>-SUM($E$42:K42)</f>
        <v>1597154.0240148038</v>
      </c>
      <c r="L44" s="198">
        <f>-SUM($E$42:L42)</f>
        <v>1825318.8845883473</v>
      </c>
    </row>
    <row r="45" spans="1:15" x14ac:dyDescent="0.2">
      <c r="A45" s="746">
        <v>35</v>
      </c>
      <c r="B45" s="20" t="s">
        <v>120</v>
      </c>
      <c r="C45" s="20"/>
      <c r="D45" s="12"/>
      <c r="E45" s="198">
        <f>MIN($E$41,$E$41/$D$20*E31)</f>
        <v>228164.86057354338</v>
      </c>
      <c r="F45" s="198">
        <f>MIN($E$41,$E$41/$D$20*F31)</f>
        <v>456329.72114708676</v>
      </c>
      <c r="G45" s="198">
        <f t="shared" ref="G45:L45" si="7">MIN($E$41,$E$41/$D$20*G31)</f>
        <v>684494.58172063017</v>
      </c>
      <c r="H45" s="198">
        <f t="shared" si="7"/>
        <v>912659.44229417352</v>
      </c>
      <c r="I45" s="198">
        <f t="shared" si="7"/>
        <v>1140824.3028677169</v>
      </c>
      <c r="J45" s="198">
        <f t="shared" si="7"/>
        <v>1368989.1634412603</v>
      </c>
      <c r="K45" s="198">
        <f t="shared" si="7"/>
        <v>1597154.0240148036</v>
      </c>
      <c r="L45" s="198">
        <f t="shared" si="7"/>
        <v>1825318.884588347</v>
      </c>
    </row>
    <row r="46" spans="1:15" x14ac:dyDescent="0.2">
      <c r="A46" s="746">
        <v>36</v>
      </c>
      <c r="B46" s="22" t="s">
        <v>122</v>
      </c>
      <c r="C46" s="22"/>
      <c r="D46" s="23"/>
      <c r="E46" s="198">
        <f>E43+$E$9</f>
        <v>7191244.7372229658</v>
      </c>
      <c r="F46" s="198">
        <f t="shared" ref="F46:L46" si="8">F43+$E$9</f>
        <v>6963079.8766494226</v>
      </c>
      <c r="G46" s="198">
        <f t="shared" si="8"/>
        <v>6734915.0160758793</v>
      </c>
      <c r="H46" s="198">
        <f t="shared" si="8"/>
        <v>6506750.1555023361</v>
      </c>
      <c r="I46" s="198">
        <f t="shared" si="8"/>
        <v>6278585.2949287929</v>
      </c>
      <c r="J46" s="198">
        <f t="shared" si="8"/>
        <v>6050420.4343552496</v>
      </c>
      <c r="K46" s="198">
        <f t="shared" si="8"/>
        <v>5822255.5737817064</v>
      </c>
      <c r="L46" s="198">
        <f t="shared" si="8"/>
        <v>5594090.7132081632</v>
      </c>
    </row>
    <row r="47" spans="1:15" x14ac:dyDescent="0.2">
      <c r="B47" s="22"/>
      <c r="C47" s="22"/>
      <c r="D47" s="23"/>
      <c r="E47" s="198"/>
    </row>
    <row r="48" spans="1:15" x14ac:dyDescent="0.2">
      <c r="B48" s="22"/>
      <c r="C48" s="22"/>
      <c r="D48" s="23"/>
      <c r="E48" s="198"/>
    </row>
    <row r="49" spans="1:12" x14ac:dyDescent="0.2">
      <c r="A49" s="746">
        <v>37</v>
      </c>
      <c r="B49" s="26" t="s">
        <v>38</v>
      </c>
      <c r="C49" s="26"/>
      <c r="D49" s="13"/>
      <c r="E49" s="727">
        <v>1</v>
      </c>
      <c r="F49" s="727">
        <v>2</v>
      </c>
      <c r="G49" s="727">
        <v>3</v>
      </c>
      <c r="H49" s="727">
        <v>4</v>
      </c>
      <c r="I49" s="727">
        <v>5</v>
      </c>
      <c r="J49" s="727">
        <v>6</v>
      </c>
      <c r="K49" s="727">
        <v>7</v>
      </c>
      <c r="L49" s="727">
        <v>8</v>
      </c>
    </row>
    <row r="50" spans="1:12" x14ac:dyDescent="0.2">
      <c r="B50" s="24"/>
      <c r="C50" s="24"/>
      <c r="D50" s="23"/>
      <c r="E50" s="437"/>
      <c r="F50" s="437"/>
      <c r="G50" s="437"/>
      <c r="H50" s="437"/>
      <c r="I50" s="437"/>
      <c r="J50" s="437"/>
      <c r="K50" s="437"/>
      <c r="L50" s="437"/>
    </row>
    <row r="51" spans="1:12" ht="15.75" x14ac:dyDescent="0.2">
      <c r="A51" s="746">
        <v>38</v>
      </c>
      <c r="B51" s="14"/>
      <c r="D51" s="647" t="s">
        <v>462</v>
      </c>
      <c r="E51" s="576">
        <v>0</v>
      </c>
      <c r="F51" s="646">
        <v>0</v>
      </c>
      <c r="G51" s="194"/>
      <c r="H51" s="194"/>
      <c r="I51" s="194"/>
      <c r="J51" s="194"/>
      <c r="K51" s="194"/>
      <c r="L51" s="194"/>
    </row>
    <row r="52" spans="1:12" x14ac:dyDescent="0.2">
      <c r="A52" s="746">
        <v>39</v>
      </c>
      <c r="B52" s="15" t="s">
        <v>36</v>
      </c>
      <c r="C52" s="340"/>
      <c r="D52" s="369">
        <v>0.03</v>
      </c>
      <c r="E52" s="196">
        <f>'4-3b-Stage 1b Pro Forma NOI'!D5</f>
        <v>892317.00158651161</v>
      </c>
      <c r="F52" s="194">
        <f t="shared" ref="F52:L52" si="9">$E52*(1+$D$52)^(F$49-1)</f>
        <v>919086.51163410698</v>
      </c>
      <c r="G52" s="194">
        <f t="shared" si="9"/>
        <v>946659.1069831301</v>
      </c>
      <c r="H52" s="194">
        <f t="shared" si="9"/>
        <v>975058.88019262406</v>
      </c>
      <c r="I52" s="194">
        <f t="shared" si="9"/>
        <v>1004310.6465984028</v>
      </c>
      <c r="J52" s="194">
        <f t="shared" si="9"/>
        <v>1034439.9659963547</v>
      </c>
      <c r="K52" s="194">
        <f t="shared" si="9"/>
        <v>1065473.1649762455</v>
      </c>
      <c r="L52" s="194">
        <f t="shared" si="9"/>
        <v>1097437.3599255329</v>
      </c>
    </row>
    <row r="53" spans="1:12" x14ac:dyDescent="0.2">
      <c r="A53" s="746">
        <v>40</v>
      </c>
      <c r="B53" s="366" t="s">
        <v>61</v>
      </c>
      <c r="C53" s="364"/>
      <c r="D53" s="763">
        <v>0.05</v>
      </c>
      <c r="E53" s="198">
        <f>IF(E51=0,-E52*$D$53,-E51*E52)</f>
        <v>-44615.850079325581</v>
      </c>
      <c r="F53" s="198">
        <f>IF(F51=0,-F52*$D$53,-F51*F52)</f>
        <v>-45954.32558170535</v>
      </c>
      <c r="G53" s="198">
        <f t="shared" ref="G53:L53" si="10">-G52*$D$53</f>
        <v>-47332.955349156509</v>
      </c>
      <c r="H53" s="198">
        <f t="shared" si="10"/>
        <v>-48752.944009631203</v>
      </c>
      <c r="I53" s="198">
        <f t="shared" si="10"/>
        <v>-50215.532329920141</v>
      </c>
      <c r="J53" s="198">
        <f t="shared" si="10"/>
        <v>-51721.998299817737</v>
      </c>
      <c r="K53" s="198">
        <f t="shared" si="10"/>
        <v>-53273.65824881228</v>
      </c>
      <c r="L53" s="198">
        <f t="shared" si="10"/>
        <v>-54871.867996276647</v>
      </c>
    </row>
    <row r="54" spans="1:12" x14ac:dyDescent="0.2">
      <c r="A54" s="746">
        <v>41</v>
      </c>
      <c r="B54" s="366" t="s">
        <v>219</v>
      </c>
      <c r="C54" s="364"/>
      <c r="D54" s="764">
        <v>5.0000000000000001E-3</v>
      </c>
      <c r="E54" s="200">
        <f>-E52*$D$54</f>
        <v>-4461.5850079325583</v>
      </c>
      <c r="F54" s="200">
        <f t="shared" ref="F54:L54" si="11">-F52*$D$54</f>
        <v>-4595.4325581705352</v>
      </c>
      <c r="G54" s="200">
        <f t="shared" si="11"/>
        <v>-4733.2955349156509</v>
      </c>
      <c r="H54" s="200">
        <f t="shared" si="11"/>
        <v>-4875.2944009631201</v>
      </c>
      <c r="I54" s="200">
        <f t="shared" si="11"/>
        <v>-5021.5532329920143</v>
      </c>
      <c r="J54" s="200">
        <f t="shared" si="11"/>
        <v>-5172.1998299817733</v>
      </c>
      <c r="K54" s="200">
        <f t="shared" si="11"/>
        <v>-5327.3658248812271</v>
      </c>
      <c r="L54" s="200">
        <f t="shared" si="11"/>
        <v>-5487.1867996276651</v>
      </c>
    </row>
    <row r="55" spans="1:12" x14ac:dyDescent="0.2">
      <c r="A55" s="746">
        <v>42</v>
      </c>
      <c r="B55" s="15" t="s">
        <v>217</v>
      </c>
      <c r="C55" s="12"/>
      <c r="D55" s="29"/>
      <c r="E55" s="197">
        <f>SUM(E52:E54)</f>
        <v>843239.5664992535</v>
      </c>
      <c r="F55" s="197">
        <f t="shared" ref="F55:L55" si="12">SUM(F52:F54)</f>
        <v>868536.75349423115</v>
      </c>
      <c r="G55" s="197">
        <f t="shared" si="12"/>
        <v>894592.85609905794</v>
      </c>
      <c r="H55" s="197">
        <f t="shared" si="12"/>
        <v>921430.64178202976</v>
      </c>
      <c r="I55" s="197">
        <f t="shared" si="12"/>
        <v>949073.56103549059</v>
      </c>
      <c r="J55" s="197">
        <f t="shared" si="12"/>
        <v>977545.76786655514</v>
      </c>
      <c r="K55" s="197">
        <f t="shared" si="12"/>
        <v>1006872.1409025519</v>
      </c>
      <c r="L55" s="197">
        <f t="shared" si="12"/>
        <v>1037078.3051296287</v>
      </c>
    </row>
    <row r="56" spans="1:12" x14ac:dyDescent="0.2">
      <c r="B56" s="29"/>
      <c r="C56" s="29"/>
      <c r="D56" s="28"/>
      <c r="E56" s="197"/>
      <c r="F56" s="194"/>
      <c r="G56" s="194"/>
      <c r="H56" s="194"/>
      <c r="I56" s="194"/>
      <c r="J56" s="194"/>
      <c r="K56" s="194"/>
      <c r="L56" s="194"/>
    </row>
    <row r="57" spans="1:12" x14ac:dyDescent="0.2">
      <c r="A57" s="746">
        <v>43</v>
      </c>
      <c r="B57" s="15" t="s">
        <v>37</v>
      </c>
      <c r="C57" s="340"/>
      <c r="D57" s="369">
        <v>0.03</v>
      </c>
      <c r="E57" s="352">
        <f>'4-3b-Stage 1b Pro Forma NOI'!D18</f>
        <v>319297.18699497747</v>
      </c>
      <c r="F57" s="211">
        <f>$E57*(1+$D$57)^(F$49-1)</f>
        <v>328876.1026048268</v>
      </c>
      <c r="G57" s="211">
        <f t="shared" ref="G57:L57" si="13">$E57*(1+$D$57)^(G$49-1)</f>
        <v>338742.38568297157</v>
      </c>
      <c r="H57" s="211">
        <f t="shared" si="13"/>
        <v>348904.65725346073</v>
      </c>
      <c r="I57" s="211">
        <f t="shared" si="13"/>
        <v>359371.79697106453</v>
      </c>
      <c r="J57" s="211">
        <f t="shared" si="13"/>
        <v>370152.95088019647</v>
      </c>
      <c r="K57" s="211">
        <f>$E57*(1+$D$57)^(K$49-1)</f>
        <v>381257.53940660239</v>
      </c>
      <c r="L57" s="211">
        <f t="shared" si="13"/>
        <v>392695.26558880048</v>
      </c>
    </row>
    <row r="58" spans="1:12" x14ac:dyDescent="0.2">
      <c r="B58" s="12"/>
      <c r="C58" s="12"/>
      <c r="D58" s="28"/>
      <c r="E58" s="201"/>
      <c r="F58" s="420"/>
      <c r="G58" s="420"/>
      <c r="H58" s="420"/>
      <c r="I58" s="420"/>
      <c r="J58" s="420"/>
      <c r="K58" s="420"/>
      <c r="L58" s="420"/>
    </row>
    <row r="59" spans="1:12" x14ac:dyDescent="0.2">
      <c r="A59" s="746">
        <v>44</v>
      </c>
      <c r="B59" s="12" t="s">
        <v>65</v>
      </c>
      <c r="C59" s="12"/>
      <c r="D59" s="27"/>
      <c r="E59" s="197">
        <f>E55-E57</f>
        <v>523942.37950427603</v>
      </c>
      <c r="F59" s="197">
        <f t="shared" ref="F59:L59" si="14">F55-F57</f>
        <v>539660.65088940435</v>
      </c>
      <c r="G59" s="197">
        <f t="shared" si="14"/>
        <v>555850.47041608638</v>
      </c>
      <c r="H59" s="197">
        <f t="shared" si="14"/>
        <v>572525.98452856904</v>
      </c>
      <c r="I59" s="197">
        <f t="shared" si="14"/>
        <v>589701.76406442607</v>
      </c>
      <c r="J59" s="197">
        <f t="shared" si="14"/>
        <v>607392.81698635872</v>
      </c>
      <c r="K59" s="197">
        <f t="shared" si="14"/>
        <v>625614.60149594955</v>
      </c>
      <c r="L59" s="197">
        <f t="shared" si="14"/>
        <v>644383.03954082821</v>
      </c>
    </row>
    <row r="60" spans="1:12" x14ac:dyDescent="0.2">
      <c r="B60" s="23"/>
      <c r="C60" s="23"/>
      <c r="D60" s="23"/>
      <c r="E60" s="203"/>
      <c r="F60" s="194"/>
      <c r="G60" s="194"/>
      <c r="H60" s="194"/>
      <c r="I60" s="194"/>
      <c r="J60" s="194"/>
      <c r="K60" s="194"/>
      <c r="L60" s="194"/>
    </row>
    <row r="61" spans="1:12" x14ac:dyDescent="0.2">
      <c r="A61" s="746">
        <v>45</v>
      </c>
      <c r="B61" s="12" t="s">
        <v>74</v>
      </c>
      <c r="C61" s="12"/>
      <c r="D61" s="28"/>
      <c r="E61" s="197">
        <f>-$E$16</f>
        <v>-436618.64958689758</v>
      </c>
      <c r="F61" s="197">
        <f t="shared" ref="F61:K61" si="15">-$E$16</f>
        <v>-436618.64958689758</v>
      </c>
      <c r="G61" s="197">
        <f t="shared" si="15"/>
        <v>-436618.64958689758</v>
      </c>
      <c r="H61" s="197">
        <f t="shared" si="15"/>
        <v>-436618.64958689758</v>
      </c>
      <c r="I61" s="197">
        <f t="shared" si="15"/>
        <v>-436618.64958689758</v>
      </c>
      <c r="J61" s="197">
        <f t="shared" si="15"/>
        <v>-436618.64958689758</v>
      </c>
      <c r="K61" s="197">
        <f t="shared" si="15"/>
        <v>-436618.64958689758</v>
      </c>
      <c r="L61" s="198"/>
    </row>
    <row r="62" spans="1:12" x14ac:dyDescent="0.2">
      <c r="B62" s="12"/>
      <c r="C62" s="12"/>
      <c r="D62" s="28"/>
      <c r="E62" s="204"/>
      <c r="F62" s="194"/>
      <c r="G62" s="194"/>
      <c r="H62" s="194"/>
      <c r="I62" s="194"/>
      <c r="J62" s="194"/>
      <c r="K62" s="194"/>
      <c r="L62" s="211"/>
    </row>
    <row r="63" spans="1:12" x14ac:dyDescent="0.2">
      <c r="A63" s="746">
        <v>46</v>
      </c>
      <c r="B63" s="12" t="s">
        <v>140</v>
      </c>
      <c r="C63" s="31"/>
      <c r="D63" s="32"/>
      <c r="E63" s="372">
        <f>E59+E61</f>
        <v>87323.729917378456</v>
      </c>
      <c r="F63" s="372">
        <f t="shared" ref="F63:K63" si="16">F59+F61</f>
        <v>103042.00130250677</v>
      </c>
      <c r="G63" s="372">
        <f t="shared" si="16"/>
        <v>119231.8208291888</v>
      </c>
      <c r="H63" s="372">
        <f t="shared" si="16"/>
        <v>135907.33494167146</v>
      </c>
      <c r="I63" s="372">
        <f t="shared" si="16"/>
        <v>153083.11447752849</v>
      </c>
      <c r="J63" s="372">
        <f t="shared" si="16"/>
        <v>170774.16739946115</v>
      </c>
      <c r="K63" s="372">
        <f t="shared" si="16"/>
        <v>188995.95190905198</v>
      </c>
      <c r="L63" s="198"/>
    </row>
    <row r="64" spans="1:12" x14ac:dyDescent="0.2">
      <c r="B64" s="12"/>
      <c r="C64" s="31"/>
      <c r="D64" s="32"/>
      <c r="E64" s="198"/>
      <c r="F64" s="198"/>
      <c r="G64" s="198"/>
      <c r="H64" s="198"/>
      <c r="I64" s="198"/>
      <c r="J64" s="198"/>
      <c r="K64" s="198"/>
      <c r="L64" s="198"/>
    </row>
    <row r="65" spans="1:12" x14ac:dyDescent="0.2">
      <c r="A65" s="746">
        <v>47</v>
      </c>
      <c r="B65" s="15" t="s">
        <v>339</v>
      </c>
      <c r="C65" s="12"/>
      <c r="D65" s="28"/>
      <c r="E65" s="197">
        <f t="shared" ref="E65:K65" si="17">-E82</f>
        <v>0</v>
      </c>
      <c r="F65" s="197">
        <f t="shared" si="17"/>
        <v>0</v>
      </c>
      <c r="G65" s="197">
        <f t="shared" si="17"/>
        <v>0</v>
      </c>
      <c r="H65" s="197">
        <f t="shared" si="17"/>
        <v>0</v>
      </c>
      <c r="I65" s="197">
        <f t="shared" si="17"/>
        <v>0</v>
      </c>
      <c r="J65" s="197">
        <f t="shared" si="17"/>
        <v>-2775.6460293545088</v>
      </c>
      <c r="K65" s="197">
        <f t="shared" si="17"/>
        <v>-23374.848557830046</v>
      </c>
      <c r="L65" s="198"/>
    </row>
    <row r="66" spans="1:12" x14ac:dyDescent="0.2">
      <c r="B66" s="12"/>
      <c r="C66" s="12"/>
      <c r="D66" s="28"/>
      <c r="E66" s="209"/>
      <c r="F66" s="194"/>
      <c r="G66" s="194"/>
      <c r="H66" s="194"/>
      <c r="I66" s="194"/>
      <c r="J66" s="194"/>
      <c r="K66" s="194"/>
      <c r="L66" s="211"/>
    </row>
    <row r="67" spans="1:12" ht="13.5" thickBot="1" x14ac:dyDescent="0.25">
      <c r="A67" s="746">
        <v>48</v>
      </c>
      <c r="B67" s="23" t="s">
        <v>141</v>
      </c>
      <c r="C67" s="23"/>
      <c r="D67" s="21"/>
      <c r="E67" s="206">
        <f>SUM(E63:E66)</f>
        <v>87323.729917378456</v>
      </c>
      <c r="F67" s="206">
        <f t="shared" ref="F67:K67" si="18">SUM(F63:F66)</f>
        <v>103042.00130250677</v>
      </c>
      <c r="G67" s="206">
        <f t="shared" si="18"/>
        <v>119231.8208291888</v>
      </c>
      <c r="H67" s="206">
        <f t="shared" si="18"/>
        <v>135907.33494167146</v>
      </c>
      <c r="I67" s="206">
        <f t="shared" si="18"/>
        <v>153083.11447752849</v>
      </c>
      <c r="J67" s="206">
        <f t="shared" si="18"/>
        <v>167998.52137010664</v>
      </c>
      <c r="K67" s="206">
        <f t="shared" si="18"/>
        <v>165621.10335122194</v>
      </c>
      <c r="L67" s="198"/>
    </row>
    <row r="68" spans="1:12" ht="13.5" thickTop="1" x14ac:dyDescent="0.2">
      <c r="B68" s="12"/>
      <c r="C68" s="31"/>
      <c r="D68" s="32"/>
      <c r="E68" s="198"/>
      <c r="F68" s="198"/>
      <c r="G68" s="198"/>
      <c r="H68" s="198"/>
      <c r="I68" s="198"/>
      <c r="J68" s="198"/>
      <c r="K68" s="198"/>
      <c r="L68" s="198"/>
    </row>
    <row r="69" spans="1:12" x14ac:dyDescent="0.2">
      <c r="B69" s="12"/>
      <c r="C69" s="12"/>
      <c r="D69" s="28"/>
      <c r="E69" s="197"/>
      <c r="L69" s="251"/>
    </row>
    <row r="70" spans="1:12" x14ac:dyDescent="0.2">
      <c r="A70" s="746">
        <v>49</v>
      </c>
      <c r="B70" s="26" t="s">
        <v>42</v>
      </c>
      <c r="C70" s="13"/>
      <c r="D70" s="30"/>
      <c r="E70" s="727">
        <v>1</v>
      </c>
      <c r="F70" s="727">
        <v>2</v>
      </c>
      <c r="G70" s="727">
        <v>3</v>
      </c>
      <c r="H70" s="727">
        <v>4</v>
      </c>
      <c r="I70" s="727">
        <v>5</v>
      </c>
      <c r="J70" s="727">
        <v>6</v>
      </c>
      <c r="K70" s="727">
        <v>7</v>
      </c>
      <c r="L70" s="437"/>
    </row>
    <row r="71" spans="1:12" x14ac:dyDescent="0.2">
      <c r="B71" s="35"/>
      <c r="C71" s="35"/>
      <c r="D71" s="35"/>
      <c r="E71" s="208"/>
      <c r="L71" s="251"/>
    </row>
    <row r="72" spans="1:12" x14ac:dyDescent="0.2">
      <c r="A72" s="746">
        <v>50</v>
      </c>
      <c r="B72" s="12" t="s">
        <v>65</v>
      </c>
      <c r="C72" s="12"/>
      <c r="D72" s="28"/>
      <c r="E72" s="197">
        <f t="shared" ref="E72:K72" si="19">E59</f>
        <v>523942.37950427603</v>
      </c>
      <c r="F72" s="197">
        <f t="shared" si="19"/>
        <v>539660.65088940435</v>
      </c>
      <c r="G72" s="197">
        <f t="shared" si="19"/>
        <v>555850.47041608638</v>
      </c>
      <c r="H72" s="197">
        <f t="shared" si="19"/>
        <v>572525.98452856904</v>
      </c>
      <c r="I72" s="197">
        <f t="shared" si="19"/>
        <v>589701.76406442607</v>
      </c>
      <c r="J72" s="197">
        <f t="shared" si="19"/>
        <v>607392.81698635872</v>
      </c>
      <c r="K72" s="197">
        <f t="shared" si="19"/>
        <v>625614.60149594955</v>
      </c>
      <c r="L72" s="198"/>
    </row>
    <row r="73" spans="1:12" x14ac:dyDescent="0.2">
      <c r="A73" s="746">
        <v>51</v>
      </c>
      <c r="B73" s="365" t="s">
        <v>343</v>
      </c>
      <c r="C73" s="360"/>
      <c r="D73" s="367"/>
      <c r="E73" s="692">
        <f>'4-3b-Stage 1b Pro Forma NOI'!$D$17</f>
        <v>7950</v>
      </c>
      <c r="F73" s="368">
        <f t="shared" ref="F73:K73" si="20">E73*(1+$D$57)</f>
        <v>8188.5</v>
      </c>
      <c r="G73" s="368">
        <f t="shared" si="20"/>
        <v>8434.1550000000007</v>
      </c>
      <c r="H73" s="368">
        <f t="shared" si="20"/>
        <v>8687.17965</v>
      </c>
      <c r="I73" s="368">
        <f t="shared" si="20"/>
        <v>8947.7950395000007</v>
      </c>
      <c r="J73" s="368">
        <f t="shared" si="20"/>
        <v>9216.2288906850008</v>
      </c>
      <c r="K73" s="368">
        <f t="shared" si="20"/>
        <v>9492.7157574055509</v>
      </c>
      <c r="L73" s="361"/>
    </row>
    <row r="74" spans="1:12" x14ac:dyDescent="0.2">
      <c r="A74" s="746">
        <v>52</v>
      </c>
      <c r="B74" s="365" t="s">
        <v>40</v>
      </c>
      <c r="C74" s="360"/>
      <c r="D74" s="367"/>
      <c r="E74" s="368">
        <f t="shared" ref="E74:K74" si="21">-E36</f>
        <v>-356411.93846347486</v>
      </c>
      <c r="F74" s="368">
        <f t="shared" si="21"/>
        <v>-351676.54777109553</v>
      </c>
      <c r="G74" s="368">
        <f t="shared" si="21"/>
        <v>-346661.58041118574</v>
      </c>
      <c r="H74" s="368">
        <f t="shared" si="21"/>
        <v>-341350.53022446693</v>
      </c>
      <c r="I74" s="368">
        <f t="shared" si="21"/>
        <v>-335725.9165307919</v>
      </c>
      <c r="J74" s="368">
        <f t="shared" si="21"/>
        <v>-329769.22659362131</v>
      </c>
      <c r="K74" s="368">
        <f t="shared" si="21"/>
        <v>-323460.85468756151</v>
      </c>
      <c r="L74" s="361"/>
    </row>
    <row r="75" spans="1:12" x14ac:dyDescent="0.2">
      <c r="A75" s="746">
        <v>53</v>
      </c>
      <c r="B75" s="365" t="s">
        <v>41</v>
      </c>
      <c r="C75" s="360"/>
      <c r="D75" s="367"/>
      <c r="E75" s="368">
        <f>E42</f>
        <v>-228164.86057354338</v>
      </c>
      <c r="F75" s="368">
        <f t="shared" ref="F75:K75" si="22">F42</f>
        <v>-228164.86057354338</v>
      </c>
      <c r="G75" s="368">
        <f t="shared" si="22"/>
        <v>-228164.86057354338</v>
      </c>
      <c r="H75" s="368">
        <f t="shared" si="22"/>
        <v>-228164.86057354338</v>
      </c>
      <c r="I75" s="368">
        <f t="shared" si="22"/>
        <v>-228164.86057354338</v>
      </c>
      <c r="J75" s="368">
        <f t="shared" si="22"/>
        <v>-228164.86057354338</v>
      </c>
      <c r="K75" s="368">
        <f t="shared" si="22"/>
        <v>-228164.86057354338</v>
      </c>
      <c r="L75" s="361"/>
    </row>
    <row r="76" spans="1:12" x14ac:dyDescent="0.2">
      <c r="A76" s="746">
        <v>54</v>
      </c>
      <c r="B76" s="15" t="s">
        <v>340</v>
      </c>
      <c r="C76" s="12"/>
      <c r="D76" s="28"/>
      <c r="E76" s="202">
        <f t="shared" ref="E76:K76" si="23">SUM(E72:E75)</f>
        <v>-52684.419532742264</v>
      </c>
      <c r="F76" s="202">
        <f t="shared" si="23"/>
        <v>-31992.257455234561</v>
      </c>
      <c r="G76" s="202">
        <f t="shared" si="23"/>
        <v>-10541.81556864272</v>
      </c>
      <c r="H76" s="202">
        <f t="shared" si="23"/>
        <v>11697.773380558676</v>
      </c>
      <c r="I76" s="202">
        <f t="shared" si="23"/>
        <v>34758.781999590778</v>
      </c>
      <c r="J76" s="202">
        <f t="shared" si="23"/>
        <v>58674.958709879051</v>
      </c>
      <c r="K76" s="202">
        <f t="shared" si="23"/>
        <v>83481.601992250158</v>
      </c>
      <c r="L76" s="198"/>
    </row>
    <row r="77" spans="1:12" ht="15.75" x14ac:dyDescent="0.2">
      <c r="A77" s="746">
        <v>55</v>
      </c>
      <c r="B77" s="15" t="s">
        <v>341</v>
      </c>
      <c r="C77" s="12"/>
      <c r="D77" s="12"/>
      <c r="E77" s="197">
        <v>0</v>
      </c>
      <c r="F77" s="197">
        <f t="shared" ref="F77:K77" si="24">IF(F76&lt;0,0,-MIN(F76,-E80))</f>
        <v>0</v>
      </c>
      <c r="G77" s="197">
        <f t="shared" si="24"/>
        <v>0</v>
      </c>
      <c r="H77" s="197">
        <f t="shared" si="24"/>
        <v>-11697.773380558676</v>
      </c>
      <c r="I77" s="197">
        <f t="shared" si="24"/>
        <v>-34758.781999590778</v>
      </c>
      <c r="J77" s="197">
        <f t="shared" si="24"/>
        <v>-48761.937176470092</v>
      </c>
      <c r="K77" s="197">
        <f t="shared" si="24"/>
        <v>0</v>
      </c>
      <c r="L77" s="198"/>
    </row>
    <row r="78" spans="1:12" x14ac:dyDescent="0.2">
      <c r="B78" s="12"/>
      <c r="C78" s="12"/>
      <c r="D78" s="12"/>
      <c r="E78" s="210"/>
      <c r="L78" s="251"/>
    </row>
    <row r="79" spans="1:12" x14ac:dyDescent="0.2">
      <c r="A79" s="746">
        <v>56</v>
      </c>
      <c r="B79" s="12" t="s">
        <v>127</v>
      </c>
      <c r="C79" s="12"/>
      <c r="D79" s="12"/>
      <c r="E79" s="197">
        <f t="shared" ref="E79:K79" si="25">IF(E76&lt;0,0,IF(E76+E77&gt;0,E76+E77,0))</f>
        <v>0</v>
      </c>
      <c r="F79" s="202">
        <f t="shared" si="25"/>
        <v>0</v>
      </c>
      <c r="G79" s="202">
        <f t="shared" si="25"/>
        <v>0</v>
      </c>
      <c r="H79" s="202">
        <f t="shared" si="25"/>
        <v>0</v>
      </c>
      <c r="I79" s="202">
        <f t="shared" si="25"/>
        <v>0</v>
      </c>
      <c r="J79" s="202">
        <f t="shared" si="25"/>
        <v>9913.0215334089589</v>
      </c>
      <c r="K79" s="202">
        <f t="shared" si="25"/>
        <v>83481.601992250158</v>
      </c>
      <c r="L79" s="198"/>
    </row>
    <row r="80" spans="1:12" ht="15.75" x14ac:dyDescent="0.2">
      <c r="A80" s="746">
        <v>57</v>
      </c>
      <c r="B80" s="15" t="s">
        <v>342</v>
      </c>
      <c r="C80" s="12"/>
      <c r="D80" s="12"/>
      <c r="E80" s="197">
        <f>MIN(0,E76)-E77+D80</f>
        <v>-52684.419532742264</v>
      </c>
      <c r="F80" s="197">
        <f t="shared" ref="F80:K80" si="26">MIN(0,F76)-F77+E80</f>
        <v>-84676.676987976825</v>
      </c>
      <c r="G80" s="197">
        <f t="shared" si="26"/>
        <v>-95218.492556619545</v>
      </c>
      <c r="H80" s="197">
        <f t="shared" si="26"/>
        <v>-83520.719176060869</v>
      </c>
      <c r="I80" s="197">
        <f t="shared" si="26"/>
        <v>-48761.937176470092</v>
      </c>
      <c r="J80" s="197">
        <f t="shared" si="26"/>
        <v>0</v>
      </c>
      <c r="K80" s="197">
        <f t="shared" si="26"/>
        <v>0</v>
      </c>
      <c r="L80" s="198"/>
    </row>
    <row r="81" spans="1:12" x14ac:dyDescent="0.2">
      <c r="B81" s="12"/>
      <c r="C81" s="12"/>
      <c r="D81" s="12"/>
      <c r="E81" s="210"/>
      <c r="L81" s="251"/>
    </row>
    <row r="82" spans="1:12" ht="13.5" thickBot="1" x14ac:dyDescent="0.25">
      <c r="A82" s="746">
        <v>58</v>
      </c>
      <c r="B82" s="15" t="s">
        <v>43</v>
      </c>
      <c r="C82" s="12"/>
      <c r="D82" s="371">
        <v>0.28000000000000003</v>
      </c>
      <c r="E82" s="205">
        <f t="shared" ref="E82:K82" si="27">E79*$D$82</f>
        <v>0</v>
      </c>
      <c r="F82" s="206">
        <f t="shared" si="27"/>
        <v>0</v>
      </c>
      <c r="G82" s="206">
        <f t="shared" si="27"/>
        <v>0</v>
      </c>
      <c r="H82" s="206">
        <f t="shared" si="27"/>
        <v>0</v>
      </c>
      <c r="I82" s="206">
        <f t="shared" si="27"/>
        <v>0</v>
      </c>
      <c r="J82" s="206">
        <f t="shared" si="27"/>
        <v>2775.6460293545088</v>
      </c>
      <c r="K82" s="206">
        <f t="shared" si="27"/>
        <v>23374.848557830046</v>
      </c>
      <c r="L82" s="198"/>
    </row>
    <row r="83" spans="1:12" ht="13.5" thickTop="1" x14ac:dyDescent="0.2">
      <c r="B83" s="23"/>
      <c r="C83" s="23"/>
      <c r="D83" s="23"/>
      <c r="E83" s="211"/>
      <c r="L83" s="251"/>
    </row>
    <row r="84" spans="1:12" x14ac:dyDescent="0.2">
      <c r="B84" s="23"/>
      <c r="C84" s="23"/>
      <c r="D84" s="21"/>
      <c r="E84" s="198"/>
      <c r="L84" s="251"/>
    </row>
    <row r="85" spans="1:12" x14ac:dyDescent="0.2">
      <c r="A85" s="746">
        <v>59</v>
      </c>
      <c r="B85" s="36" t="s">
        <v>45</v>
      </c>
      <c r="C85" s="13"/>
      <c r="D85" s="30"/>
      <c r="E85" s="727">
        <v>1</v>
      </c>
      <c r="F85" s="727">
        <v>2</v>
      </c>
      <c r="G85" s="727">
        <v>3</v>
      </c>
      <c r="H85" s="727">
        <v>4</v>
      </c>
      <c r="I85" s="727">
        <v>5</v>
      </c>
      <c r="J85" s="727">
        <v>6</v>
      </c>
      <c r="K85" s="727">
        <v>7</v>
      </c>
      <c r="L85" s="437"/>
    </row>
    <row r="86" spans="1:12" x14ac:dyDescent="0.2">
      <c r="B86" s="14"/>
      <c r="C86" s="12"/>
      <c r="D86" s="28"/>
      <c r="E86" s="197"/>
      <c r="L86" s="251"/>
    </row>
    <row r="87" spans="1:12" x14ac:dyDescent="0.2">
      <c r="A87" s="746">
        <v>60</v>
      </c>
      <c r="B87" s="14" t="s">
        <v>47</v>
      </c>
      <c r="C87" s="12"/>
      <c r="D87" s="28"/>
      <c r="E87" s="197"/>
      <c r="L87" s="251"/>
    </row>
    <row r="88" spans="1:12" x14ac:dyDescent="0.2">
      <c r="A88" s="746">
        <v>61</v>
      </c>
      <c r="B88" s="15" t="s">
        <v>13</v>
      </c>
      <c r="D88" s="370">
        <v>7.4999999999999997E-2</v>
      </c>
      <c r="E88" s="198"/>
      <c r="F88" s="251"/>
      <c r="G88" s="251"/>
      <c r="H88" s="251"/>
      <c r="I88" s="251"/>
      <c r="J88" s="251"/>
      <c r="K88" s="193">
        <f>L59/D88</f>
        <v>8591773.8605443761</v>
      </c>
    </row>
    <row r="89" spans="1:12" x14ac:dyDescent="0.2">
      <c r="A89" s="746">
        <v>62</v>
      </c>
      <c r="B89" s="365" t="s">
        <v>130</v>
      </c>
      <c r="C89" s="360"/>
      <c r="D89" s="373">
        <v>2.5000000000000001E-2</v>
      </c>
      <c r="E89" s="361"/>
      <c r="F89" s="374"/>
      <c r="G89" s="374"/>
      <c r="H89" s="374"/>
      <c r="I89" s="374"/>
      <c r="J89" s="374"/>
      <c r="K89" s="375">
        <f>-K88*D89</f>
        <v>-214794.3465136094</v>
      </c>
    </row>
    <row r="90" spans="1:12" x14ac:dyDescent="0.2">
      <c r="A90" s="746">
        <v>63</v>
      </c>
      <c r="B90" s="12" t="s">
        <v>131</v>
      </c>
      <c r="C90" s="12"/>
      <c r="D90" s="28"/>
      <c r="E90" s="198"/>
      <c r="F90" s="251"/>
      <c r="G90" s="251"/>
      <c r="H90" s="251"/>
      <c r="I90" s="251"/>
      <c r="J90" s="251"/>
      <c r="K90" s="213">
        <f>SUM(K88:K89)</f>
        <v>8376979.5140307667</v>
      </c>
    </row>
    <row r="91" spans="1:12" x14ac:dyDescent="0.2">
      <c r="A91" s="746">
        <v>64</v>
      </c>
      <c r="B91" s="365" t="s">
        <v>48</v>
      </c>
      <c r="C91" s="360"/>
      <c r="D91" s="367"/>
      <c r="E91" s="361"/>
      <c r="F91" s="374"/>
      <c r="G91" s="374"/>
      <c r="H91" s="374"/>
      <c r="I91" s="374"/>
      <c r="J91" s="374"/>
      <c r="K91" s="375">
        <f>-K34</f>
        <v>-5563575.2294419641</v>
      </c>
    </row>
    <row r="92" spans="1:12" ht="13.5" thickBot="1" x14ac:dyDescent="0.25">
      <c r="A92" s="746">
        <v>65</v>
      </c>
      <c r="B92" s="12" t="s">
        <v>142</v>
      </c>
      <c r="D92" s="28"/>
      <c r="E92" s="198"/>
      <c r="F92" s="251"/>
      <c r="G92" s="251"/>
      <c r="H92" s="251"/>
      <c r="I92" s="251"/>
      <c r="J92" s="251"/>
      <c r="K92" s="214">
        <f>SUM(K90:K91)</f>
        <v>2813404.2845888026</v>
      </c>
    </row>
    <row r="93" spans="1:12" ht="13.5" thickTop="1" x14ac:dyDescent="0.2">
      <c r="B93" s="12"/>
      <c r="D93" s="28"/>
      <c r="E93" s="198"/>
      <c r="F93" s="251"/>
      <c r="G93" s="251"/>
      <c r="H93" s="251"/>
      <c r="I93" s="251"/>
      <c r="J93" s="251"/>
      <c r="K93" s="251"/>
    </row>
    <row r="94" spans="1:12" x14ac:dyDescent="0.2">
      <c r="A94" s="746">
        <v>66</v>
      </c>
      <c r="B94" s="15" t="s">
        <v>344</v>
      </c>
      <c r="C94" s="12"/>
      <c r="D94" s="28"/>
      <c r="E94" s="198"/>
      <c r="F94" s="251"/>
      <c r="G94" s="251"/>
      <c r="H94" s="251"/>
      <c r="I94" s="251"/>
      <c r="J94" s="251"/>
      <c r="K94" s="193">
        <f>-K113</f>
        <v>-533786.50728820078</v>
      </c>
    </row>
    <row r="95" spans="1:12" x14ac:dyDescent="0.2">
      <c r="B95" s="15"/>
      <c r="C95" s="12"/>
      <c r="D95" s="28"/>
      <c r="E95" s="198"/>
      <c r="F95" s="251"/>
      <c r="G95" s="251"/>
      <c r="H95" s="251"/>
      <c r="I95" s="251"/>
      <c r="J95" s="251"/>
    </row>
    <row r="96" spans="1:12" ht="13.5" thickBot="1" x14ac:dyDescent="0.25">
      <c r="A96" s="746">
        <v>67</v>
      </c>
      <c r="B96" s="28" t="s">
        <v>143</v>
      </c>
      <c r="C96" s="12"/>
      <c r="D96" s="28"/>
      <c r="E96" s="198"/>
      <c r="F96" s="251"/>
      <c r="G96" s="251"/>
      <c r="H96" s="251"/>
      <c r="I96" s="251"/>
      <c r="J96" s="251"/>
      <c r="K96" s="214">
        <f>SUM(K92:K94)</f>
        <v>2279617.7773006018</v>
      </c>
    </row>
    <row r="97" spans="1:12" ht="13.5" thickTop="1" x14ac:dyDescent="0.2">
      <c r="B97" s="12"/>
      <c r="C97" s="12"/>
      <c r="D97" s="28"/>
      <c r="E97" s="198"/>
      <c r="F97" s="251"/>
      <c r="G97" s="251"/>
      <c r="H97" s="251"/>
      <c r="I97" s="251"/>
      <c r="J97" s="251"/>
    </row>
    <row r="98" spans="1:12" x14ac:dyDescent="0.2">
      <c r="A98" s="746">
        <v>68</v>
      </c>
      <c r="B98" s="14" t="s">
        <v>268</v>
      </c>
      <c r="C98" s="12"/>
      <c r="D98" s="28"/>
      <c r="E98" s="198"/>
      <c r="F98" s="251"/>
      <c r="G98" s="251"/>
      <c r="H98" s="251"/>
      <c r="I98" s="251"/>
      <c r="J98" s="251"/>
    </row>
    <row r="99" spans="1:12" x14ac:dyDescent="0.2">
      <c r="A99" s="746">
        <v>69</v>
      </c>
      <c r="B99" s="12" t="s">
        <v>131</v>
      </c>
      <c r="C99" s="12"/>
      <c r="D99" s="28"/>
      <c r="E99" s="198"/>
      <c r="F99" s="251"/>
      <c r="G99" s="251"/>
      <c r="H99" s="251"/>
      <c r="I99" s="251"/>
      <c r="J99" s="251"/>
      <c r="K99" s="251">
        <f>K90</f>
        <v>8376979.5140307667</v>
      </c>
    </row>
    <row r="100" spans="1:12" x14ac:dyDescent="0.2">
      <c r="A100" s="746">
        <v>70</v>
      </c>
      <c r="B100" s="12" t="s">
        <v>122</v>
      </c>
      <c r="C100" s="12"/>
      <c r="D100" s="28"/>
      <c r="E100" s="198"/>
      <c r="F100" s="251"/>
      <c r="G100" s="251"/>
      <c r="H100" s="251"/>
      <c r="I100" s="251"/>
      <c r="J100" s="251"/>
      <c r="K100" s="212">
        <f>-K46</f>
        <v>-5822255.5737817064</v>
      </c>
    </row>
    <row r="101" spans="1:12" x14ac:dyDescent="0.2">
      <c r="A101" s="746">
        <v>71</v>
      </c>
      <c r="B101" s="12" t="s">
        <v>132</v>
      </c>
      <c r="C101" s="12"/>
      <c r="D101" s="28"/>
      <c r="E101" s="198"/>
      <c r="F101" s="251"/>
      <c r="G101" s="251"/>
      <c r="H101" s="251"/>
      <c r="I101" s="251"/>
      <c r="J101" s="251"/>
      <c r="K101" s="213">
        <f>SUM(K99:K100)</f>
        <v>2554723.9402490603</v>
      </c>
    </row>
    <row r="102" spans="1:12" ht="15.75" x14ac:dyDescent="0.2">
      <c r="A102" s="746">
        <v>72</v>
      </c>
      <c r="B102" s="15" t="s">
        <v>345</v>
      </c>
      <c r="C102" s="12"/>
      <c r="D102" s="28"/>
      <c r="E102" s="198"/>
      <c r="F102" s="251"/>
      <c r="G102" s="251"/>
      <c r="H102" s="251"/>
      <c r="I102" s="251"/>
      <c r="J102" s="251"/>
      <c r="K102" s="212">
        <f>K80</f>
        <v>0</v>
      </c>
    </row>
    <row r="103" spans="1:12" x14ac:dyDescent="0.2">
      <c r="A103" s="746">
        <v>73</v>
      </c>
      <c r="B103" s="15" t="s">
        <v>288</v>
      </c>
      <c r="C103" s="12"/>
      <c r="D103" s="28"/>
      <c r="E103" s="198"/>
      <c r="F103" s="251"/>
      <c r="G103" s="251"/>
      <c r="H103" s="251"/>
      <c r="I103" s="251"/>
      <c r="J103" s="251"/>
      <c r="K103" s="193">
        <f>SUM(K101:K102)</f>
        <v>2554723.9402490603</v>
      </c>
    </row>
    <row r="104" spans="1:12" x14ac:dyDescent="0.2">
      <c r="B104" s="12"/>
      <c r="C104" s="12"/>
      <c r="D104" s="28"/>
      <c r="E104" s="198"/>
      <c r="F104" s="251"/>
      <c r="G104" s="251"/>
      <c r="H104" s="251"/>
      <c r="I104" s="251"/>
      <c r="J104" s="251"/>
    </row>
    <row r="105" spans="1:12" x14ac:dyDescent="0.2">
      <c r="A105" s="746">
        <v>74</v>
      </c>
      <c r="B105" s="12"/>
      <c r="C105" s="12" t="s">
        <v>154</v>
      </c>
      <c r="D105" s="28"/>
      <c r="E105" s="198"/>
      <c r="F105" s="251"/>
      <c r="G105" s="251"/>
      <c r="H105" s="251"/>
      <c r="I105" s="251"/>
      <c r="J105" s="251"/>
      <c r="K105" s="212">
        <f>K44</f>
        <v>1597154.0240148038</v>
      </c>
    </row>
    <row r="106" spans="1:12" x14ac:dyDescent="0.2">
      <c r="A106" s="746">
        <v>75</v>
      </c>
      <c r="B106" s="12"/>
      <c r="C106" s="12" t="s">
        <v>155</v>
      </c>
      <c r="D106" s="371">
        <v>0.25</v>
      </c>
      <c r="E106" s="198"/>
      <c r="F106" s="251"/>
      <c r="G106" s="251"/>
      <c r="H106" s="251"/>
      <c r="I106" s="251"/>
      <c r="J106" s="251"/>
      <c r="K106" s="193">
        <f>K105*D106</f>
        <v>399288.50600370095</v>
      </c>
    </row>
    <row r="107" spans="1:12" x14ac:dyDescent="0.2">
      <c r="B107" s="12"/>
      <c r="C107" s="12"/>
      <c r="D107" s="371"/>
      <c r="E107" s="198"/>
      <c r="F107" s="251"/>
      <c r="G107" s="251"/>
      <c r="H107" s="251"/>
      <c r="I107" s="251"/>
      <c r="J107" s="251"/>
    </row>
    <row r="108" spans="1:12" x14ac:dyDescent="0.2">
      <c r="A108" s="746">
        <v>76</v>
      </c>
      <c r="C108" s="12" t="s">
        <v>133</v>
      </c>
      <c r="D108" s="28"/>
      <c r="E108" s="198"/>
      <c r="F108" s="251"/>
      <c r="G108" s="251"/>
      <c r="H108" s="251"/>
      <c r="I108" s="251"/>
      <c r="J108" s="251"/>
      <c r="K108" s="251">
        <f>K103-K105</f>
        <v>957569.91623425647</v>
      </c>
    </row>
    <row r="109" spans="1:12" s="643" customFormat="1" ht="15.75" x14ac:dyDescent="0.2">
      <c r="A109" s="746">
        <v>77</v>
      </c>
      <c r="C109" s="365" t="s">
        <v>346</v>
      </c>
      <c r="D109" s="367"/>
      <c r="E109" s="361"/>
      <c r="F109" s="374"/>
      <c r="G109" s="374"/>
      <c r="H109" s="374"/>
      <c r="I109" s="374"/>
      <c r="J109" s="374"/>
      <c r="K109" s="644">
        <f>-SUM(E73:K73)</f>
        <v>-60916.574337590551</v>
      </c>
      <c r="L109" s="375"/>
    </row>
    <row r="110" spans="1:12" x14ac:dyDescent="0.2">
      <c r="A110" s="746">
        <v>78</v>
      </c>
      <c r="C110" s="12" t="s">
        <v>286</v>
      </c>
      <c r="D110" s="28"/>
      <c r="E110" s="198"/>
      <c r="F110" s="251"/>
      <c r="G110" s="251"/>
      <c r="H110" s="251"/>
      <c r="I110" s="251"/>
      <c r="J110" s="251"/>
      <c r="K110" s="645">
        <f>SUM(K108:K109)</f>
        <v>896653.34189666586</v>
      </c>
    </row>
    <row r="111" spans="1:12" x14ac:dyDescent="0.2">
      <c r="A111" s="746">
        <v>79</v>
      </c>
      <c r="B111" s="12"/>
      <c r="C111" s="29" t="s">
        <v>134</v>
      </c>
      <c r="D111" s="371">
        <v>0.15</v>
      </c>
      <c r="E111" s="198"/>
      <c r="F111" s="251"/>
      <c r="G111" s="251"/>
      <c r="H111" s="251"/>
      <c r="I111" s="251"/>
      <c r="J111" s="251"/>
      <c r="K111" s="193">
        <f>K110*D111</f>
        <v>134498.00128449989</v>
      </c>
    </row>
    <row r="112" spans="1:12" x14ac:dyDescent="0.2">
      <c r="B112" s="12"/>
      <c r="C112" s="12"/>
      <c r="D112" s="28"/>
      <c r="E112" s="197"/>
    </row>
    <row r="113" spans="1:12" x14ac:dyDescent="0.2">
      <c r="A113" s="746">
        <v>80</v>
      </c>
      <c r="B113" s="12"/>
      <c r="C113" s="15" t="s">
        <v>55</v>
      </c>
      <c r="D113" s="28"/>
      <c r="E113" s="197"/>
      <c r="K113" s="193">
        <f>SUM(K111,K106)</f>
        <v>533786.50728820078</v>
      </c>
    </row>
    <row r="114" spans="1:12" x14ac:dyDescent="0.2">
      <c r="B114" s="12"/>
      <c r="C114" s="12"/>
      <c r="D114" s="28"/>
      <c r="E114" s="197"/>
    </row>
    <row r="115" spans="1:12" x14ac:dyDescent="0.2">
      <c r="A115" s="746">
        <v>81</v>
      </c>
      <c r="B115" s="12"/>
      <c r="C115" s="28"/>
      <c r="D115" s="28"/>
      <c r="E115" s="197"/>
    </row>
    <row r="116" spans="1:12" x14ac:dyDescent="0.2">
      <c r="A116" s="746">
        <v>82</v>
      </c>
      <c r="B116" s="36" t="s">
        <v>144</v>
      </c>
      <c r="C116" s="13"/>
      <c r="D116" s="728" t="s">
        <v>145</v>
      </c>
      <c r="E116" s="727">
        <v>1</v>
      </c>
      <c r="F116" s="727">
        <v>2</v>
      </c>
      <c r="G116" s="727">
        <v>3</v>
      </c>
      <c r="H116" s="727">
        <v>4</v>
      </c>
      <c r="I116" s="727">
        <v>5</v>
      </c>
      <c r="J116" s="727">
        <v>6</v>
      </c>
      <c r="K116" s="727">
        <v>7</v>
      </c>
      <c r="L116" s="339"/>
    </row>
    <row r="117" spans="1:12" x14ac:dyDescent="0.2">
      <c r="B117" s="37"/>
      <c r="C117" s="23"/>
      <c r="D117" s="17"/>
      <c r="E117" s="195"/>
    </row>
    <row r="118" spans="1:12" x14ac:dyDescent="0.2">
      <c r="A118" s="746">
        <v>83</v>
      </c>
      <c r="B118" s="37" t="s">
        <v>146</v>
      </c>
      <c r="C118" s="23"/>
      <c r="D118" s="17"/>
      <c r="E118" s="195"/>
    </row>
    <row r="119" spans="1:12" x14ac:dyDescent="0.2">
      <c r="A119" s="746">
        <v>84</v>
      </c>
      <c r="B119" s="376" t="s">
        <v>147</v>
      </c>
      <c r="C119" s="12"/>
      <c r="D119" s="153">
        <f>IF(E51=0,-D7,-D8)</f>
        <v>-8274207.5716760866</v>
      </c>
      <c r="E119" s="197"/>
    </row>
    <row r="120" spans="1:12" ht="15.75" x14ac:dyDescent="0.2">
      <c r="A120" s="746">
        <v>85</v>
      </c>
      <c r="B120" s="366" t="s">
        <v>347</v>
      </c>
      <c r="C120" s="12"/>
      <c r="D120" s="346"/>
      <c r="E120" s="197">
        <f>'4-4b - St2b Condo Add'!B24</f>
        <v>975000</v>
      </c>
    </row>
    <row r="121" spans="1:12" x14ac:dyDescent="0.2">
      <c r="A121" s="746">
        <v>86</v>
      </c>
      <c r="B121" s="376" t="s">
        <v>65</v>
      </c>
      <c r="C121" s="12"/>
      <c r="D121" s="12"/>
      <c r="E121" s="197">
        <f t="shared" ref="E121:K121" si="28">E59</f>
        <v>523942.37950427603</v>
      </c>
      <c r="F121" s="197">
        <f t="shared" si="28"/>
        <v>539660.65088940435</v>
      </c>
      <c r="G121" s="197">
        <f t="shared" si="28"/>
        <v>555850.47041608638</v>
      </c>
      <c r="H121" s="197">
        <f t="shared" si="28"/>
        <v>572525.98452856904</v>
      </c>
      <c r="I121" s="197">
        <f t="shared" si="28"/>
        <v>589701.76406442607</v>
      </c>
      <c r="J121" s="197">
        <f t="shared" si="28"/>
        <v>607392.81698635872</v>
      </c>
      <c r="K121" s="197">
        <f t="shared" si="28"/>
        <v>625614.60149594955</v>
      </c>
      <c r="L121" s="197"/>
    </row>
    <row r="122" spans="1:12" x14ac:dyDescent="0.2">
      <c r="A122" s="746">
        <v>87</v>
      </c>
      <c r="B122" s="376" t="s">
        <v>131</v>
      </c>
      <c r="C122" s="12"/>
      <c r="D122" s="30"/>
      <c r="E122" s="200"/>
      <c r="F122" s="212"/>
      <c r="G122" s="212"/>
      <c r="H122" s="212"/>
      <c r="I122" s="212"/>
      <c r="J122" s="212"/>
      <c r="K122" s="212">
        <f>K90</f>
        <v>8376979.5140307667</v>
      </c>
    </row>
    <row r="123" spans="1:12" ht="13.5" thickBot="1" x14ac:dyDescent="0.25">
      <c r="A123" s="746">
        <v>88</v>
      </c>
      <c r="B123" s="15" t="s">
        <v>49</v>
      </c>
      <c r="D123" s="33">
        <f>SUM(D119:D122)</f>
        <v>-8274207.5716760866</v>
      </c>
      <c r="E123" s="33">
        <f t="shared" ref="E123:K123" si="29">SUM(E119:E122)</f>
        <v>1498942.379504276</v>
      </c>
      <c r="F123" s="33">
        <f t="shared" si="29"/>
        <v>539660.65088940435</v>
      </c>
      <c r="G123" s="33">
        <f t="shared" si="29"/>
        <v>555850.47041608638</v>
      </c>
      <c r="H123" s="33">
        <f t="shared" si="29"/>
        <v>572525.98452856904</v>
      </c>
      <c r="I123" s="33">
        <f t="shared" si="29"/>
        <v>589701.76406442607</v>
      </c>
      <c r="J123" s="33">
        <f t="shared" si="29"/>
        <v>607392.81698635872</v>
      </c>
      <c r="K123" s="33">
        <f t="shared" si="29"/>
        <v>9002594.1155267172</v>
      </c>
    </row>
    <row r="124" spans="1:12" ht="13.5" thickTop="1" x14ac:dyDescent="0.2">
      <c r="B124" s="14"/>
      <c r="C124" s="12"/>
      <c r="D124" s="28"/>
      <c r="E124" s="195"/>
    </row>
    <row r="125" spans="1:12" x14ac:dyDescent="0.2">
      <c r="A125" s="746">
        <v>89</v>
      </c>
      <c r="B125" s="377" t="s">
        <v>149</v>
      </c>
      <c r="C125" s="378"/>
      <c r="D125" s="379">
        <f>IRR(D123:K123)</f>
        <v>9.1506304302496844E-2</v>
      </c>
      <c r="E125" s="195"/>
    </row>
    <row r="126" spans="1:12" ht="15.75" x14ac:dyDescent="0.2">
      <c r="A126" s="746">
        <v>90</v>
      </c>
      <c r="B126" s="380" t="s">
        <v>348</v>
      </c>
      <c r="C126" s="36"/>
      <c r="D126" s="381">
        <f>D123+NPV(0.08,E123:K123)</f>
        <v>475478.59509395808</v>
      </c>
      <c r="E126" s="195"/>
    </row>
    <row r="127" spans="1:12" x14ac:dyDescent="0.2">
      <c r="B127" s="15"/>
      <c r="C127" s="12"/>
      <c r="D127" s="38"/>
      <c r="E127" s="195"/>
    </row>
    <row r="128" spans="1:12" x14ac:dyDescent="0.2">
      <c r="B128" s="14"/>
      <c r="C128" s="12"/>
      <c r="D128" s="28"/>
      <c r="E128" s="195"/>
    </row>
    <row r="129" spans="1:11" x14ac:dyDescent="0.2">
      <c r="A129" s="746">
        <v>91</v>
      </c>
      <c r="B129" s="39" t="s">
        <v>150</v>
      </c>
      <c r="C129" s="35"/>
      <c r="D129" s="35"/>
      <c r="E129" s="208"/>
    </row>
    <row r="130" spans="1:11" x14ac:dyDescent="0.2">
      <c r="A130" s="746">
        <v>92</v>
      </c>
      <c r="B130" s="376" t="s">
        <v>137</v>
      </c>
      <c r="C130" s="12"/>
      <c r="D130" s="32">
        <f>IF(E51=0,-D12,-D26)</f>
        <v>-1356858.3898080494</v>
      </c>
      <c r="E130" s="197"/>
    </row>
    <row r="131" spans="1:11" ht="15.75" x14ac:dyDescent="0.2">
      <c r="A131" s="746">
        <v>93</v>
      </c>
      <c r="B131" s="366" t="s">
        <v>349</v>
      </c>
      <c r="C131" s="12"/>
      <c r="D131" s="32"/>
      <c r="E131" s="197">
        <f>'4-4b - St2b Condo Add'!B27</f>
        <v>246531.67324674415</v>
      </c>
    </row>
    <row r="132" spans="1:11" x14ac:dyDescent="0.2">
      <c r="A132" s="746">
        <v>94</v>
      </c>
      <c r="B132" s="376" t="s">
        <v>140</v>
      </c>
      <c r="C132" s="12"/>
      <c r="D132" s="12"/>
      <c r="E132" s="197">
        <f>E63</f>
        <v>87323.729917378456</v>
      </c>
      <c r="F132" s="197">
        <f t="shared" ref="F132:K132" si="30">F63</f>
        <v>103042.00130250677</v>
      </c>
      <c r="G132" s="197">
        <f t="shared" si="30"/>
        <v>119231.8208291888</v>
      </c>
      <c r="H132" s="197">
        <f t="shared" si="30"/>
        <v>135907.33494167146</v>
      </c>
      <c r="I132" s="197">
        <f t="shared" si="30"/>
        <v>153083.11447752849</v>
      </c>
      <c r="J132" s="197">
        <f t="shared" si="30"/>
        <v>170774.16739946115</v>
      </c>
      <c r="K132" s="197">
        <f t="shared" si="30"/>
        <v>188995.95190905198</v>
      </c>
    </row>
    <row r="133" spans="1:11" x14ac:dyDescent="0.2">
      <c r="A133" s="746">
        <v>95</v>
      </c>
      <c r="B133" s="376" t="s">
        <v>142</v>
      </c>
      <c r="C133" s="12"/>
      <c r="D133" s="30"/>
      <c r="E133" s="200"/>
      <c r="F133" s="212"/>
      <c r="G133" s="212"/>
      <c r="H133" s="212"/>
      <c r="I133" s="212"/>
      <c r="J133" s="212"/>
      <c r="K133" s="212">
        <f>K92</f>
        <v>2813404.2845888026</v>
      </c>
    </row>
    <row r="134" spans="1:11" ht="13.5" thickBot="1" x14ac:dyDescent="0.25">
      <c r="A134" s="746">
        <v>96</v>
      </c>
      <c r="B134" s="12" t="s">
        <v>148</v>
      </c>
      <c r="D134" s="33">
        <f>SUM(D130:D133)</f>
        <v>-1356858.3898080494</v>
      </c>
      <c r="E134" s="33">
        <f t="shared" ref="E134:K134" si="31">SUM(E130:E133)</f>
        <v>333855.4031641226</v>
      </c>
      <c r="F134" s="33">
        <f t="shared" si="31"/>
        <v>103042.00130250677</v>
      </c>
      <c r="G134" s="33">
        <f t="shared" si="31"/>
        <v>119231.8208291888</v>
      </c>
      <c r="H134" s="33">
        <f t="shared" si="31"/>
        <v>135907.33494167146</v>
      </c>
      <c r="I134" s="33">
        <f t="shared" si="31"/>
        <v>153083.11447752849</v>
      </c>
      <c r="J134" s="33">
        <f t="shared" si="31"/>
        <v>170774.16739946115</v>
      </c>
      <c r="K134" s="33">
        <f t="shared" si="31"/>
        <v>3002400.2364978548</v>
      </c>
    </row>
    <row r="135" spans="1:11" ht="13.5" thickTop="1" x14ac:dyDescent="0.2">
      <c r="B135" s="12"/>
      <c r="C135" s="12"/>
      <c r="D135" s="29"/>
      <c r="E135" s="197"/>
    </row>
    <row r="136" spans="1:11" x14ac:dyDescent="0.2">
      <c r="A136" s="746">
        <v>97</v>
      </c>
      <c r="B136" s="377" t="s">
        <v>150</v>
      </c>
      <c r="C136" s="378"/>
      <c r="D136" s="379">
        <f>IRR(D134:K134)</f>
        <v>0.21421949247632122</v>
      </c>
      <c r="E136" s="197"/>
    </row>
    <row r="137" spans="1:11" x14ac:dyDescent="0.2">
      <c r="A137" s="746">
        <v>98</v>
      </c>
      <c r="B137" s="380" t="s">
        <v>54</v>
      </c>
      <c r="C137" s="36"/>
      <c r="D137" s="381">
        <f>D134+NPV(0.15,E134:K134)</f>
        <v>446120.73653674964</v>
      </c>
      <c r="E137" s="197"/>
    </row>
    <row r="138" spans="1:11" x14ac:dyDescent="0.2">
      <c r="B138" s="15"/>
      <c r="C138" s="15"/>
      <c r="D138" s="38"/>
      <c r="E138" s="197"/>
    </row>
    <row r="139" spans="1:11" x14ac:dyDescent="0.2">
      <c r="B139" s="20" t="s">
        <v>57</v>
      </c>
      <c r="C139" s="20"/>
      <c r="D139" s="34" t="s">
        <v>57</v>
      </c>
      <c r="E139" s="207" t="s">
        <v>57</v>
      </c>
    </row>
    <row r="140" spans="1:11" x14ac:dyDescent="0.2">
      <c r="A140" s="746">
        <v>99</v>
      </c>
      <c r="B140" s="14" t="s">
        <v>152</v>
      </c>
      <c r="C140" s="12"/>
      <c r="D140" s="28"/>
      <c r="E140" s="197"/>
    </row>
    <row r="141" spans="1:11" x14ac:dyDescent="0.2">
      <c r="A141" s="746">
        <v>100</v>
      </c>
      <c r="B141" s="366" t="s">
        <v>137</v>
      </c>
      <c r="C141" s="12"/>
      <c r="D141" s="32">
        <f>IF(E51=0,-D12,-D26)</f>
        <v>-1356858.3898080494</v>
      </c>
    </row>
    <row r="142" spans="1:11" ht="15.75" x14ac:dyDescent="0.2">
      <c r="A142" s="746">
        <v>101</v>
      </c>
      <c r="B142" s="366" t="s">
        <v>350</v>
      </c>
      <c r="C142" s="12"/>
      <c r="D142" s="32"/>
      <c r="E142" s="197">
        <f>'4-4b - St2b Condo Add'!B29</f>
        <v>204460.96410459606</v>
      </c>
    </row>
    <row r="143" spans="1:11" x14ac:dyDescent="0.2">
      <c r="A143" s="746">
        <v>102</v>
      </c>
      <c r="B143" s="376" t="s">
        <v>141</v>
      </c>
      <c r="C143" s="12"/>
      <c r="D143" s="12"/>
      <c r="E143" s="197">
        <f t="shared" ref="E143:K143" si="32">E67</f>
        <v>87323.729917378456</v>
      </c>
      <c r="F143" s="197">
        <f t="shared" si="32"/>
        <v>103042.00130250677</v>
      </c>
      <c r="G143" s="197">
        <f t="shared" si="32"/>
        <v>119231.8208291888</v>
      </c>
      <c r="H143" s="197">
        <f t="shared" si="32"/>
        <v>135907.33494167146</v>
      </c>
      <c r="I143" s="197">
        <f t="shared" si="32"/>
        <v>153083.11447752849</v>
      </c>
      <c r="J143" s="197">
        <f t="shared" si="32"/>
        <v>167998.52137010664</v>
      </c>
      <c r="K143" s="197">
        <f t="shared" si="32"/>
        <v>165621.10335122194</v>
      </c>
    </row>
    <row r="144" spans="1:11" x14ac:dyDescent="0.2">
      <c r="A144" s="746">
        <v>103</v>
      </c>
      <c r="B144" s="376" t="s">
        <v>143</v>
      </c>
      <c r="C144" s="12"/>
      <c r="D144" s="30"/>
      <c r="E144" s="200"/>
      <c r="F144" s="212"/>
      <c r="G144" s="212"/>
      <c r="H144" s="212"/>
      <c r="I144" s="212"/>
      <c r="J144" s="212"/>
      <c r="K144" s="212">
        <f>K96</f>
        <v>2279617.7773006018</v>
      </c>
    </row>
    <row r="145" spans="1:11" ht="13.5" thickBot="1" x14ac:dyDescent="0.25">
      <c r="A145" s="746">
        <v>104</v>
      </c>
      <c r="B145" s="12" t="s">
        <v>151</v>
      </c>
      <c r="D145" s="33">
        <f>SUM(D141:D144)</f>
        <v>-1356858.3898080494</v>
      </c>
      <c r="E145" s="33">
        <f>SUM(E141:E144)</f>
        <v>291784.69402197452</v>
      </c>
      <c r="F145" s="33">
        <f t="shared" ref="F145:K145" si="33">SUM(F141:F144)</f>
        <v>103042.00130250677</v>
      </c>
      <c r="G145" s="33">
        <f t="shared" si="33"/>
        <v>119231.8208291888</v>
      </c>
      <c r="H145" s="33">
        <f t="shared" si="33"/>
        <v>135907.33494167146</v>
      </c>
      <c r="I145" s="33">
        <f t="shared" si="33"/>
        <v>153083.11447752849</v>
      </c>
      <c r="J145" s="33">
        <f t="shared" si="33"/>
        <v>167998.52137010664</v>
      </c>
      <c r="K145" s="33">
        <f t="shared" si="33"/>
        <v>2445238.8806518237</v>
      </c>
    </row>
    <row r="146" spans="1:11" ht="13.5" thickTop="1" x14ac:dyDescent="0.2">
      <c r="B146" s="12"/>
      <c r="C146" s="12"/>
      <c r="D146" s="28"/>
      <c r="E146" s="197"/>
    </row>
    <row r="147" spans="1:11" x14ac:dyDescent="0.2">
      <c r="A147" s="746">
        <v>105</v>
      </c>
      <c r="B147" s="377" t="s">
        <v>152</v>
      </c>
      <c r="C147" s="378"/>
      <c r="D147" s="379">
        <f>SUM(IRR(D145:K145))</f>
        <v>0.18065356468612315</v>
      </c>
      <c r="E147" s="197"/>
    </row>
    <row r="148" spans="1:11" x14ac:dyDescent="0.2">
      <c r="A148" s="746">
        <v>106</v>
      </c>
      <c r="B148" s="380" t="s">
        <v>54</v>
      </c>
      <c r="C148" s="36"/>
      <c r="D148" s="381">
        <f>D145+NPV(0.15,E145:K145)</f>
        <v>198879.93194448529</v>
      </c>
      <c r="E148" s="197"/>
    </row>
    <row r="149" spans="1:11" x14ac:dyDescent="0.2">
      <c r="B149" s="12"/>
      <c r="C149" s="12"/>
      <c r="D149" s="12"/>
      <c r="E149" s="194"/>
    </row>
    <row r="150" spans="1:11" x14ac:dyDescent="0.2">
      <c r="B150" s="12"/>
      <c r="C150" s="12"/>
      <c r="D150" s="12"/>
      <c r="E150" s="194"/>
      <c r="F150" s="730"/>
    </row>
    <row r="151" spans="1:11" x14ac:dyDescent="0.2">
      <c r="A151" s="746">
        <v>107</v>
      </c>
      <c r="B151" s="731" t="s">
        <v>153</v>
      </c>
      <c r="C151" s="388"/>
      <c r="D151" s="389"/>
      <c r="E151" s="729">
        <v>1</v>
      </c>
      <c r="F151" s="729">
        <v>2</v>
      </c>
      <c r="G151" s="729">
        <v>3</v>
      </c>
      <c r="H151" s="729">
        <v>4</v>
      </c>
      <c r="I151" s="729">
        <v>5</v>
      </c>
      <c r="J151" s="729">
        <v>6</v>
      </c>
      <c r="K151" s="729">
        <v>7</v>
      </c>
    </row>
    <row r="152" spans="1:11" x14ac:dyDescent="0.2">
      <c r="A152" s="746">
        <v>108</v>
      </c>
      <c r="B152" s="384" t="s">
        <v>351</v>
      </c>
      <c r="C152" s="382"/>
      <c r="D152" s="383"/>
      <c r="E152" s="385">
        <f>E59/$E$7</f>
        <v>7.061779951599946E-2</v>
      </c>
      <c r="F152" s="385">
        <f t="shared" ref="F152:K152" si="34">F59/$E$7</f>
        <v>7.2736333501479442E-2</v>
      </c>
      <c r="G152" s="385">
        <f t="shared" si="34"/>
        <v>7.4918423506523807E-2</v>
      </c>
      <c r="H152" s="385">
        <f t="shared" si="34"/>
        <v>7.7165976211719542E-2</v>
      </c>
      <c r="I152" s="385">
        <f t="shared" si="34"/>
        <v>7.9480955498071118E-2</v>
      </c>
      <c r="J152" s="385">
        <f t="shared" si="34"/>
        <v>8.1865384163013241E-2</v>
      </c>
      <c r="K152" s="385">
        <f t="shared" si="34"/>
        <v>8.4321345687903643E-2</v>
      </c>
    </row>
    <row r="153" spans="1:11" x14ac:dyDescent="0.2">
      <c r="A153" s="746">
        <v>109</v>
      </c>
      <c r="B153" s="384" t="s">
        <v>352</v>
      </c>
      <c r="C153" s="382"/>
      <c r="D153" s="386"/>
      <c r="E153" s="387">
        <f>-E63/$D$130</f>
        <v>6.4357290763210645E-2</v>
      </c>
      <c r="F153" s="387">
        <f t="shared" ref="F153:K153" si="35">-F63/$D$130</f>
        <v>7.5941603100588714E-2</v>
      </c>
      <c r="G153" s="387">
        <f t="shared" si="35"/>
        <v>8.7873444808088008E-2</v>
      </c>
      <c r="H153" s="387">
        <f t="shared" si="35"/>
        <v>0.10016324176681242</v>
      </c>
      <c r="I153" s="387">
        <f t="shared" si="35"/>
        <v>0.11282173263429847</v>
      </c>
      <c r="J153" s="387">
        <f t="shared" si="35"/>
        <v>0.12585997822780906</v>
      </c>
      <c r="K153" s="387">
        <f t="shared" si="35"/>
        <v>0.1392893711891251</v>
      </c>
    </row>
    <row r="154" spans="1:11" x14ac:dyDescent="0.2">
      <c r="A154" s="746">
        <v>110</v>
      </c>
      <c r="B154" s="384" t="s">
        <v>353</v>
      </c>
      <c r="C154" s="382"/>
      <c r="D154" s="383"/>
      <c r="E154" s="387">
        <f>E77/$D$130</f>
        <v>0</v>
      </c>
      <c r="F154" s="387">
        <f t="shared" ref="F154:K154" si="36">F77/$D$130</f>
        <v>0</v>
      </c>
      <c r="G154" s="387">
        <f t="shared" si="36"/>
        <v>0</v>
      </c>
      <c r="H154" s="387">
        <f t="shared" si="36"/>
        <v>8.6212190368764458E-3</v>
      </c>
      <c r="I154" s="387">
        <f t="shared" si="36"/>
        <v>2.5617103642265864E-2</v>
      </c>
      <c r="J154" s="387">
        <f t="shared" si="36"/>
        <v>3.5937381190802302E-2</v>
      </c>
      <c r="K154" s="387">
        <f t="shared" si="36"/>
        <v>0</v>
      </c>
    </row>
    <row r="155" spans="1:11" x14ac:dyDescent="0.2">
      <c r="A155" s="746"/>
    </row>
    <row r="156" spans="1:11" x14ac:dyDescent="0.2">
      <c r="A156" s="746"/>
    </row>
    <row r="157" spans="1:11" x14ac:dyDescent="0.2">
      <c r="A157" s="746"/>
    </row>
    <row r="158" spans="1:11" x14ac:dyDescent="0.2">
      <c r="A158" s="746"/>
    </row>
    <row r="159" spans="1:11" x14ac:dyDescent="0.2">
      <c r="A159" s="746"/>
      <c r="B159" s="150"/>
      <c r="C159" s="151" t="s">
        <v>172</v>
      </c>
    </row>
    <row r="160" spans="1:11" x14ac:dyDescent="0.2">
      <c r="A160" s="746"/>
    </row>
    <row r="161" spans="1:12" x14ac:dyDescent="0.2">
      <c r="A161" s="746"/>
      <c r="B161" s="804" t="s">
        <v>428</v>
      </c>
      <c r="C161" s="805"/>
      <c r="D161" s="805"/>
      <c r="E161" s="805"/>
      <c r="F161" s="805"/>
      <c r="G161" s="805"/>
      <c r="H161" s="805"/>
      <c r="I161" s="805"/>
      <c r="J161" s="805"/>
      <c r="K161" s="805"/>
      <c r="L161" s="805"/>
    </row>
    <row r="162" spans="1:12" x14ac:dyDescent="0.2">
      <c r="A162" s="746"/>
      <c r="B162" s="805"/>
      <c r="C162" s="805"/>
      <c r="D162" s="805"/>
      <c r="E162" s="805"/>
      <c r="F162" s="805"/>
      <c r="G162" s="805"/>
      <c r="H162" s="805"/>
      <c r="I162" s="805"/>
      <c r="J162" s="805"/>
      <c r="K162" s="805"/>
      <c r="L162" s="805"/>
    </row>
    <row r="163" spans="1:12" x14ac:dyDescent="0.2">
      <c r="A163" s="746"/>
    </row>
    <row r="164" spans="1:12" x14ac:dyDescent="0.2">
      <c r="A164" s="746"/>
      <c r="B164" s="804" t="s">
        <v>354</v>
      </c>
      <c r="C164" s="805"/>
      <c r="D164" s="805"/>
      <c r="E164" s="805"/>
      <c r="F164" s="805"/>
      <c r="G164" s="805"/>
      <c r="H164" s="805"/>
      <c r="I164" s="805"/>
      <c r="J164" s="805"/>
      <c r="K164" s="805"/>
      <c r="L164" s="805"/>
    </row>
    <row r="165" spans="1:12" x14ac:dyDescent="0.2">
      <c r="A165" s="746"/>
      <c r="B165" s="805"/>
      <c r="C165" s="805"/>
      <c r="D165" s="805"/>
      <c r="E165" s="805"/>
      <c r="F165" s="805"/>
      <c r="G165" s="805"/>
      <c r="H165" s="805"/>
      <c r="I165" s="805"/>
      <c r="J165" s="805"/>
      <c r="K165" s="805"/>
      <c r="L165" s="805"/>
    </row>
    <row r="166" spans="1:12" x14ac:dyDescent="0.2">
      <c r="A166" s="746"/>
    </row>
    <row r="167" spans="1:12" ht="24.75" customHeight="1" x14ac:dyDescent="0.2">
      <c r="A167" s="747"/>
      <c r="B167" s="804" t="s">
        <v>429</v>
      </c>
      <c r="C167" s="811"/>
      <c r="D167" s="811"/>
      <c r="E167" s="811"/>
      <c r="F167" s="811"/>
      <c r="G167" s="811"/>
      <c r="H167" s="811"/>
      <c r="I167" s="811"/>
      <c r="J167" s="811"/>
      <c r="K167" s="811"/>
      <c r="L167" s="811"/>
    </row>
    <row r="168" spans="1:12" x14ac:dyDescent="0.2">
      <c r="A168" s="275"/>
    </row>
    <row r="169" spans="1:12" x14ac:dyDescent="0.2">
      <c r="B169" s="804" t="s">
        <v>430</v>
      </c>
      <c r="C169" s="805"/>
      <c r="D169" s="805"/>
      <c r="E169" s="805"/>
      <c r="F169" s="805"/>
      <c r="G169" s="805"/>
      <c r="H169" s="805"/>
      <c r="I169" s="805"/>
      <c r="J169" s="805"/>
      <c r="K169" s="805"/>
      <c r="L169" s="805"/>
    </row>
    <row r="170" spans="1:12" x14ac:dyDescent="0.2">
      <c r="B170" s="805"/>
      <c r="C170" s="805"/>
      <c r="D170" s="805"/>
      <c r="E170" s="805"/>
      <c r="F170" s="805"/>
      <c r="G170" s="805"/>
      <c r="H170" s="805"/>
      <c r="I170" s="805"/>
      <c r="J170" s="805"/>
      <c r="K170" s="805"/>
      <c r="L170" s="805"/>
    </row>
    <row r="171" spans="1:12" x14ac:dyDescent="0.2">
      <c r="B171" s="805"/>
      <c r="C171" s="805"/>
      <c r="D171" s="805"/>
      <c r="E171" s="805"/>
      <c r="F171" s="805"/>
      <c r="G171" s="805"/>
      <c r="H171" s="805"/>
      <c r="I171" s="805"/>
      <c r="J171" s="805"/>
      <c r="K171" s="805"/>
      <c r="L171" s="805"/>
    </row>
    <row r="173" spans="1:12" ht="12.75" customHeight="1" x14ac:dyDescent="0.2">
      <c r="B173" s="804" t="s">
        <v>421</v>
      </c>
      <c r="C173" s="804"/>
      <c r="D173" s="804"/>
      <c r="E173" s="804"/>
      <c r="F173" s="804"/>
      <c r="G173" s="804"/>
      <c r="H173" s="804"/>
      <c r="I173" s="804"/>
      <c r="J173" s="804"/>
      <c r="K173" s="804"/>
      <c r="L173" s="804"/>
    </row>
    <row r="174" spans="1:12" x14ac:dyDescent="0.2">
      <c r="B174" s="804"/>
      <c r="C174" s="804"/>
      <c r="D174" s="804"/>
      <c r="E174" s="804"/>
      <c r="F174" s="804"/>
      <c r="G174" s="804"/>
      <c r="H174" s="804"/>
      <c r="I174" s="804"/>
      <c r="J174" s="804"/>
      <c r="K174" s="804"/>
      <c r="L174" s="804"/>
    </row>
    <row r="175" spans="1:12" x14ac:dyDescent="0.2">
      <c r="B175" s="804"/>
      <c r="C175" s="804"/>
      <c r="D175" s="804"/>
      <c r="E175" s="804"/>
      <c r="F175" s="804"/>
      <c r="G175" s="804"/>
      <c r="H175" s="804"/>
      <c r="I175" s="804"/>
      <c r="J175" s="804"/>
      <c r="K175" s="804"/>
      <c r="L175" s="804"/>
    </row>
    <row r="177" spans="2:12" ht="14.25" x14ac:dyDescent="0.2">
      <c r="B177" s="642" t="s">
        <v>355</v>
      </c>
    </row>
    <row r="179" spans="2:12" x14ac:dyDescent="0.2">
      <c r="B179" s="804" t="s">
        <v>431</v>
      </c>
      <c r="C179" s="805"/>
      <c r="D179" s="805"/>
      <c r="E179" s="805"/>
      <c r="F179" s="805"/>
      <c r="G179" s="805"/>
      <c r="H179" s="805"/>
      <c r="I179" s="805"/>
      <c r="J179" s="805"/>
      <c r="K179" s="805"/>
      <c r="L179" s="805"/>
    </row>
    <row r="180" spans="2:12" x14ac:dyDescent="0.2">
      <c r="B180" s="805"/>
      <c r="C180" s="805"/>
      <c r="D180" s="805"/>
      <c r="E180" s="805"/>
      <c r="F180" s="805"/>
      <c r="G180" s="805"/>
      <c r="H180" s="805"/>
      <c r="I180" s="805"/>
      <c r="J180" s="805"/>
      <c r="K180" s="805"/>
      <c r="L180" s="805"/>
    </row>
  </sheetData>
  <mergeCells count="6">
    <mergeCell ref="B169:L171"/>
    <mergeCell ref="B164:L165"/>
    <mergeCell ref="B161:L162"/>
    <mergeCell ref="B179:L180"/>
    <mergeCell ref="B167:L167"/>
    <mergeCell ref="B173:L175"/>
  </mergeCells>
  <phoneticPr fontId="0" type="noConversion"/>
  <pageMargins left="0.75" right="0.75" top="1" bottom="1" header="0.5" footer="0.5"/>
  <pageSetup scale="6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Normal="100" workbookViewId="0">
      <selection activeCell="B30" sqref="B30"/>
    </sheetView>
  </sheetViews>
  <sheetFormatPr defaultColWidth="14.85546875" defaultRowHeight="12.75" x14ac:dyDescent="0.2"/>
  <cols>
    <col min="1" max="1" width="60.7109375" style="293" customWidth="1"/>
    <col min="2" max="2" width="15.28515625" style="293" customWidth="1"/>
    <col min="3" max="3" width="19.42578125" style="293" customWidth="1"/>
    <col min="4" max="4" width="18.42578125" style="293" customWidth="1"/>
    <col min="5" max="5" width="14.85546875" style="293" customWidth="1"/>
    <col min="6" max="6" width="17" style="293" customWidth="1"/>
    <col min="7" max="7" width="14.85546875" style="293" customWidth="1"/>
    <col min="8" max="8" width="14.85546875" style="316" customWidth="1"/>
    <col min="9" max="9" width="14.85546875" style="319" customWidth="1"/>
    <col min="10" max="16384" width="14.85546875" style="293"/>
  </cols>
  <sheetData>
    <row r="1" spans="1:20" ht="38.25" x14ac:dyDescent="0.2">
      <c r="A1" s="320" t="s">
        <v>285</v>
      </c>
      <c r="B1" s="321"/>
      <c r="C1" s="194"/>
      <c r="D1" s="194"/>
      <c r="E1" s="194"/>
      <c r="F1" s="194"/>
      <c r="G1" s="194"/>
      <c r="H1" s="194"/>
      <c r="I1" s="194"/>
    </row>
    <row r="2" spans="1:20" x14ac:dyDescent="0.2">
      <c r="A2" s="320"/>
      <c r="B2" s="321"/>
      <c r="C2" s="194"/>
      <c r="D2" s="194"/>
      <c r="E2" s="194"/>
      <c r="F2" s="194"/>
      <c r="G2" s="194"/>
      <c r="H2" s="194"/>
      <c r="I2" s="194"/>
    </row>
    <row r="3" spans="1:20" x14ac:dyDescent="0.2">
      <c r="A3" s="322" t="s">
        <v>27</v>
      </c>
      <c r="B3" s="321"/>
      <c r="C3" s="194"/>
      <c r="D3" s="194"/>
      <c r="E3" s="194"/>
      <c r="F3" s="194"/>
      <c r="G3" s="194"/>
      <c r="H3" s="194"/>
      <c r="I3" s="194"/>
    </row>
    <row r="4" spans="1:20" x14ac:dyDescent="0.2">
      <c r="A4" s="343" t="s">
        <v>231</v>
      </c>
      <c r="B4" s="331">
        <f>'4-3a-Stage 1a Rents &amp; Sales'!G34</f>
        <v>975000</v>
      </c>
      <c r="C4" s="194"/>
      <c r="D4" s="194"/>
      <c r="E4" s="194"/>
      <c r="F4" s="194"/>
      <c r="G4" s="194"/>
      <c r="H4" s="194"/>
      <c r="I4" s="194"/>
    </row>
    <row r="5" spans="1:20" ht="15.75" x14ac:dyDescent="0.2">
      <c r="A5" s="343" t="s">
        <v>356</v>
      </c>
      <c r="B5" s="390">
        <f>-'4-3d-Stage 1d Development cost'!H47</f>
        <v>-854797.97387957689</v>
      </c>
      <c r="C5" s="194"/>
      <c r="D5" s="194"/>
      <c r="E5" s="194"/>
      <c r="F5" s="194"/>
      <c r="G5" s="194"/>
      <c r="H5" s="194"/>
      <c r="I5" s="194"/>
    </row>
    <row r="6" spans="1:20" x14ac:dyDescent="0.2">
      <c r="A6" s="343" t="s">
        <v>18</v>
      </c>
      <c r="B6" s="321">
        <f>SUM(B4:B5)</f>
        <v>120202.02612042311</v>
      </c>
      <c r="C6" s="194"/>
      <c r="D6" s="194"/>
      <c r="E6" s="194"/>
      <c r="F6" s="194"/>
      <c r="G6" s="194"/>
      <c r="H6" s="194"/>
      <c r="I6" s="194"/>
    </row>
    <row r="7" spans="1:20" x14ac:dyDescent="0.2">
      <c r="A7" s="344"/>
      <c r="B7" s="321"/>
      <c r="C7" s="194"/>
      <c r="D7" s="194"/>
      <c r="E7" s="194"/>
      <c r="F7" s="194"/>
      <c r="G7" s="194"/>
      <c r="H7" s="194"/>
      <c r="I7" s="194"/>
    </row>
    <row r="8" spans="1:20" x14ac:dyDescent="0.2">
      <c r="A8" s="322" t="s">
        <v>50</v>
      </c>
      <c r="B8" s="342"/>
      <c r="C8" s="336"/>
      <c r="D8" s="336"/>
      <c r="E8" s="336"/>
      <c r="F8" s="336"/>
      <c r="G8" s="336"/>
      <c r="H8" s="336"/>
      <c r="I8" s="337"/>
      <c r="J8" s="318"/>
      <c r="K8" s="335"/>
      <c r="L8" s="335"/>
      <c r="M8" s="335"/>
      <c r="N8" s="335"/>
      <c r="O8" s="335"/>
      <c r="P8" s="335"/>
      <c r="Q8" s="335"/>
      <c r="R8" s="335"/>
      <c r="S8" s="335"/>
      <c r="T8" s="335"/>
    </row>
    <row r="9" spans="1:20" x14ac:dyDescent="0.2">
      <c r="A9" s="315" t="s">
        <v>18</v>
      </c>
      <c r="B9" s="316">
        <f>B6</f>
        <v>120202.02612042311</v>
      </c>
      <c r="C9" s="318"/>
      <c r="D9" s="318"/>
      <c r="E9" s="318"/>
      <c r="F9" s="318"/>
      <c r="G9" s="318"/>
      <c r="H9" s="318"/>
      <c r="I9" s="318"/>
      <c r="J9" s="318"/>
      <c r="K9" s="335"/>
      <c r="L9" s="335"/>
      <c r="M9" s="335"/>
      <c r="N9" s="335"/>
      <c r="O9" s="335"/>
      <c r="P9" s="335"/>
      <c r="Q9" s="335"/>
      <c r="R9" s="335"/>
      <c r="S9" s="335"/>
      <c r="T9" s="335"/>
    </row>
    <row r="10" spans="1:20" x14ac:dyDescent="0.2">
      <c r="A10" s="315" t="s">
        <v>28</v>
      </c>
      <c r="B10" s="345">
        <v>0.35</v>
      </c>
      <c r="C10" s="318"/>
      <c r="D10" s="318"/>
      <c r="E10" s="318"/>
      <c r="F10" s="318"/>
      <c r="G10" s="318"/>
      <c r="H10" s="318"/>
      <c r="I10" s="318"/>
      <c r="J10" s="318"/>
      <c r="K10" s="335"/>
      <c r="L10" s="335"/>
      <c r="M10" s="335"/>
      <c r="N10" s="335"/>
      <c r="O10" s="335"/>
      <c r="P10" s="335"/>
      <c r="Q10" s="335"/>
      <c r="R10" s="335"/>
      <c r="S10" s="335"/>
      <c r="T10" s="335"/>
    </row>
    <row r="11" spans="1:20" x14ac:dyDescent="0.2">
      <c r="A11" s="293" t="s">
        <v>29</v>
      </c>
      <c r="B11" s="316">
        <f>B10*B9</f>
        <v>42070.709142148087</v>
      </c>
      <c r="C11" s="338"/>
      <c r="D11" s="318"/>
      <c r="E11" s="318"/>
      <c r="F11" s="318"/>
      <c r="G11" s="318"/>
      <c r="H11" s="318"/>
      <c r="I11" s="318"/>
      <c r="J11" s="318"/>
      <c r="K11" s="335"/>
      <c r="L11" s="335"/>
      <c r="M11" s="335"/>
      <c r="N11" s="335"/>
      <c r="O11" s="335"/>
      <c r="P11" s="335"/>
      <c r="Q11" s="335"/>
      <c r="R11" s="335"/>
      <c r="S11" s="335"/>
      <c r="T11" s="335"/>
    </row>
    <row r="12" spans="1:20" x14ac:dyDescent="0.2">
      <c r="B12" s="316"/>
      <c r="C12" s="318"/>
      <c r="D12" s="318"/>
      <c r="E12" s="318"/>
      <c r="F12" s="318"/>
      <c r="G12" s="318"/>
      <c r="H12" s="318"/>
      <c r="I12" s="334"/>
      <c r="J12" s="318"/>
      <c r="K12" s="335"/>
      <c r="L12" s="335"/>
      <c r="M12" s="335"/>
      <c r="N12" s="335"/>
      <c r="O12" s="335"/>
      <c r="P12" s="335"/>
      <c r="Q12" s="335"/>
      <c r="R12" s="335"/>
      <c r="S12" s="335"/>
      <c r="T12" s="335"/>
    </row>
    <row r="13" spans="1:20" ht="15.75" x14ac:dyDescent="0.2">
      <c r="A13" s="322" t="s">
        <v>357</v>
      </c>
      <c r="B13" s="316"/>
      <c r="C13" s="318"/>
      <c r="D13" s="318"/>
      <c r="E13" s="318"/>
      <c r="F13" s="318"/>
      <c r="G13" s="318"/>
      <c r="H13" s="318"/>
      <c r="I13" s="334"/>
      <c r="J13" s="318"/>
      <c r="K13" s="335"/>
      <c r="L13" s="335"/>
      <c r="M13" s="335"/>
      <c r="N13" s="335"/>
      <c r="O13" s="335"/>
      <c r="P13" s="335"/>
      <c r="Q13" s="335"/>
      <c r="R13" s="335"/>
      <c r="S13" s="335"/>
      <c r="T13" s="335"/>
    </row>
    <row r="14" spans="1:20" x14ac:dyDescent="0.2">
      <c r="A14" s="315" t="s">
        <v>101</v>
      </c>
      <c r="B14" s="316">
        <v>0</v>
      </c>
      <c r="C14" s="318"/>
      <c r="D14" s="318"/>
      <c r="E14" s="318"/>
      <c r="F14" s="318"/>
      <c r="G14" s="318"/>
      <c r="H14" s="318"/>
      <c r="I14" s="334"/>
      <c r="J14" s="318"/>
      <c r="K14" s="335"/>
      <c r="L14" s="335"/>
      <c r="M14" s="335"/>
      <c r="N14" s="335"/>
      <c r="O14" s="335"/>
      <c r="P14" s="335"/>
      <c r="Q14" s="335"/>
      <c r="R14" s="335"/>
      <c r="S14" s="335"/>
      <c r="T14" s="335"/>
    </row>
    <row r="15" spans="1:20" x14ac:dyDescent="0.2">
      <c r="A15" s="315" t="s">
        <v>19</v>
      </c>
      <c r="B15" s="331">
        <f>'4-3c-Stage 1c Debt Calculation'!C24</f>
        <v>682500</v>
      </c>
      <c r="C15" s="318"/>
      <c r="D15" s="318"/>
      <c r="E15" s="318"/>
      <c r="F15" s="318"/>
      <c r="G15" s="318"/>
      <c r="H15" s="318"/>
      <c r="I15" s="334"/>
      <c r="J15" s="318"/>
      <c r="K15" s="335"/>
      <c r="L15" s="335"/>
      <c r="M15" s="335"/>
      <c r="N15" s="335"/>
      <c r="O15" s="335"/>
      <c r="P15" s="335"/>
      <c r="Q15" s="335"/>
      <c r="R15" s="335"/>
      <c r="S15" s="335"/>
      <c r="T15" s="335"/>
    </row>
    <row r="16" spans="1:20" x14ac:dyDescent="0.2">
      <c r="A16" s="293" t="s">
        <v>20</v>
      </c>
      <c r="B16" s="317">
        <f>-B15</f>
        <v>-682500</v>
      </c>
      <c r="C16" s="318"/>
      <c r="D16" s="318"/>
      <c r="E16" s="318"/>
      <c r="F16" s="318"/>
      <c r="G16" s="318"/>
      <c r="H16" s="318"/>
      <c r="I16" s="334"/>
      <c r="J16" s="318"/>
      <c r="K16" s="335"/>
      <c r="L16" s="335"/>
      <c r="M16" s="335"/>
      <c r="N16" s="335"/>
      <c r="O16" s="335"/>
      <c r="P16" s="335"/>
      <c r="Q16" s="335"/>
      <c r="R16" s="335"/>
      <c r="S16" s="335"/>
      <c r="T16" s="335"/>
    </row>
    <row r="17" spans="1:20" x14ac:dyDescent="0.2">
      <c r="A17" s="293" t="s">
        <v>187</v>
      </c>
      <c r="B17" s="316">
        <f>SUM(B14:B16)</f>
        <v>0</v>
      </c>
      <c r="C17" s="318"/>
      <c r="D17" s="318"/>
      <c r="E17" s="318"/>
      <c r="F17" s="318"/>
      <c r="G17" s="318"/>
      <c r="H17" s="318"/>
      <c r="I17" s="334"/>
      <c r="J17" s="318"/>
      <c r="K17" s="335"/>
      <c r="L17" s="335"/>
      <c r="M17" s="335"/>
      <c r="N17" s="335"/>
      <c r="O17" s="335"/>
      <c r="P17" s="335"/>
      <c r="Q17" s="335"/>
      <c r="R17" s="335"/>
      <c r="S17" s="335"/>
      <c r="T17" s="335"/>
    </row>
    <row r="18" spans="1:20" x14ac:dyDescent="0.2">
      <c r="A18" s="293" t="s">
        <v>51</v>
      </c>
      <c r="B18" s="317">
        <f>B15/2</f>
        <v>341250</v>
      </c>
      <c r="C18" s="318"/>
      <c r="D18" s="318"/>
      <c r="E18" s="318"/>
      <c r="F18" s="318"/>
      <c r="G18" s="318"/>
      <c r="H18" s="318"/>
      <c r="I18" s="334"/>
      <c r="J18" s="318"/>
      <c r="K18" s="335"/>
      <c r="L18" s="335"/>
      <c r="M18" s="335"/>
      <c r="N18" s="335"/>
      <c r="O18" s="335"/>
      <c r="P18" s="335"/>
      <c r="Q18" s="335"/>
      <c r="R18" s="335"/>
      <c r="S18" s="335"/>
      <c r="T18" s="335"/>
    </row>
    <row r="19" spans="1:20" x14ac:dyDescent="0.2">
      <c r="A19" s="293" t="s">
        <v>53</v>
      </c>
      <c r="B19" s="331">
        <f>'4-3d-Stage 1d Development cost'!H31</f>
        <v>45968.326753255846</v>
      </c>
      <c r="C19" s="338"/>
      <c r="D19" s="318"/>
      <c r="E19" s="318"/>
      <c r="F19" s="318"/>
      <c r="G19" s="318"/>
      <c r="H19" s="318"/>
      <c r="I19" s="334"/>
      <c r="J19" s="318"/>
      <c r="K19" s="335"/>
      <c r="L19" s="335"/>
      <c r="M19" s="335"/>
      <c r="N19" s="335"/>
      <c r="O19" s="335"/>
      <c r="P19" s="335"/>
      <c r="Q19" s="335"/>
      <c r="R19" s="335"/>
      <c r="S19" s="335"/>
      <c r="T19" s="335"/>
    </row>
    <row r="20" spans="1:20" x14ac:dyDescent="0.2">
      <c r="A20" s="293" t="s">
        <v>52</v>
      </c>
      <c r="B20" s="317">
        <f>-B19</f>
        <v>-45968.326753255846</v>
      </c>
      <c r="C20" s="318"/>
      <c r="D20" s="318"/>
      <c r="E20" s="318"/>
      <c r="F20" s="318"/>
      <c r="G20" s="318"/>
      <c r="H20" s="318"/>
      <c r="I20" s="334"/>
      <c r="J20" s="318"/>
      <c r="K20" s="335"/>
      <c r="L20" s="335"/>
      <c r="M20" s="335"/>
      <c r="N20" s="335"/>
      <c r="O20" s="335"/>
      <c r="P20" s="335"/>
      <c r="Q20" s="335"/>
      <c r="R20" s="335"/>
      <c r="S20" s="335"/>
      <c r="T20" s="335"/>
    </row>
    <row r="21" spans="1:20" x14ac:dyDescent="0.2">
      <c r="A21" s="293" t="s">
        <v>105</v>
      </c>
      <c r="B21" s="316">
        <f>SUM(B19:B20,B17)</f>
        <v>0</v>
      </c>
      <c r="C21" s="318"/>
      <c r="D21" s="318"/>
      <c r="E21" s="318"/>
      <c r="F21" s="318"/>
      <c r="G21" s="318"/>
      <c r="H21" s="318"/>
      <c r="I21" s="334"/>
      <c r="J21" s="318"/>
      <c r="K21" s="335"/>
      <c r="L21" s="335"/>
      <c r="M21" s="335"/>
      <c r="N21" s="335"/>
      <c r="O21" s="335"/>
      <c r="P21" s="335"/>
      <c r="Q21" s="335"/>
      <c r="R21" s="335"/>
      <c r="S21" s="335"/>
      <c r="T21" s="335"/>
    </row>
    <row r="22" spans="1:20" x14ac:dyDescent="0.2">
      <c r="B22" s="316"/>
      <c r="C22" s="318"/>
      <c r="D22" s="318"/>
      <c r="E22" s="318"/>
      <c r="F22" s="318"/>
      <c r="G22" s="318"/>
      <c r="H22" s="318"/>
      <c r="I22" s="334"/>
      <c r="J22" s="318"/>
      <c r="K22" s="335"/>
      <c r="L22" s="335"/>
      <c r="M22" s="335"/>
      <c r="N22" s="335"/>
      <c r="O22" s="335"/>
      <c r="P22" s="335"/>
      <c r="Q22" s="335"/>
      <c r="R22" s="335"/>
      <c r="S22" s="335"/>
      <c r="T22" s="335"/>
    </row>
    <row r="23" spans="1:20" x14ac:dyDescent="0.2">
      <c r="A23" s="322" t="s">
        <v>358</v>
      </c>
      <c r="B23" s="341"/>
      <c r="C23" s="318"/>
      <c r="D23" s="318"/>
      <c r="E23" s="318"/>
      <c r="F23" s="318"/>
      <c r="G23" s="318"/>
      <c r="H23" s="318"/>
      <c r="I23" s="334"/>
      <c r="J23" s="318"/>
      <c r="K23" s="335"/>
      <c r="L23" s="335"/>
      <c r="M23" s="335"/>
      <c r="N23" s="335"/>
      <c r="O23" s="335"/>
      <c r="P23" s="335"/>
      <c r="Q23" s="335"/>
      <c r="R23" s="335"/>
      <c r="S23" s="335"/>
      <c r="T23" s="335"/>
    </row>
    <row r="24" spans="1:20" x14ac:dyDescent="0.2">
      <c r="A24" s="293" t="s">
        <v>21</v>
      </c>
      <c r="B24" s="391">
        <f>'4-3a-Stage 1a Rents &amp; Sales'!G34</f>
        <v>975000</v>
      </c>
      <c r="C24" s="318"/>
      <c r="D24" s="318"/>
      <c r="E24" s="318"/>
      <c r="F24" s="318"/>
      <c r="G24" s="318"/>
      <c r="H24" s="318"/>
      <c r="I24" s="318"/>
      <c r="J24" s="318"/>
      <c r="K24" s="335"/>
      <c r="L24" s="335"/>
      <c r="M24" s="335"/>
      <c r="N24" s="335"/>
      <c r="O24" s="335"/>
      <c r="P24" s="335"/>
      <c r="Q24" s="335"/>
      <c r="R24" s="335"/>
      <c r="S24" s="335"/>
      <c r="T24" s="335"/>
    </row>
    <row r="25" spans="1:20" x14ac:dyDescent="0.2">
      <c r="A25" s="765" t="s">
        <v>30</v>
      </c>
      <c r="B25" s="766">
        <f>B16</f>
        <v>-682500</v>
      </c>
      <c r="C25" s="318"/>
      <c r="D25" s="318"/>
      <c r="E25" s="318"/>
      <c r="F25" s="318"/>
      <c r="G25" s="318"/>
      <c r="H25" s="318"/>
      <c r="I25" s="318"/>
      <c r="J25" s="318"/>
      <c r="K25" s="335"/>
      <c r="L25" s="335"/>
      <c r="M25" s="335"/>
      <c r="N25" s="335"/>
      <c r="O25" s="335"/>
      <c r="P25" s="335"/>
      <c r="Q25" s="335"/>
      <c r="R25" s="335"/>
      <c r="S25" s="335"/>
      <c r="T25" s="335"/>
    </row>
    <row r="26" spans="1:20" ht="15.75" x14ac:dyDescent="0.2">
      <c r="A26" s="765" t="s">
        <v>463</v>
      </c>
      <c r="B26" s="767">
        <f>B20</f>
        <v>-45968.326753255846</v>
      </c>
      <c r="C26" s="318"/>
      <c r="D26" s="318"/>
      <c r="E26" s="318"/>
      <c r="F26" s="318"/>
      <c r="G26" s="318"/>
      <c r="H26" s="318"/>
      <c r="I26" s="318"/>
      <c r="J26" s="318"/>
      <c r="K26" s="335"/>
      <c r="L26" s="335"/>
      <c r="M26" s="335"/>
      <c r="N26" s="335"/>
      <c r="O26" s="335"/>
      <c r="P26" s="335"/>
      <c r="Q26" s="335"/>
      <c r="R26" s="335"/>
      <c r="S26" s="335"/>
      <c r="T26" s="335"/>
    </row>
    <row r="27" spans="1:20" x14ac:dyDescent="0.2">
      <c r="A27" s="293" t="s">
        <v>359</v>
      </c>
      <c r="B27" s="318">
        <f>SUM(B24:B26)</f>
        <v>246531.67324674415</v>
      </c>
      <c r="C27" s="318"/>
      <c r="D27" s="318"/>
      <c r="E27" s="318"/>
      <c r="F27" s="318"/>
      <c r="G27" s="318"/>
      <c r="H27" s="318"/>
      <c r="I27" s="318"/>
      <c r="J27" s="318"/>
      <c r="K27" s="335"/>
      <c r="L27" s="335"/>
      <c r="M27" s="335"/>
      <c r="N27" s="335"/>
      <c r="O27" s="335"/>
      <c r="P27" s="335"/>
      <c r="Q27" s="335"/>
      <c r="R27" s="335"/>
      <c r="S27" s="335"/>
      <c r="T27" s="335"/>
    </row>
    <row r="28" spans="1:20" x14ac:dyDescent="0.2">
      <c r="A28" s="765" t="s">
        <v>129</v>
      </c>
      <c r="B28" s="317">
        <f>-B11</f>
        <v>-42070.709142148087</v>
      </c>
      <c r="C28" s="318"/>
      <c r="D28" s="318"/>
      <c r="E28" s="318"/>
      <c r="F28" s="318"/>
      <c r="G28" s="318"/>
      <c r="H28" s="318"/>
      <c r="I28" s="334"/>
      <c r="J28" s="318"/>
      <c r="K28" s="335"/>
      <c r="L28" s="335"/>
      <c r="M28" s="335"/>
      <c r="N28" s="335"/>
      <c r="O28" s="335"/>
      <c r="P28" s="335"/>
      <c r="Q28" s="335"/>
      <c r="R28" s="335"/>
      <c r="S28" s="335"/>
      <c r="T28" s="335"/>
    </row>
    <row r="29" spans="1:20" x14ac:dyDescent="0.2">
      <c r="A29" s="293" t="s">
        <v>360</v>
      </c>
      <c r="B29" s="318">
        <f>SUM(B27:B28)</f>
        <v>204460.96410459606</v>
      </c>
      <c r="C29" s="318"/>
      <c r="D29" s="318"/>
      <c r="E29" s="318"/>
      <c r="F29" s="318"/>
      <c r="G29" s="318"/>
      <c r="H29" s="318"/>
      <c r="I29" s="334"/>
      <c r="J29" s="318"/>
      <c r="K29" s="335"/>
      <c r="L29" s="335"/>
      <c r="M29" s="335"/>
      <c r="N29" s="335"/>
      <c r="O29" s="335"/>
      <c r="P29" s="335"/>
      <c r="Q29" s="335"/>
      <c r="R29" s="335"/>
      <c r="S29" s="335"/>
      <c r="T29" s="335"/>
    </row>
    <row r="30" spans="1:20" x14ac:dyDescent="0.2">
      <c r="B30" s="318"/>
      <c r="C30" s="318"/>
      <c r="D30" s="318"/>
      <c r="E30" s="318"/>
      <c r="F30" s="318"/>
      <c r="G30" s="318"/>
      <c r="H30" s="318"/>
      <c r="I30" s="334"/>
      <c r="J30" s="318"/>
      <c r="K30" s="335"/>
      <c r="L30" s="335"/>
      <c r="M30" s="335"/>
      <c r="N30" s="335"/>
      <c r="O30" s="335"/>
      <c r="P30" s="335"/>
      <c r="Q30" s="335"/>
      <c r="R30" s="335"/>
      <c r="S30" s="335"/>
      <c r="T30" s="335"/>
    </row>
    <row r="31" spans="1:20" x14ac:dyDescent="0.2">
      <c r="B31" s="318"/>
      <c r="C31" s="318"/>
      <c r="D31" s="318"/>
      <c r="E31" s="318"/>
      <c r="F31" s="318"/>
      <c r="G31" s="318"/>
      <c r="H31" s="318"/>
      <c r="I31" s="334"/>
      <c r="J31" s="318"/>
      <c r="K31" s="335"/>
      <c r="L31" s="335"/>
      <c r="M31" s="335"/>
      <c r="N31" s="335"/>
      <c r="O31" s="335"/>
      <c r="P31" s="335"/>
      <c r="Q31" s="335"/>
      <c r="R31" s="335"/>
      <c r="S31" s="335"/>
      <c r="T31" s="335"/>
    </row>
    <row r="32" spans="1:20" x14ac:dyDescent="0.2">
      <c r="B32" s="316"/>
      <c r="C32" s="318"/>
      <c r="D32" s="318"/>
      <c r="E32" s="318"/>
      <c r="F32" s="318"/>
      <c r="G32" s="318"/>
      <c r="H32" s="318"/>
      <c r="I32" s="334"/>
      <c r="J32" s="318"/>
      <c r="K32" s="335"/>
      <c r="L32" s="335"/>
      <c r="M32" s="335"/>
      <c r="N32" s="335"/>
      <c r="O32" s="335"/>
      <c r="P32" s="335"/>
      <c r="Q32" s="335"/>
      <c r="R32" s="335"/>
      <c r="S32" s="335"/>
      <c r="T32" s="335"/>
    </row>
    <row r="33" spans="1:20" x14ac:dyDescent="0.2">
      <c r="B33" s="316"/>
      <c r="C33" s="318"/>
      <c r="D33" s="318"/>
      <c r="E33" s="318"/>
      <c r="F33" s="318"/>
      <c r="G33" s="318"/>
      <c r="H33" s="318"/>
      <c r="I33" s="334"/>
      <c r="J33" s="318"/>
      <c r="K33" s="335"/>
      <c r="L33" s="335"/>
      <c r="M33" s="335"/>
      <c r="N33" s="335"/>
      <c r="O33" s="335"/>
      <c r="P33" s="335"/>
      <c r="Q33" s="335"/>
      <c r="R33" s="335"/>
      <c r="S33" s="335"/>
      <c r="T33" s="335"/>
    </row>
    <row r="34" spans="1:20" x14ac:dyDescent="0.2">
      <c r="A34" s="812" t="s">
        <v>361</v>
      </c>
      <c r="B34" s="805"/>
      <c r="C34" s="318"/>
      <c r="D34" s="318"/>
      <c r="E34" s="318"/>
      <c r="F34" s="318"/>
      <c r="G34" s="318"/>
      <c r="H34" s="318"/>
      <c r="I34" s="334"/>
      <c r="J34" s="318"/>
      <c r="K34" s="335"/>
      <c r="L34" s="335"/>
      <c r="M34" s="335"/>
      <c r="N34" s="335"/>
      <c r="O34" s="335"/>
      <c r="P34" s="335"/>
      <c r="Q34" s="335"/>
      <c r="R34" s="335"/>
      <c r="S34" s="335"/>
      <c r="T34" s="335"/>
    </row>
    <row r="35" spans="1:20" x14ac:dyDescent="0.2">
      <c r="A35" s="805"/>
      <c r="B35" s="805"/>
      <c r="C35" s="318"/>
      <c r="D35" s="318"/>
      <c r="E35" s="318"/>
      <c r="F35" s="318"/>
      <c r="G35" s="318"/>
      <c r="H35" s="318"/>
      <c r="I35" s="334"/>
      <c r="J35" s="318"/>
      <c r="K35" s="335"/>
      <c r="L35" s="335"/>
      <c r="M35" s="335"/>
      <c r="N35" s="335"/>
      <c r="O35" s="335"/>
      <c r="P35" s="335"/>
      <c r="Q35" s="335"/>
      <c r="R35" s="335"/>
      <c r="S35" s="335"/>
      <c r="T35" s="335"/>
    </row>
    <row r="36" spans="1:20" x14ac:dyDescent="0.2">
      <c r="A36" s="805"/>
      <c r="B36" s="805"/>
      <c r="C36" s="318"/>
      <c r="D36" s="318"/>
      <c r="E36" s="318"/>
      <c r="F36" s="318"/>
      <c r="G36" s="318"/>
      <c r="H36" s="318"/>
      <c r="I36" s="334"/>
      <c r="J36" s="318"/>
      <c r="K36" s="335"/>
      <c r="L36" s="335"/>
      <c r="M36" s="335"/>
      <c r="N36" s="335"/>
      <c r="O36" s="335"/>
      <c r="P36" s="335"/>
      <c r="Q36" s="335"/>
      <c r="R36" s="335"/>
      <c r="S36" s="335"/>
      <c r="T36" s="335"/>
    </row>
    <row r="37" spans="1:20" x14ac:dyDescent="0.2">
      <c r="A37" s="167"/>
      <c r="B37" s="167"/>
      <c r="C37" s="318"/>
      <c r="D37" s="318"/>
      <c r="E37" s="318"/>
      <c r="F37" s="318"/>
      <c r="G37" s="318"/>
      <c r="H37" s="318"/>
      <c r="I37" s="334"/>
      <c r="J37" s="318"/>
      <c r="K37" s="335"/>
      <c r="L37" s="335"/>
      <c r="M37" s="335"/>
      <c r="N37" s="335"/>
      <c r="O37" s="335"/>
      <c r="P37" s="335"/>
      <c r="Q37" s="335"/>
      <c r="R37" s="335"/>
      <c r="S37" s="335"/>
      <c r="T37" s="335"/>
    </row>
    <row r="38" spans="1:20" x14ac:dyDescent="0.2">
      <c r="A38" s="812" t="s">
        <v>432</v>
      </c>
      <c r="B38" s="805"/>
      <c r="C38" s="318"/>
      <c r="D38" s="318"/>
      <c r="E38" s="318"/>
      <c r="F38" s="318"/>
      <c r="G38" s="318"/>
      <c r="H38" s="318"/>
      <c r="I38" s="334"/>
      <c r="J38" s="318"/>
      <c r="K38" s="335"/>
      <c r="L38" s="335"/>
      <c r="M38" s="335"/>
      <c r="N38" s="335"/>
      <c r="O38" s="335"/>
      <c r="P38" s="335"/>
      <c r="Q38" s="335"/>
      <c r="R38" s="335"/>
      <c r="S38" s="335"/>
      <c r="T38" s="335"/>
    </row>
    <row r="39" spans="1:20" x14ac:dyDescent="0.2">
      <c r="A39" s="812"/>
      <c r="B39" s="805"/>
      <c r="C39" s="318"/>
      <c r="D39" s="318"/>
      <c r="E39" s="318"/>
      <c r="F39" s="318"/>
      <c r="G39" s="318"/>
      <c r="H39" s="318"/>
      <c r="I39" s="334"/>
      <c r="J39" s="318"/>
      <c r="K39" s="335"/>
      <c r="L39" s="335"/>
      <c r="M39" s="335"/>
      <c r="N39" s="335"/>
      <c r="O39" s="335"/>
      <c r="P39" s="335"/>
      <c r="Q39" s="335"/>
      <c r="R39" s="335"/>
      <c r="S39" s="335"/>
      <c r="T39" s="335"/>
    </row>
    <row r="40" spans="1:20" x14ac:dyDescent="0.2">
      <c r="A40" s="812"/>
      <c r="B40" s="805"/>
      <c r="C40" s="318"/>
      <c r="D40" s="318"/>
      <c r="E40" s="318"/>
      <c r="F40" s="318"/>
      <c r="G40" s="318"/>
      <c r="H40" s="318"/>
      <c r="I40" s="334"/>
      <c r="J40" s="318"/>
      <c r="K40" s="335"/>
      <c r="L40" s="335"/>
      <c r="M40" s="335"/>
      <c r="N40" s="335"/>
      <c r="O40" s="335"/>
      <c r="P40" s="335"/>
      <c r="Q40" s="335"/>
      <c r="R40" s="335"/>
      <c r="S40" s="335"/>
      <c r="T40" s="335"/>
    </row>
    <row r="41" spans="1:20" x14ac:dyDescent="0.2">
      <c r="A41" s="812"/>
      <c r="B41" s="805"/>
      <c r="C41" s="318"/>
      <c r="D41" s="318"/>
      <c r="E41" s="318"/>
      <c r="F41" s="318"/>
      <c r="G41" s="318"/>
      <c r="H41" s="318"/>
      <c r="I41" s="334"/>
      <c r="J41" s="318"/>
      <c r="K41" s="335"/>
      <c r="L41" s="335"/>
      <c r="M41" s="335"/>
      <c r="N41" s="335"/>
      <c r="O41" s="335"/>
      <c r="P41" s="335"/>
      <c r="Q41" s="335"/>
      <c r="R41" s="335"/>
      <c r="S41" s="335"/>
      <c r="T41" s="335"/>
    </row>
    <row r="42" spans="1:20" x14ac:dyDescent="0.2">
      <c r="A42" s="812"/>
      <c r="B42" s="805"/>
      <c r="C42" s="318"/>
      <c r="D42" s="318"/>
      <c r="E42" s="318"/>
      <c r="F42" s="318"/>
      <c r="G42" s="318"/>
      <c r="H42" s="318"/>
      <c r="I42" s="334"/>
      <c r="J42" s="318"/>
      <c r="K42" s="335"/>
      <c r="L42" s="335"/>
      <c r="M42" s="335"/>
      <c r="N42" s="335"/>
      <c r="O42" s="335"/>
      <c r="P42" s="335"/>
      <c r="Q42" s="335"/>
      <c r="R42" s="335"/>
      <c r="S42" s="335"/>
      <c r="T42" s="335"/>
    </row>
    <row r="43" spans="1:20" x14ac:dyDescent="0.2">
      <c r="A43" s="805"/>
      <c r="B43" s="805"/>
      <c r="C43" s="318"/>
      <c r="D43" s="318"/>
      <c r="E43" s="318"/>
      <c r="F43" s="318"/>
      <c r="G43" s="318"/>
      <c r="H43" s="318"/>
      <c r="I43" s="334"/>
      <c r="J43" s="318"/>
      <c r="K43" s="335"/>
      <c r="L43" s="335"/>
      <c r="M43" s="335"/>
      <c r="N43" s="335"/>
      <c r="O43" s="335"/>
      <c r="P43" s="335"/>
      <c r="Q43" s="335"/>
      <c r="R43" s="335"/>
      <c r="S43" s="335"/>
      <c r="T43" s="335"/>
    </row>
    <row r="44" spans="1:20" x14ac:dyDescent="0.2">
      <c r="B44" s="316"/>
      <c r="C44" s="318"/>
      <c r="D44" s="318"/>
      <c r="E44" s="318"/>
      <c r="F44" s="318"/>
      <c r="G44" s="318"/>
      <c r="H44" s="318"/>
      <c r="I44" s="334"/>
      <c r="J44" s="318"/>
      <c r="K44" s="335"/>
      <c r="L44" s="335"/>
      <c r="M44" s="335"/>
      <c r="N44" s="335"/>
      <c r="O44" s="335"/>
      <c r="P44" s="335"/>
      <c r="Q44" s="335"/>
      <c r="R44" s="335"/>
      <c r="S44" s="335"/>
      <c r="T44" s="335"/>
    </row>
    <row r="45" spans="1:20" x14ac:dyDescent="0.2">
      <c r="B45" s="316"/>
      <c r="C45" s="318"/>
      <c r="D45" s="318"/>
      <c r="E45" s="318"/>
      <c r="F45" s="318"/>
      <c r="G45" s="318"/>
      <c r="H45" s="318"/>
      <c r="I45" s="334"/>
      <c r="J45" s="318"/>
      <c r="K45" s="335"/>
      <c r="L45" s="335"/>
      <c r="M45" s="335"/>
      <c r="N45" s="335"/>
      <c r="O45" s="335"/>
      <c r="P45" s="335"/>
      <c r="Q45" s="335"/>
      <c r="R45" s="335"/>
      <c r="S45" s="335"/>
      <c r="T45" s="335"/>
    </row>
    <row r="46" spans="1:20" x14ac:dyDescent="0.2">
      <c r="B46" s="316"/>
      <c r="C46" s="318"/>
      <c r="D46" s="318"/>
      <c r="E46" s="318"/>
      <c r="F46" s="318"/>
      <c r="G46" s="318"/>
      <c r="H46" s="318"/>
      <c r="I46" s="334"/>
      <c r="J46" s="318"/>
      <c r="K46" s="335"/>
      <c r="L46" s="335"/>
      <c r="M46" s="335"/>
      <c r="N46" s="335"/>
      <c r="O46" s="335"/>
      <c r="P46" s="335"/>
      <c r="Q46" s="335"/>
      <c r="R46" s="335"/>
      <c r="S46" s="335"/>
      <c r="T46" s="335"/>
    </row>
    <row r="47" spans="1:20" x14ac:dyDescent="0.2">
      <c r="B47" s="316"/>
      <c r="C47" s="318"/>
      <c r="D47" s="318"/>
      <c r="E47" s="318"/>
      <c r="F47" s="318"/>
      <c r="G47" s="318"/>
      <c r="H47" s="318"/>
      <c r="I47" s="334"/>
      <c r="J47" s="318"/>
      <c r="K47" s="335"/>
      <c r="L47" s="335"/>
      <c r="M47" s="335"/>
      <c r="N47" s="335"/>
      <c r="O47" s="335"/>
      <c r="P47" s="335"/>
      <c r="Q47" s="335"/>
      <c r="R47" s="335"/>
      <c r="S47" s="335"/>
      <c r="T47" s="335"/>
    </row>
    <row r="48" spans="1:20" x14ac:dyDescent="0.2">
      <c r="B48" s="316"/>
      <c r="C48" s="318"/>
      <c r="D48" s="318"/>
      <c r="E48" s="318"/>
      <c r="F48" s="318"/>
      <c r="G48" s="318"/>
      <c r="H48" s="318"/>
      <c r="I48" s="334"/>
      <c r="J48" s="318"/>
      <c r="K48" s="335"/>
      <c r="L48" s="335"/>
      <c r="M48" s="335"/>
      <c r="N48" s="335"/>
      <c r="O48" s="335"/>
      <c r="P48" s="335"/>
      <c r="Q48" s="335"/>
      <c r="R48" s="335"/>
      <c r="S48" s="335"/>
      <c r="T48" s="335"/>
    </row>
    <row r="49" spans="2:20" x14ac:dyDescent="0.2">
      <c r="B49" s="316"/>
      <c r="C49" s="318"/>
      <c r="D49" s="318"/>
      <c r="E49" s="318"/>
      <c r="F49" s="318"/>
      <c r="G49" s="318"/>
      <c r="H49" s="318"/>
      <c r="I49" s="334"/>
      <c r="J49" s="318"/>
      <c r="K49" s="335"/>
      <c r="L49" s="335"/>
      <c r="M49" s="335"/>
      <c r="N49" s="335"/>
      <c r="O49" s="335"/>
      <c r="P49" s="335"/>
      <c r="Q49" s="335"/>
      <c r="R49" s="335"/>
      <c r="S49" s="335"/>
      <c r="T49" s="335"/>
    </row>
    <row r="50" spans="2:20" x14ac:dyDescent="0.2">
      <c r="B50" s="316"/>
      <c r="C50" s="318"/>
      <c r="D50" s="318"/>
      <c r="E50" s="318"/>
      <c r="F50" s="318"/>
      <c r="G50" s="318"/>
      <c r="H50" s="318"/>
      <c r="I50" s="334"/>
      <c r="J50" s="318"/>
      <c r="K50" s="335"/>
      <c r="L50" s="335"/>
      <c r="M50" s="335"/>
      <c r="N50" s="335"/>
      <c r="O50" s="335"/>
      <c r="P50" s="335"/>
      <c r="Q50" s="335"/>
      <c r="R50" s="335"/>
      <c r="S50" s="335"/>
      <c r="T50" s="335"/>
    </row>
    <row r="51" spans="2:20" x14ac:dyDescent="0.2">
      <c r="B51" s="316"/>
      <c r="C51" s="318"/>
      <c r="D51" s="318"/>
      <c r="E51" s="318"/>
      <c r="F51" s="318"/>
      <c r="G51" s="318"/>
      <c r="H51" s="318"/>
      <c r="I51" s="334"/>
      <c r="J51" s="318"/>
      <c r="K51" s="335"/>
      <c r="L51" s="335"/>
      <c r="M51" s="335"/>
      <c r="N51" s="335"/>
      <c r="O51" s="335"/>
      <c r="P51" s="335"/>
      <c r="Q51" s="335"/>
      <c r="R51" s="335"/>
      <c r="S51" s="335"/>
      <c r="T51" s="335"/>
    </row>
    <row r="52" spans="2:20" x14ac:dyDescent="0.2">
      <c r="B52" s="316"/>
      <c r="C52" s="318"/>
      <c r="D52" s="318"/>
      <c r="E52" s="318"/>
      <c r="F52" s="318"/>
      <c r="G52" s="318"/>
      <c r="H52" s="318"/>
      <c r="I52" s="334"/>
      <c r="J52" s="318"/>
      <c r="K52" s="335"/>
      <c r="L52" s="335"/>
      <c r="M52" s="335"/>
      <c r="N52" s="335"/>
      <c r="O52" s="335"/>
      <c r="P52" s="335"/>
      <c r="Q52" s="335"/>
      <c r="R52" s="335"/>
      <c r="S52" s="335"/>
      <c r="T52" s="335"/>
    </row>
    <row r="53" spans="2:20" x14ac:dyDescent="0.2">
      <c r="B53" s="316"/>
      <c r="C53" s="318"/>
      <c r="D53" s="318"/>
      <c r="E53" s="318"/>
      <c r="F53" s="318"/>
      <c r="G53" s="318"/>
      <c r="H53" s="318"/>
      <c r="I53" s="334"/>
      <c r="J53" s="318"/>
      <c r="K53" s="335"/>
      <c r="L53" s="335"/>
      <c r="M53" s="335"/>
      <c r="N53" s="335"/>
      <c r="O53" s="335"/>
      <c r="P53" s="335"/>
      <c r="Q53" s="335"/>
      <c r="R53" s="335"/>
      <c r="S53" s="335"/>
      <c r="T53" s="335"/>
    </row>
    <row r="54" spans="2:20" x14ac:dyDescent="0.2">
      <c r="B54" s="316"/>
      <c r="C54" s="318"/>
      <c r="D54" s="318"/>
      <c r="E54" s="318"/>
      <c r="F54" s="318"/>
      <c r="G54" s="318"/>
      <c r="H54" s="318"/>
      <c r="I54" s="334"/>
      <c r="J54" s="318"/>
      <c r="K54" s="335"/>
      <c r="L54" s="335"/>
      <c r="M54" s="335"/>
      <c r="N54" s="335"/>
      <c r="O54" s="335"/>
      <c r="P54" s="335"/>
      <c r="Q54" s="335"/>
      <c r="R54" s="335"/>
      <c r="S54" s="335"/>
      <c r="T54" s="335"/>
    </row>
    <row r="55" spans="2:20" x14ac:dyDescent="0.2">
      <c r="B55" s="316"/>
      <c r="C55" s="318"/>
      <c r="D55" s="318"/>
      <c r="E55" s="318"/>
      <c r="F55" s="318"/>
      <c r="G55" s="318"/>
      <c r="H55" s="318"/>
      <c r="I55" s="334"/>
      <c r="J55" s="318"/>
      <c r="K55" s="335"/>
      <c r="L55" s="335"/>
      <c r="M55" s="335"/>
      <c r="N55" s="335"/>
      <c r="O55" s="335"/>
      <c r="P55" s="335"/>
      <c r="Q55" s="335"/>
      <c r="R55" s="335"/>
      <c r="S55" s="335"/>
      <c r="T55" s="335"/>
    </row>
    <row r="56" spans="2:20" x14ac:dyDescent="0.2">
      <c r="B56" s="316"/>
      <c r="C56" s="318"/>
      <c r="D56" s="318"/>
      <c r="E56" s="318"/>
      <c r="F56" s="318"/>
      <c r="G56" s="318"/>
      <c r="H56" s="318"/>
      <c r="I56" s="334"/>
      <c r="J56" s="318"/>
      <c r="K56" s="335"/>
      <c r="L56" s="335"/>
      <c r="M56" s="335"/>
      <c r="N56" s="335"/>
      <c r="O56" s="335"/>
      <c r="P56" s="335"/>
      <c r="Q56" s="335"/>
      <c r="R56" s="335"/>
      <c r="S56" s="335"/>
      <c r="T56" s="335"/>
    </row>
    <row r="57" spans="2:20" x14ac:dyDescent="0.2">
      <c r="B57" s="316"/>
      <c r="C57" s="318"/>
      <c r="D57" s="318"/>
      <c r="E57" s="318"/>
      <c r="F57" s="318"/>
      <c r="G57" s="318"/>
      <c r="H57" s="318"/>
      <c r="I57" s="334"/>
      <c r="J57" s="318"/>
      <c r="K57" s="335"/>
      <c r="L57" s="335"/>
      <c r="M57" s="335"/>
      <c r="N57" s="335"/>
      <c r="O57" s="335"/>
      <c r="P57" s="335"/>
      <c r="Q57" s="335"/>
      <c r="R57" s="335"/>
      <c r="S57" s="335"/>
      <c r="T57" s="335"/>
    </row>
    <row r="58" spans="2:20" x14ac:dyDescent="0.2">
      <c r="B58" s="316"/>
      <c r="C58" s="318"/>
      <c r="D58" s="318"/>
      <c r="E58" s="318"/>
      <c r="F58" s="318"/>
      <c r="G58" s="318"/>
      <c r="H58" s="318"/>
      <c r="I58" s="334"/>
      <c r="J58" s="318"/>
      <c r="K58" s="335"/>
      <c r="L58" s="335"/>
      <c r="M58" s="335"/>
      <c r="N58" s="335"/>
      <c r="O58" s="335"/>
      <c r="P58" s="335"/>
      <c r="Q58" s="335"/>
      <c r="R58" s="335"/>
      <c r="S58" s="335"/>
      <c r="T58" s="335"/>
    </row>
    <row r="59" spans="2:20" x14ac:dyDescent="0.2">
      <c r="B59" s="316"/>
      <c r="C59" s="318"/>
      <c r="D59" s="318"/>
      <c r="E59" s="318"/>
      <c r="F59" s="318"/>
      <c r="G59" s="318"/>
      <c r="H59" s="318"/>
      <c r="I59" s="334"/>
      <c r="J59" s="318"/>
      <c r="K59" s="335"/>
      <c r="L59" s="335"/>
      <c r="M59" s="335"/>
      <c r="N59" s="335"/>
      <c r="O59" s="335"/>
      <c r="P59" s="335"/>
      <c r="Q59" s="335"/>
      <c r="R59" s="335"/>
      <c r="S59" s="335"/>
      <c r="T59" s="335"/>
    </row>
    <row r="60" spans="2:20" x14ac:dyDescent="0.2">
      <c r="B60" s="316"/>
      <c r="C60" s="318"/>
      <c r="D60" s="318"/>
      <c r="E60" s="318"/>
      <c r="F60" s="318"/>
      <c r="G60" s="318"/>
      <c r="H60" s="318"/>
      <c r="I60" s="334"/>
      <c r="J60" s="318"/>
      <c r="K60" s="335"/>
      <c r="L60" s="335"/>
      <c r="M60" s="335"/>
      <c r="N60" s="335"/>
      <c r="O60" s="335"/>
      <c r="P60" s="335"/>
      <c r="Q60" s="335"/>
      <c r="R60" s="335"/>
      <c r="S60" s="335"/>
      <c r="T60" s="335"/>
    </row>
    <row r="61" spans="2:20" x14ac:dyDescent="0.2">
      <c r="B61" s="316"/>
      <c r="C61" s="318"/>
      <c r="D61" s="318"/>
      <c r="E61" s="318"/>
      <c r="F61" s="318"/>
      <c r="G61" s="318"/>
      <c r="H61" s="318"/>
      <c r="I61" s="334"/>
      <c r="J61" s="318"/>
      <c r="K61" s="335"/>
      <c r="L61" s="335"/>
      <c r="M61" s="335"/>
      <c r="N61" s="335"/>
      <c r="O61" s="335"/>
      <c r="P61" s="335"/>
      <c r="Q61" s="335"/>
      <c r="R61" s="335"/>
      <c r="S61" s="335"/>
      <c r="T61" s="335"/>
    </row>
    <row r="62" spans="2:20" x14ac:dyDescent="0.2">
      <c r="B62" s="316"/>
      <c r="C62" s="318"/>
      <c r="D62" s="318"/>
      <c r="E62" s="318"/>
      <c r="F62" s="318"/>
      <c r="G62" s="318"/>
      <c r="H62" s="318"/>
      <c r="I62" s="334"/>
      <c r="J62" s="318"/>
      <c r="K62" s="335"/>
      <c r="L62" s="335"/>
      <c r="M62" s="335"/>
      <c r="N62" s="335"/>
      <c r="O62" s="335"/>
      <c r="P62" s="335"/>
      <c r="Q62" s="335"/>
      <c r="R62" s="335"/>
      <c r="S62" s="335"/>
      <c r="T62" s="335"/>
    </row>
    <row r="63" spans="2:20" x14ac:dyDescent="0.2">
      <c r="B63" s="316"/>
      <c r="C63" s="318"/>
      <c r="D63" s="318"/>
      <c r="E63" s="318"/>
      <c r="F63" s="318"/>
      <c r="G63" s="318"/>
      <c r="H63" s="318"/>
      <c r="I63" s="334"/>
      <c r="J63" s="318"/>
      <c r="K63" s="335"/>
      <c r="L63" s="335"/>
      <c r="M63" s="335"/>
      <c r="N63" s="335"/>
      <c r="O63" s="335"/>
      <c r="P63" s="335"/>
      <c r="Q63" s="335"/>
      <c r="R63" s="335"/>
      <c r="S63" s="335"/>
      <c r="T63" s="335"/>
    </row>
    <row r="64" spans="2:20" x14ac:dyDescent="0.2">
      <c r="B64" s="316"/>
      <c r="C64" s="318"/>
      <c r="D64" s="318"/>
      <c r="E64" s="318"/>
      <c r="F64" s="318"/>
      <c r="G64" s="318"/>
      <c r="H64" s="318"/>
      <c r="I64" s="334"/>
      <c r="J64" s="318"/>
      <c r="K64" s="335"/>
      <c r="L64" s="335"/>
      <c r="M64" s="335"/>
      <c r="N64" s="335"/>
      <c r="O64" s="335"/>
      <c r="P64" s="335"/>
      <c r="Q64" s="335"/>
      <c r="R64" s="335"/>
      <c r="S64" s="335"/>
      <c r="T64" s="335"/>
    </row>
    <row r="65" spans="2:20" x14ac:dyDescent="0.2">
      <c r="B65" s="316"/>
      <c r="C65" s="318"/>
      <c r="D65" s="318"/>
      <c r="E65" s="318"/>
      <c r="F65" s="318"/>
      <c r="G65" s="318"/>
      <c r="H65" s="318"/>
      <c r="I65" s="334"/>
      <c r="J65" s="318"/>
      <c r="K65" s="335"/>
      <c r="L65" s="335"/>
      <c r="M65" s="335"/>
      <c r="N65" s="335"/>
      <c r="O65" s="335"/>
      <c r="P65" s="335"/>
      <c r="Q65" s="335"/>
      <c r="R65" s="335"/>
      <c r="S65" s="335"/>
      <c r="T65" s="335"/>
    </row>
    <row r="66" spans="2:20" x14ac:dyDescent="0.2">
      <c r="B66" s="316"/>
      <c r="C66" s="318"/>
      <c r="D66" s="318"/>
      <c r="E66" s="318"/>
      <c r="F66" s="318"/>
      <c r="G66" s="318"/>
      <c r="H66" s="318"/>
      <c r="I66" s="334"/>
      <c r="J66" s="318"/>
      <c r="K66" s="335"/>
      <c r="L66" s="335"/>
      <c r="M66" s="335"/>
      <c r="N66" s="335"/>
      <c r="O66" s="335"/>
      <c r="P66" s="335"/>
      <c r="Q66" s="335"/>
      <c r="R66" s="335"/>
      <c r="S66" s="335"/>
      <c r="T66" s="335"/>
    </row>
    <row r="67" spans="2:20" x14ac:dyDescent="0.2">
      <c r="B67" s="316"/>
      <c r="C67" s="318"/>
      <c r="D67" s="318"/>
      <c r="E67" s="318"/>
      <c r="F67" s="318"/>
      <c r="G67" s="318"/>
      <c r="H67" s="318"/>
      <c r="I67" s="334"/>
      <c r="J67" s="318"/>
      <c r="K67" s="335"/>
      <c r="L67" s="335"/>
      <c r="M67" s="335"/>
      <c r="N67" s="335"/>
      <c r="O67" s="335"/>
      <c r="P67" s="335"/>
      <c r="Q67" s="335"/>
      <c r="R67" s="335"/>
      <c r="S67" s="335"/>
      <c r="T67" s="335"/>
    </row>
  </sheetData>
  <mergeCells count="2">
    <mergeCell ref="A34:B36"/>
    <mergeCell ref="A38:B43"/>
  </mergeCells>
  <phoneticPr fontId="24" type="noConversion"/>
  <pageMargins left="0.75" right="0.75" top="1" bottom="1" header="0.5" footer="0.5"/>
  <pageSetup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5"/>
  <sheetViews>
    <sheetView zoomScaleNormal="100" workbookViewId="0">
      <selection activeCell="H9" sqref="H9"/>
    </sheetView>
  </sheetViews>
  <sheetFormatPr defaultRowHeight="12.75" x14ac:dyDescent="0.2"/>
  <cols>
    <col min="2" max="2" width="9.28515625" bestFit="1" customWidth="1"/>
    <col min="3" max="3" width="21.42578125" customWidth="1"/>
    <col min="4" max="4" width="13.42578125" bestFit="1" customWidth="1"/>
    <col min="5" max="5" width="13.42578125" customWidth="1"/>
    <col min="6" max="6" width="14.42578125" bestFit="1" customWidth="1"/>
    <col min="7" max="7" width="13.28515625" bestFit="1" customWidth="1"/>
    <col min="8" max="9" width="14.140625" bestFit="1" customWidth="1"/>
    <col min="10" max="10" width="12.7109375" bestFit="1" customWidth="1"/>
    <col min="11" max="11" width="12.5703125" bestFit="1" customWidth="1"/>
    <col min="12" max="13" width="12.28515625" bestFit="1" customWidth="1"/>
    <col min="14" max="14" width="12" bestFit="1" customWidth="1"/>
    <col min="15" max="15" width="11.85546875" bestFit="1" customWidth="1"/>
    <col min="16" max="17" width="12.28515625" bestFit="1" customWidth="1"/>
    <col min="18" max="18" width="11.7109375" bestFit="1" customWidth="1"/>
    <col min="19" max="19" width="12.42578125" bestFit="1" customWidth="1"/>
    <col min="20" max="20" width="12.140625" bestFit="1" customWidth="1"/>
    <col min="21" max="21" width="12.28515625" bestFit="1" customWidth="1"/>
    <col min="22" max="22" width="14" bestFit="1" customWidth="1"/>
    <col min="23" max="23" width="3.7109375" customWidth="1"/>
    <col min="24" max="24" width="9.28515625" bestFit="1" customWidth="1"/>
  </cols>
  <sheetData>
    <row r="1" spans="1:23" ht="48.75" x14ac:dyDescent="0.35">
      <c r="B1" s="699" t="s">
        <v>457</v>
      </c>
      <c r="C1" s="698"/>
      <c r="D1" s="698"/>
      <c r="E1" s="698"/>
      <c r="F1" s="700"/>
      <c r="G1" s="698"/>
      <c r="H1" s="698"/>
      <c r="I1" s="698"/>
      <c r="J1" s="698"/>
      <c r="K1" s="698"/>
      <c r="L1" s="698"/>
      <c r="M1" s="698"/>
      <c r="N1" s="698"/>
      <c r="O1" s="698"/>
      <c r="P1" s="698"/>
      <c r="Q1" s="7"/>
      <c r="R1" s="7"/>
      <c r="S1" s="7"/>
      <c r="T1" s="7"/>
      <c r="U1" s="7"/>
      <c r="V1" s="7"/>
      <c r="W1" s="44"/>
    </row>
    <row r="2" spans="1:23" x14ac:dyDescent="0.2">
      <c r="B2" s="46"/>
      <c r="C2" s="43"/>
      <c r="D2" s="43"/>
      <c r="E2" s="43"/>
      <c r="F2" s="470"/>
      <c r="G2" s="497"/>
      <c r="H2" s="43"/>
      <c r="I2" s="470"/>
      <c r="J2" s="47" t="s">
        <v>90</v>
      </c>
      <c r="K2" s="736"/>
      <c r="L2" s="736"/>
      <c r="M2" s="47"/>
      <c r="N2" s="601" t="s">
        <v>91</v>
      </c>
      <c r="O2" s="736"/>
      <c r="P2" s="736"/>
      <c r="Q2" s="602"/>
      <c r="R2" s="601" t="s">
        <v>205</v>
      </c>
      <c r="S2" s="736"/>
      <c r="T2" s="736"/>
      <c r="U2" s="602"/>
      <c r="V2" s="43"/>
      <c r="W2" s="47"/>
    </row>
    <row r="3" spans="1:23" ht="15.75" x14ac:dyDescent="0.25">
      <c r="B3" s="48"/>
      <c r="C3" s="49"/>
      <c r="D3" s="49"/>
      <c r="E3" s="732" t="s">
        <v>182</v>
      </c>
      <c r="F3" s="733" t="s">
        <v>92</v>
      </c>
      <c r="G3" s="734" t="s">
        <v>93</v>
      </c>
      <c r="H3" s="732" t="s">
        <v>94</v>
      </c>
      <c r="I3" s="733" t="s">
        <v>95</v>
      </c>
      <c r="J3" s="735">
        <v>1</v>
      </c>
      <c r="K3" s="735">
        <v>2</v>
      </c>
      <c r="L3" s="735">
        <v>3</v>
      </c>
      <c r="M3" s="735">
        <v>4</v>
      </c>
      <c r="N3" s="737">
        <v>5</v>
      </c>
      <c r="O3" s="735">
        <v>6</v>
      </c>
      <c r="P3" s="735">
        <v>7</v>
      </c>
      <c r="Q3" s="738">
        <v>8</v>
      </c>
      <c r="R3" s="737">
        <v>9</v>
      </c>
      <c r="S3" s="735">
        <v>10</v>
      </c>
      <c r="T3" s="735">
        <v>11</v>
      </c>
      <c r="U3" s="738">
        <v>12</v>
      </c>
      <c r="V3" s="732" t="s">
        <v>206</v>
      </c>
      <c r="W3" s="445"/>
    </row>
    <row r="4" spans="1:23" x14ac:dyDescent="0.2">
      <c r="B4" s="648" t="s">
        <v>79</v>
      </c>
      <c r="C4" s="460"/>
      <c r="D4" s="460"/>
      <c r="E4" s="460"/>
      <c r="F4" s="460"/>
      <c r="G4" s="460"/>
      <c r="H4" s="460"/>
      <c r="I4" s="460"/>
      <c r="J4" s="461"/>
      <c r="K4" s="461"/>
      <c r="L4" s="461"/>
      <c r="M4" s="461"/>
      <c r="N4" s="461"/>
      <c r="O4" s="461"/>
      <c r="P4" s="461"/>
      <c r="Q4" s="604"/>
      <c r="R4" s="603"/>
      <c r="S4" s="461"/>
      <c r="T4" s="461"/>
      <c r="U4" s="461"/>
      <c r="V4" s="460"/>
      <c r="W4" s="445"/>
    </row>
    <row r="5" spans="1:23" x14ac:dyDescent="0.2">
      <c r="A5">
        <v>1</v>
      </c>
      <c r="B5" s="43" t="s">
        <v>80</v>
      </c>
      <c r="C5" s="43"/>
      <c r="E5" s="154">
        <f>'4-3d-Stage 1d Development cost'!F9</f>
        <v>1251500</v>
      </c>
      <c r="F5" s="490">
        <f>SUM(G5:I5)</f>
        <v>1251500</v>
      </c>
      <c r="G5" s="509">
        <f>$E$5</f>
        <v>1251500</v>
      </c>
      <c r="H5" s="61">
        <f>SUM(J5:M5)</f>
        <v>0</v>
      </c>
      <c r="I5" s="471">
        <f>SUM(N5:Q5)</f>
        <v>0</v>
      </c>
      <c r="J5" s="57"/>
      <c r="K5" s="57"/>
      <c r="L5" s="57"/>
      <c r="M5" s="57"/>
      <c r="N5" s="605"/>
      <c r="O5" s="57"/>
      <c r="P5" s="57"/>
      <c r="Q5" s="476"/>
      <c r="R5" s="605"/>
      <c r="S5" s="57"/>
      <c r="T5" s="57"/>
      <c r="U5" s="476"/>
      <c r="V5" s="40">
        <f>SUM(R5:U5)</f>
        <v>0</v>
      </c>
    </row>
    <row r="6" spans="1:23" x14ac:dyDescent="0.2">
      <c r="A6">
        <v>2</v>
      </c>
      <c r="B6" s="43" t="s">
        <v>96</v>
      </c>
      <c r="C6" s="43"/>
      <c r="E6" s="154">
        <f>'4-3d-Stage 1d Development cost'!F10</f>
        <v>27418</v>
      </c>
      <c r="F6" s="490">
        <f t="shared" ref="F6:F20" si="0">SUM(G6:I6)</f>
        <v>27418</v>
      </c>
      <c r="G6" s="510">
        <f>E6</f>
        <v>27418</v>
      </c>
      <c r="H6" s="61">
        <f>SUM(J6:M6)</f>
        <v>0</v>
      </c>
      <c r="I6" s="471">
        <f>SUM(N6:Q6)</f>
        <v>0</v>
      </c>
      <c r="J6" s="57"/>
      <c r="K6" s="57"/>
      <c r="L6" s="57"/>
      <c r="M6" s="57"/>
      <c r="N6" s="605"/>
      <c r="O6" s="57"/>
      <c r="P6" s="57"/>
      <c r="Q6" s="476"/>
      <c r="R6" s="605"/>
      <c r="S6" s="57"/>
      <c r="T6" s="57"/>
      <c r="U6" s="476"/>
      <c r="V6" s="40">
        <f t="shared" ref="V6:V17" si="1">SUM(R6:U6)</f>
        <v>0</v>
      </c>
    </row>
    <row r="7" spans="1:23" x14ac:dyDescent="0.2">
      <c r="A7" s="749">
        <v>3</v>
      </c>
      <c r="B7" s="43" t="s">
        <v>81</v>
      </c>
      <c r="C7" s="43"/>
      <c r="E7" s="154">
        <f>'4-3d-Stage 1d Development cost'!F11</f>
        <v>88800.000000000015</v>
      </c>
      <c r="F7" s="490">
        <f t="shared" si="0"/>
        <v>88800.000000000015</v>
      </c>
      <c r="G7" s="510">
        <f>E7</f>
        <v>88800.000000000015</v>
      </c>
      <c r="H7" s="61">
        <f>SUM(J7:M7)</f>
        <v>0</v>
      </c>
      <c r="I7" s="471">
        <f>SUM(N7:Q7)</f>
        <v>0</v>
      </c>
      <c r="J7" s="57"/>
      <c r="K7" s="57"/>
      <c r="L7" s="57"/>
      <c r="M7" s="57"/>
      <c r="N7" s="605"/>
      <c r="O7" s="57"/>
      <c r="P7" s="57"/>
      <c r="Q7" s="476"/>
      <c r="R7" s="605"/>
      <c r="S7" s="57"/>
      <c r="T7" s="57"/>
      <c r="U7" s="476"/>
      <c r="V7" s="40">
        <f t="shared" si="1"/>
        <v>0</v>
      </c>
    </row>
    <row r="8" spans="1:23" x14ac:dyDescent="0.2">
      <c r="A8" s="750">
        <v>4</v>
      </c>
      <c r="B8" s="217" t="s">
        <v>33</v>
      </c>
      <c r="C8" s="43"/>
      <c r="E8" s="154">
        <f>'4-3d-Stage 1d Development cost'!F12</f>
        <v>110574</v>
      </c>
      <c r="F8" s="490">
        <f>SUM(G8:I8)</f>
        <v>110574</v>
      </c>
      <c r="G8" s="510">
        <f>E8</f>
        <v>110574</v>
      </c>
      <c r="H8" s="61">
        <f>SUM(J8:M8)</f>
        <v>0</v>
      </c>
      <c r="I8" s="471">
        <f>SUM(N8:Q8)</f>
        <v>0</v>
      </c>
      <c r="J8" s="57"/>
      <c r="K8" s="57"/>
      <c r="L8" s="57"/>
      <c r="M8" s="57"/>
      <c r="N8" s="605"/>
      <c r="O8" s="57"/>
      <c r="P8" s="57"/>
      <c r="Q8" s="476"/>
      <c r="R8" s="605"/>
      <c r="S8" s="57"/>
      <c r="T8" s="57"/>
      <c r="U8" s="476"/>
      <c r="V8" s="40">
        <f>SUM(R8:U8)</f>
        <v>0</v>
      </c>
    </row>
    <row r="9" spans="1:23" x14ac:dyDescent="0.2">
      <c r="A9" s="749">
        <v>5</v>
      </c>
      <c r="B9" s="217" t="s">
        <v>175</v>
      </c>
      <c r="C9" s="43"/>
      <c r="E9" s="154">
        <f>'4-3d-Stage 1d Development cost'!F13</f>
        <v>7476741</v>
      </c>
      <c r="F9" s="490">
        <f t="shared" si="0"/>
        <v>7476741</v>
      </c>
      <c r="G9" s="510"/>
      <c r="H9" s="61">
        <f>SUM(J9:M9)</f>
        <v>7476741</v>
      </c>
      <c r="I9" s="471">
        <f>SUM(N9:Q9)</f>
        <v>0</v>
      </c>
      <c r="J9" s="439">
        <f>$E$9/4</f>
        <v>1869185.25</v>
      </c>
      <c r="K9" s="439">
        <f>$E$9/4</f>
        <v>1869185.25</v>
      </c>
      <c r="L9" s="439">
        <f>$E$9/4</f>
        <v>1869185.25</v>
      </c>
      <c r="M9" s="439">
        <f>$E$9/4</f>
        <v>1869185.25</v>
      </c>
      <c r="N9" s="605"/>
      <c r="O9" s="57"/>
      <c r="P9" s="57"/>
      <c r="Q9" s="476"/>
      <c r="R9" s="605"/>
      <c r="S9" s="57"/>
      <c r="T9" s="57"/>
      <c r="U9" s="476"/>
      <c r="V9" s="40">
        <f t="shared" si="1"/>
        <v>0</v>
      </c>
    </row>
    <row r="10" spans="1:23" x14ac:dyDescent="0.2">
      <c r="A10" s="750">
        <v>6</v>
      </c>
      <c r="B10" s="43" t="s">
        <v>82</v>
      </c>
      <c r="C10" s="43"/>
      <c r="F10" s="490"/>
      <c r="G10" s="511"/>
      <c r="H10" s="61"/>
      <c r="I10" s="471"/>
      <c r="J10" s="57"/>
      <c r="K10" s="57"/>
      <c r="L10" s="57"/>
      <c r="M10" s="57"/>
      <c r="N10" s="605"/>
      <c r="O10" s="57"/>
      <c r="P10" s="57"/>
      <c r="Q10" s="476"/>
      <c r="R10" s="605"/>
      <c r="S10" s="57"/>
      <c r="T10" s="57"/>
      <c r="U10" s="476"/>
      <c r="V10" s="40">
        <f t="shared" si="1"/>
        <v>0</v>
      </c>
    </row>
    <row r="11" spans="1:23" s="193" customFormat="1" ht="26.25" customHeight="1" x14ac:dyDescent="0.2">
      <c r="A11" s="749">
        <v>7</v>
      </c>
      <c r="B11" s="194"/>
      <c r="C11" s="252" t="s">
        <v>312</v>
      </c>
      <c r="E11" s="253">
        <f>'4-3d-Stage 1d Development cost'!F15</f>
        <v>378000</v>
      </c>
      <c r="F11" s="495">
        <f t="shared" si="0"/>
        <v>378000</v>
      </c>
      <c r="G11" s="512"/>
      <c r="H11" s="251">
        <f t="shared" ref="H11:H17" si="2">SUM(J11:M11)</f>
        <v>378000</v>
      </c>
      <c r="I11" s="471">
        <f t="shared" ref="I11:I17" si="3">SUM(N11:Q11)</f>
        <v>0</v>
      </c>
      <c r="J11" s="251">
        <f>E11</f>
        <v>378000</v>
      </c>
      <c r="K11" s="251"/>
      <c r="L11" s="251"/>
      <c r="M11" s="251"/>
      <c r="N11" s="606"/>
      <c r="O11" s="251"/>
      <c r="P11" s="251"/>
      <c r="Q11" s="472"/>
      <c r="R11" s="606"/>
      <c r="S11" s="251"/>
      <c r="T11" s="251"/>
      <c r="U11" s="472"/>
      <c r="V11" s="40">
        <f t="shared" si="1"/>
        <v>0</v>
      </c>
    </row>
    <row r="12" spans="1:23" s="193" customFormat="1" x14ac:dyDescent="0.2">
      <c r="A12" s="750">
        <v>8</v>
      </c>
      <c r="B12" s="194"/>
      <c r="C12" s="252" t="s">
        <v>173</v>
      </c>
      <c r="E12" s="253">
        <f>'4-3d-Stage 1d Development cost'!F16</f>
        <v>228910</v>
      </c>
      <c r="F12" s="495">
        <f t="shared" si="0"/>
        <v>228910</v>
      </c>
      <c r="G12" s="512">
        <f>E12</f>
        <v>228910</v>
      </c>
      <c r="H12" s="61">
        <f t="shared" si="2"/>
        <v>0</v>
      </c>
      <c r="I12" s="471">
        <f t="shared" si="3"/>
        <v>0</v>
      </c>
      <c r="J12" s="251"/>
      <c r="K12" s="251"/>
      <c r="L12" s="251"/>
      <c r="M12" s="251"/>
      <c r="N12" s="606"/>
      <c r="O12" s="251"/>
      <c r="P12" s="251"/>
      <c r="Q12" s="472"/>
      <c r="R12" s="606"/>
      <c r="S12" s="251"/>
      <c r="T12" s="251"/>
      <c r="U12" s="472"/>
      <c r="V12" s="40">
        <f t="shared" si="1"/>
        <v>0</v>
      </c>
    </row>
    <row r="13" spans="1:23" s="193" customFormat="1" ht="13.5" customHeight="1" x14ac:dyDescent="0.2">
      <c r="A13" s="749">
        <v>9</v>
      </c>
      <c r="B13" s="194"/>
      <c r="C13" s="252" t="s">
        <v>222</v>
      </c>
      <c r="E13" s="253">
        <f>'4-3d-Stage 1d Development cost'!F17</f>
        <v>10883</v>
      </c>
      <c r="F13" s="495">
        <f t="shared" si="0"/>
        <v>10883</v>
      </c>
      <c r="G13" s="512">
        <f>E13</f>
        <v>10883</v>
      </c>
      <c r="H13" s="61">
        <f t="shared" si="2"/>
        <v>0</v>
      </c>
      <c r="I13" s="471">
        <f t="shared" si="3"/>
        <v>0</v>
      </c>
      <c r="J13" s="251"/>
      <c r="K13" s="251"/>
      <c r="L13" s="251"/>
      <c r="M13" s="251"/>
      <c r="N13" s="606"/>
      <c r="O13" s="251"/>
      <c r="P13" s="251"/>
      <c r="Q13" s="472"/>
      <c r="R13" s="606"/>
      <c r="S13" s="251"/>
      <c r="T13" s="251"/>
      <c r="U13" s="472"/>
      <c r="V13" s="40">
        <f t="shared" si="1"/>
        <v>0</v>
      </c>
    </row>
    <row r="14" spans="1:23" s="193" customFormat="1" ht="14.25" customHeight="1" x14ac:dyDescent="0.2">
      <c r="A14" s="750">
        <v>10</v>
      </c>
      <c r="B14" s="194"/>
      <c r="C14" s="252" t="s">
        <v>83</v>
      </c>
      <c r="E14" s="253">
        <f>'4-3d-Stage 1d Development cost'!F18</f>
        <v>73500</v>
      </c>
      <c r="F14" s="495">
        <f t="shared" si="0"/>
        <v>73500</v>
      </c>
      <c r="G14" s="512"/>
      <c r="H14" s="251">
        <f t="shared" si="2"/>
        <v>36750</v>
      </c>
      <c r="I14" s="472">
        <f t="shared" si="3"/>
        <v>36750</v>
      </c>
      <c r="J14" s="251">
        <f>$E$14/8</f>
        <v>9187.5</v>
      </c>
      <c r="K14" s="251">
        <f t="shared" ref="K14:Q14" si="4">$E$14/8</f>
        <v>9187.5</v>
      </c>
      <c r="L14" s="251">
        <f t="shared" si="4"/>
        <v>9187.5</v>
      </c>
      <c r="M14" s="251">
        <f t="shared" si="4"/>
        <v>9187.5</v>
      </c>
      <c r="N14" s="606">
        <f t="shared" si="4"/>
        <v>9187.5</v>
      </c>
      <c r="O14" s="251">
        <f t="shared" si="4"/>
        <v>9187.5</v>
      </c>
      <c r="P14" s="251">
        <f t="shared" si="4"/>
        <v>9187.5</v>
      </c>
      <c r="Q14" s="472">
        <f t="shared" si="4"/>
        <v>9187.5</v>
      </c>
      <c r="R14" s="606"/>
      <c r="S14" s="251"/>
      <c r="T14" s="251"/>
      <c r="U14" s="472"/>
      <c r="V14" s="40">
        <f t="shared" si="1"/>
        <v>0</v>
      </c>
    </row>
    <row r="15" spans="1:23" s="193" customFormat="1" x14ac:dyDescent="0.2">
      <c r="A15" s="749">
        <v>11</v>
      </c>
      <c r="B15" s="194"/>
      <c r="C15" s="254" t="s">
        <v>313</v>
      </c>
      <c r="E15" s="253">
        <f>'4-3d-Stage 1d Development cost'!F19</f>
        <v>50000</v>
      </c>
      <c r="F15" s="495">
        <f t="shared" si="0"/>
        <v>50000</v>
      </c>
      <c r="G15" s="512"/>
      <c r="H15" s="251">
        <f t="shared" si="2"/>
        <v>25000</v>
      </c>
      <c r="I15" s="472">
        <f t="shared" si="3"/>
        <v>25000</v>
      </c>
      <c r="J15" s="251">
        <f>$E15/8</f>
        <v>6250</v>
      </c>
      <c r="K15" s="251">
        <f t="shared" ref="K15:Q15" si="5">$E$15/8</f>
        <v>6250</v>
      </c>
      <c r="L15" s="251">
        <f t="shared" si="5"/>
        <v>6250</v>
      </c>
      <c r="M15" s="251">
        <f t="shared" si="5"/>
        <v>6250</v>
      </c>
      <c r="N15" s="606">
        <f t="shared" si="5"/>
        <v>6250</v>
      </c>
      <c r="O15" s="251">
        <f t="shared" si="5"/>
        <v>6250</v>
      </c>
      <c r="P15" s="251">
        <f t="shared" si="5"/>
        <v>6250</v>
      </c>
      <c r="Q15" s="472">
        <f t="shared" si="5"/>
        <v>6250</v>
      </c>
      <c r="R15" s="606"/>
      <c r="S15" s="251"/>
      <c r="T15" s="251"/>
      <c r="U15" s="472"/>
      <c r="V15" s="40">
        <f t="shared" si="1"/>
        <v>0</v>
      </c>
    </row>
    <row r="16" spans="1:23" s="193" customFormat="1" x14ac:dyDescent="0.2">
      <c r="A16" s="750">
        <v>12</v>
      </c>
      <c r="B16" s="194"/>
      <c r="C16" s="254" t="s">
        <v>314</v>
      </c>
      <c r="E16" s="253">
        <f>'4-3d-Stage 1d Development cost'!F20</f>
        <v>19800</v>
      </c>
      <c r="F16" s="495">
        <f t="shared" si="0"/>
        <v>19800</v>
      </c>
      <c r="G16" s="512"/>
      <c r="H16" s="251">
        <f t="shared" si="2"/>
        <v>9900</v>
      </c>
      <c r="I16" s="472">
        <f t="shared" si="3"/>
        <v>9900</v>
      </c>
      <c r="J16" s="251">
        <f>$E16/8</f>
        <v>2475</v>
      </c>
      <c r="K16" s="251">
        <f t="shared" ref="K16:Q16" si="6">$E16/8</f>
        <v>2475</v>
      </c>
      <c r="L16" s="251">
        <f t="shared" si="6"/>
        <v>2475</v>
      </c>
      <c r="M16" s="251">
        <f t="shared" si="6"/>
        <v>2475</v>
      </c>
      <c r="N16" s="606">
        <f t="shared" si="6"/>
        <v>2475</v>
      </c>
      <c r="O16" s="251">
        <f t="shared" si="6"/>
        <v>2475</v>
      </c>
      <c r="P16" s="251">
        <f t="shared" si="6"/>
        <v>2475</v>
      </c>
      <c r="Q16" s="472">
        <f t="shared" si="6"/>
        <v>2475</v>
      </c>
      <c r="R16" s="606"/>
      <c r="S16" s="251"/>
      <c r="T16" s="251"/>
      <c r="U16" s="472"/>
      <c r="V16" s="40">
        <f t="shared" si="1"/>
        <v>0</v>
      </c>
    </row>
    <row r="17" spans="1:24" s="193" customFormat="1" x14ac:dyDescent="0.2">
      <c r="A17" s="749">
        <v>13</v>
      </c>
      <c r="B17" s="194" t="s">
        <v>84</v>
      </c>
      <c r="C17" s="194"/>
      <c r="E17" s="253">
        <f>'4-3d-Stage 1d Development cost'!F23</f>
        <v>210825.48165126011</v>
      </c>
      <c r="F17" s="495">
        <f t="shared" si="0"/>
        <v>210825.48165126011</v>
      </c>
      <c r="G17" s="512"/>
      <c r="H17" s="251">
        <f t="shared" si="2"/>
        <v>105412.74082563006</v>
      </c>
      <c r="I17" s="472">
        <f t="shared" si="3"/>
        <v>105412.74082563006</v>
      </c>
      <c r="J17" s="251">
        <f t="shared" ref="J17:Q17" si="7">$E17/8</f>
        <v>26353.185206407514</v>
      </c>
      <c r="K17" s="251">
        <f t="shared" si="7"/>
        <v>26353.185206407514</v>
      </c>
      <c r="L17" s="251">
        <f t="shared" si="7"/>
        <v>26353.185206407514</v>
      </c>
      <c r="M17" s="251">
        <f t="shared" si="7"/>
        <v>26353.185206407514</v>
      </c>
      <c r="N17" s="606">
        <f t="shared" si="7"/>
        <v>26353.185206407514</v>
      </c>
      <c r="O17" s="251">
        <f t="shared" si="7"/>
        <v>26353.185206407514</v>
      </c>
      <c r="P17" s="251">
        <f t="shared" si="7"/>
        <v>26353.185206407514</v>
      </c>
      <c r="Q17" s="472">
        <f t="shared" si="7"/>
        <v>26353.185206407514</v>
      </c>
      <c r="R17" s="606"/>
      <c r="S17" s="251"/>
      <c r="T17" s="251"/>
      <c r="U17" s="472"/>
      <c r="V17" s="40">
        <f t="shared" si="1"/>
        <v>0</v>
      </c>
    </row>
    <row r="18" spans="1:24" s="193" customFormat="1" x14ac:dyDescent="0.2">
      <c r="A18" s="750">
        <v>14</v>
      </c>
      <c r="B18" s="194" t="s">
        <v>17</v>
      </c>
      <c r="C18" s="194"/>
      <c r="E18" s="253">
        <f>'4-3d-Stage 1d Development cost'!F45</f>
        <v>-2476983.6650548349</v>
      </c>
      <c r="F18" s="495">
        <f t="shared" si="0"/>
        <v>-2476983.6650548349</v>
      </c>
      <c r="G18" s="512"/>
      <c r="H18" s="251">
        <f>SUM(J18:M18)</f>
        <v>-2476983.6650548349</v>
      </c>
      <c r="I18" s="472">
        <f>SUM(N18:Q18)</f>
        <v>0</v>
      </c>
      <c r="J18" s="251">
        <f>$E18/4</f>
        <v>-619245.91626370873</v>
      </c>
      <c r="K18" s="251">
        <f>$E18/4</f>
        <v>-619245.91626370873</v>
      </c>
      <c r="L18" s="251">
        <f>$E18/4</f>
        <v>-619245.91626370873</v>
      </c>
      <c r="M18" s="251">
        <f>$E18/4</f>
        <v>-619245.91626370873</v>
      </c>
      <c r="N18" s="606"/>
      <c r="O18" s="251"/>
      <c r="P18" s="251"/>
      <c r="Q18" s="472"/>
      <c r="R18" s="606"/>
      <c r="S18" s="251"/>
      <c r="T18" s="251"/>
      <c r="U18" s="472"/>
      <c r="V18" s="40"/>
    </row>
    <row r="19" spans="1:24" x14ac:dyDescent="0.2">
      <c r="B19" s="45"/>
      <c r="C19" s="43"/>
      <c r="F19" s="496"/>
      <c r="G19" s="513"/>
      <c r="H19" s="42"/>
      <c r="I19" s="473"/>
      <c r="J19" s="57"/>
      <c r="K19" s="57"/>
      <c r="L19" s="57"/>
      <c r="M19" s="57"/>
      <c r="N19" s="605"/>
      <c r="O19" s="57"/>
      <c r="P19" s="57"/>
      <c r="Q19" s="476"/>
      <c r="R19" s="605"/>
      <c r="S19" s="57"/>
      <c r="T19" s="57"/>
      <c r="U19" s="476"/>
    </row>
    <row r="20" spans="1:24" ht="29.25" customHeight="1" thickBot="1" x14ac:dyDescent="0.25">
      <c r="A20" s="749">
        <v>15</v>
      </c>
      <c r="B20" s="813" t="s">
        <v>362</v>
      </c>
      <c r="C20" s="813"/>
      <c r="D20" s="813"/>
      <c r="E20" s="63">
        <f>SUM(F5:F19)</f>
        <v>7449967.8165964242</v>
      </c>
      <c r="F20" s="488">
        <f t="shared" si="0"/>
        <v>7449967.8165964251</v>
      </c>
      <c r="G20" s="514">
        <f t="shared" ref="G20:Q20" si="8">SUM(G5:G19)</f>
        <v>1718085</v>
      </c>
      <c r="H20" s="63">
        <f t="shared" si="8"/>
        <v>5554820.0757707953</v>
      </c>
      <c r="I20" s="474">
        <f t="shared" si="8"/>
        <v>177062.74082563006</v>
      </c>
      <c r="J20" s="63">
        <f t="shared" si="8"/>
        <v>1672205.0189426988</v>
      </c>
      <c r="K20" s="63">
        <f t="shared" si="8"/>
        <v>1294205.0189426988</v>
      </c>
      <c r="L20" s="63">
        <f t="shared" si="8"/>
        <v>1294205.0189426988</v>
      </c>
      <c r="M20" s="63">
        <f t="shared" si="8"/>
        <v>1294205.0189426988</v>
      </c>
      <c r="N20" s="607">
        <f t="shared" si="8"/>
        <v>44265.685206407514</v>
      </c>
      <c r="O20" s="63">
        <f t="shared" si="8"/>
        <v>44265.685206407514</v>
      </c>
      <c r="P20" s="63">
        <f t="shared" si="8"/>
        <v>44265.685206407514</v>
      </c>
      <c r="Q20" s="474">
        <f t="shared" si="8"/>
        <v>44265.685206407514</v>
      </c>
      <c r="R20" s="607">
        <f>SUM(R5:R19)</f>
        <v>0</v>
      </c>
      <c r="S20" s="63">
        <f>SUM(S5:S19)</f>
        <v>0</v>
      </c>
      <c r="T20" s="63">
        <f>SUM(T5:T19)</f>
        <v>0</v>
      </c>
      <c r="U20" s="474">
        <f>SUM(U5:U19)</f>
        <v>0</v>
      </c>
      <c r="V20" s="63">
        <f>SUM(V5:V19)</f>
        <v>0</v>
      </c>
    </row>
    <row r="21" spans="1:24" x14ac:dyDescent="0.2">
      <c r="C21" s="45"/>
      <c r="G21" s="41"/>
    </row>
    <row r="22" spans="1:24" x14ac:dyDescent="0.2">
      <c r="C22" s="45"/>
    </row>
    <row r="23" spans="1:24" x14ac:dyDescent="0.2">
      <c r="A23" s="750">
        <v>16</v>
      </c>
      <c r="B23" s="64" t="s">
        <v>232</v>
      </c>
      <c r="C23" s="45"/>
      <c r="D23" s="45"/>
      <c r="E23" s="45"/>
      <c r="F23" s="45"/>
      <c r="G23" s="45"/>
      <c r="H23" s="45"/>
      <c r="I23" s="57"/>
    </row>
    <row r="24" spans="1:24" x14ac:dyDescent="0.2">
      <c r="A24" s="749">
        <v>17</v>
      </c>
      <c r="B24" s="407" t="s">
        <v>233</v>
      </c>
      <c r="C24" s="55"/>
      <c r="D24" s="56"/>
      <c r="E24" s="411"/>
      <c r="F24" s="493">
        <f t="shared" ref="F24:F29" si="9">SUM(G24:I24)</f>
        <v>3</v>
      </c>
      <c r="G24" s="505"/>
      <c r="H24" s="406">
        <f t="shared" ref="H24:H29" si="10">SUM(J24:M24)</f>
        <v>3</v>
      </c>
      <c r="I24" s="475">
        <f>SUM(N24:Q24)</f>
        <v>0</v>
      </c>
      <c r="J24" s="56"/>
      <c r="K24" s="56"/>
      <c r="L24" s="56"/>
      <c r="M24" s="440">
        <v>3</v>
      </c>
      <c r="N24" s="608"/>
      <c r="O24" s="56"/>
      <c r="P24" s="56"/>
      <c r="Q24" s="475"/>
      <c r="R24" s="608"/>
      <c r="S24" s="56"/>
      <c r="T24" s="56"/>
      <c r="U24" s="475"/>
      <c r="V24" s="56"/>
    </row>
    <row r="25" spans="1:24" x14ac:dyDescent="0.2">
      <c r="A25" s="750">
        <v>18</v>
      </c>
      <c r="B25" s="408" t="s">
        <v>234</v>
      </c>
      <c r="C25" s="45"/>
      <c r="D25" s="410"/>
      <c r="E25" s="410"/>
      <c r="F25" s="490"/>
      <c r="G25" s="502"/>
      <c r="H25" s="61">
        <f t="shared" si="10"/>
        <v>3</v>
      </c>
      <c r="I25" s="476">
        <f>V25</f>
        <v>3</v>
      </c>
      <c r="J25" s="57"/>
      <c r="K25" s="57"/>
      <c r="L25" s="57"/>
      <c r="M25" s="263">
        <f>M24+L25</f>
        <v>3</v>
      </c>
      <c r="N25" s="605">
        <f>N24+M25</f>
        <v>3</v>
      </c>
      <c r="O25" s="57">
        <f t="shared" ref="O25:V25" si="11">O24+N25</f>
        <v>3</v>
      </c>
      <c r="P25" s="57">
        <f t="shared" si="11"/>
        <v>3</v>
      </c>
      <c r="Q25" s="476">
        <f t="shared" si="11"/>
        <v>3</v>
      </c>
      <c r="R25" s="605">
        <f t="shared" si="11"/>
        <v>3</v>
      </c>
      <c r="S25" s="57">
        <f t="shared" si="11"/>
        <v>3</v>
      </c>
      <c r="T25" s="57">
        <f t="shared" si="11"/>
        <v>3</v>
      </c>
      <c r="U25" s="476">
        <f t="shared" si="11"/>
        <v>3</v>
      </c>
      <c r="V25" s="57">
        <f t="shared" si="11"/>
        <v>3</v>
      </c>
    </row>
    <row r="26" spans="1:24" x14ac:dyDescent="0.2">
      <c r="A26" s="749">
        <v>19</v>
      </c>
      <c r="B26" s="408" t="s">
        <v>363</v>
      </c>
      <c r="C26" s="45"/>
      <c r="D26" s="45"/>
      <c r="E26" s="45"/>
      <c r="F26" s="490">
        <f t="shared" si="9"/>
        <v>650000</v>
      </c>
      <c r="G26" s="503"/>
      <c r="H26" s="45">
        <f t="shared" si="10"/>
        <v>325000</v>
      </c>
      <c r="I26" s="477">
        <f>AVERAGE(N26:Q26)</f>
        <v>325000</v>
      </c>
      <c r="J26" s="57"/>
      <c r="K26" s="57"/>
      <c r="L26" s="57"/>
      <c r="M26" s="634">
        <f>'4-3a-Stage 1a Rents &amp; Sales'!$F$34</f>
        <v>325000</v>
      </c>
      <c r="N26" s="609">
        <f>'4-3a-Stage 1a Rents &amp; Sales'!$F$34</f>
        <v>325000</v>
      </c>
      <c r="O26" s="304">
        <f>'4-3a-Stage 1a Rents &amp; Sales'!$F$34</f>
        <v>325000</v>
      </c>
      <c r="P26" s="304">
        <f>'4-3a-Stage 1a Rents &amp; Sales'!$F$34</f>
        <v>325000</v>
      </c>
      <c r="Q26" s="639">
        <f>'4-3a-Stage 1a Rents &amp; Sales'!$F$34</f>
        <v>325000</v>
      </c>
      <c r="R26" s="609">
        <f>'4-3a-Stage 1a Rents &amp; Sales'!$F$34</f>
        <v>325000</v>
      </c>
      <c r="S26" s="304">
        <f>'4-3a-Stage 1a Rents &amp; Sales'!$F$34</f>
        <v>325000</v>
      </c>
      <c r="T26" s="304">
        <f>'4-3a-Stage 1a Rents &amp; Sales'!$F$34</f>
        <v>325000</v>
      </c>
      <c r="U26" s="610">
        <f>'4-3a-Stage 1a Rents &amp; Sales'!$F$34</f>
        <v>325000</v>
      </c>
      <c r="V26" s="304">
        <v>0</v>
      </c>
    </row>
    <row r="27" spans="1:24" x14ac:dyDescent="0.2">
      <c r="A27" s="750">
        <v>20</v>
      </c>
      <c r="B27" s="407" t="s">
        <v>453</v>
      </c>
      <c r="C27" s="55"/>
      <c r="D27" s="55"/>
      <c r="E27" s="413"/>
      <c r="F27" s="493">
        <f>SUM(G27:I27)</f>
        <v>975000</v>
      </c>
      <c r="G27" s="505"/>
      <c r="H27" s="55">
        <f t="shared" si="10"/>
        <v>975000</v>
      </c>
      <c r="I27" s="478">
        <f>SUM(N27:Q27)</f>
        <v>0</v>
      </c>
      <c r="J27" s="56"/>
      <c r="K27" s="56"/>
      <c r="L27" s="56"/>
      <c r="M27" s="635">
        <f>M26*M24</f>
        <v>975000</v>
      </c>
      <c r="N27" s="611">
        <f>N26*N24</f>
        <v>0</v>
      </c>
      <c r="O27" s="62">
        <f t="shared" ref="O27:V27" si="12">O26*O24</f>
        <v>0</v>
      </c>
      <c r="P27" s="62">
        <f t="shared" si="12"/>
        <v>0</v>
      </c>
      <c r="Q27" s="478">
        <f t="shared" si="12"/>
        <v>0</v>
      </c>
      <c r="R27" s="611">
        <f t="shared" si="12"/>
        <v>0</v>
      </c>
      <c r="S27" s="62">
        <f t="shared" si="12"/>
        <v>0</v>
      </c>
      <c r="T27" s="62">
        <f t="shared" si="12"/>
        <v>0</v>
      </c>
      <c r="U27" s="478">
        <f t="shared" si="12"/>
        <v>0</v>
      </c>
      <c r="V27" s="62">
        <f t="shared" si="12"/>
        <v>0</v>
      </c>
      <c r="X27" s="51"/>
    </row>
    <row r="28" spans="1:24" ht="15.75" x14ac:dyDescent="0.2">
      <c r="A28" s="749">
        <v>21</v>
      </c>
      <c r="B28" s="264" t="s">
        <v>364</v>
      </c>
      <c r="C28" s="50"/>
      <c r="D28" s="50"/>
      <c r="E28" s="412"/>
      <c r="F28" s="494">
        <f t="shared" si="9"/>
        <v>0</v>
      </c>
      <c r="G28" s="508"/>
      <c r="H28" s="50">
        <f t="shared" si="10"/>
        <v>0</v>
      </c>
      <c r="I28" s="479">
        <f>SUM(N28:Q28)</f>
        <v>0</v>
      </c>
      <c r="J28" s="42"/>
      <c r="K28" s="42"/>
      <c r="L28" s="42"/>
      <c r="M28" s="636">
        <v>0</v>
      </c>
      <c r="N28" s="612">
        <v>0</v>
      </c>
      <c r="O28" s="68">
        <v>0</v>
      </c>
      <c r="P28" s="68">
        <v>0</v>
      </c>
      <c r="Q28" s="479">
        <v>0</v>
      </c>
      <c r="R28" s="612">
        <v>0</v>
      </c>
      <c r="S28" s="68">
        <v>0</v>
      </c>
      <c r="T28" s="68">
        <v>0</v>
      </c>
      <c r="U28" s="479">
        <v>0</v>
      </c>
      <c r="V28" s="68">
        <v>0</v>
      </c>
      <c r="X28" s="51"/>
    </row>
    <row r="29" spans="1:24" ht="13.5" thickBot="1" x14ac:dyDescent="0.25">
      <c r="A29" s="750">
        <v>22</v>
      </c>
      <c r="B29" s="255" t="s">
        <v>235</v>
      </c>
      <c r="C29" s="414"/>
      <c r="D29" s="54"/>
      <c r="E29" s="54"/>
      <c r="F29" s="492">
        <f t="shared" si="9"/>
        <v>975000</v>
      </c>
      <c r="G29" s="507"/>
      <c r="H29" s="54">
        <f t="shared" si="10"/>
        <v>975000</v>
      </c>
      <c r="I29" s="480">
        <f>SUM(N29:Q29)</f>
        <v>0</v>
      </c>
      <c r="J29" s="414"/>
      <c r="K29" s="414"/>
      <c r="L29" s="414"/>
      <c r="M29" s="637">
        <f>SUM(M27:M28)</f>
        <v>975000</v>
      </c>
      <c r="N29" s="613">
        <f>SUM(N27:N28)</f>
        <v>0</v>
      </c>
      <c r="O29" s="415">
        <f t="shared" ref="O29:V29" si="13">SUM(O27:O28)</f>
        <v>0</v>
      </c>
      <c r="P29" s="415">
        <f t="shared" si="13"/>
        <v>0</v>
      </c>
      <c r="Q29" s="480">
        <f t="shared" si="13"/>
        <v>0</v>
      </c>
      <c r="R29" s="613">
        <f t="shared" si="13"/>
        <v>0</v>
      </c>
      <c r="S29" s="415">
        <f t="shared" si="13"/>
        <v>0</v>
      </c>
      <c r="T29" s="415">
        <f t="shared" si="13"/>
        <v>0</v>
      </c>
      <c r="U29" s="480">
        <f t="shared" si="13"/>
        <v>0</v>
      </c>
      <c r="V29" s="415">
        <f t="shared" si="13"/>
        <v>0</v>
      </c>
    </row>
    <row r="30" spans="1:24" x14ac:dyDescent="0.2">
      <c r="F30" s="40"/>
    </row>
    <row r="31" spans="1:24" x14ac:dyDescent="0.2">
      <c r="F31" s="40"/>
    </row>
    <row r="32" spans="1:24" x14ac:dyDescent="0.2">
      <c r="A32" s="749">
        <v>23</v>
      </c>
      <c r="B32" s="52" t="s">
        <v>365</v>
      </c>
      <c r="C32" s="50"/>
      <c r="D32" s="50"/>
      <c r="E32" s="50"/>
      <c r="F32" s="50"/>
      <c r="G32" s="45"/>
      <c r="H32" s="45"/>
    </row>
    <row r="33" spans="1:22" x14ac:dyDescent="0.2">
      <c r="A33" s="750">
        <v>24</v>
      </c>
      <c r="B33" s="408" t="s">
        <v>366</v>
      </c>
      <c r="C33" s="45"/>
      <c r="D33" s="45"/>
      <c r="E33" s="416">
        <v>0.3</v>
      </c>
      <c r="F33" s="485"/>
      <c r="G33" s="501"/>
      <c r="H33" s="55"/>
      <c r="I33" s="475"/>
      <c r="J33" s="56"/>
      <c r="K33" s="56"/>
      <c r="L33" s="56"/>
      <c r="M33" s="56"/>
      <c r="N33" s="608"/>
      <c r="O33" s="56"/>
      <c r="P33" s="56"/>
      <c r="Q33" s="475"/>
      <c r="R33" s="608"/>
      <c r="S33" s="56"/>
      <c r="T33" s="56"/>
      <c r="U33" s="475"/>
      <c r="V33" s="56"/>
    </row>
    <row r="34" spans="1:22" x14ac:dyDescent="0.2">
      <c r="A34" s="749">
        <v>25</v>
      </c>
      <c r="B34" s="43" t="s">
        <v>97</v>
      </c>
      <c r="C34" s="43"/>
      <c r="E34" s="404">
        <v>6</v>
      </c>
      <c r="F34" s="484"/>
      <c r="G34" s="502"/>
      <c r="H34" s="45"/>
      <c r="I34" s="476"/>
      <c r="J34" s="57"/>
      <c r="K34" s="57"/>
      <c r="L34" s="57"/>
      <c r="M34" s="57"/>
      <c r="N34" s="605"/>
      <c r="O34" s="57"/>
      <c r="P34" s="57"/>
      <c r="Q34" s="476"/>
      <c r="R34" s="605"/>
      <c r="S34" s="57"/>
      <c r="T34" s="57"/>
      <c r="U34" s="476"/>
      <c r="V34" s="57"/>
    </row>
    <row r="35" spans="1:22" x14ac:dyDescent="0.2">
      <c r="A35" s="750">
        <v>26</v>
      </c>
      <c r="B35" s="217" t="s">
        <v>367</v>
      </c>
      <c r="C35" s="43"/>
      <c r="D35" s="53"/>
      <c r="E35" s="53"/>
      <c r="F35" s="484"/>
      <c r="G35" s="502"/>
      <c r="H35" s="596">
        <f>SUM(J35:M35)</f>
        <v>15.899999999999999</v>
      </c>
      <c r="I35" s="471">
        <f>SUM(N35:Q35)</f>
        <v>37.099999999999994</v>
      </c>
      <c r="J35" s="57"/>
      <c r="K35" s="57"/>
      <c r="L35" s="57"/>
      <c r="M35" s="441">
        <f>E33*units_apt</f>
        <v>15.899999999999999</v>
      </c>
      <c r="N35" s="614">
        <f t="shared" ref="N35:U35" si="14">IF($E$34/3&gt;=(N3-4),(1-$E$33)/($E$34/3)*units_apt,0)</f>
        <v>18.549999999999997</v>
      </c>
      <c r="O35" s="441">
        <f t="shared" si="14"/>
        <v>18.549999999999997</v>
      </c>
      <c r="P35" s="441">
        <f t="shared" si="14"/>
        <v>0</v>
      </c>
      <c r="Q35" s="615">
        <f t="shared" si="14"/>
        <v>0</v>
      </c>
      <c r="R35" s="614">
        <f t="shared" si="14"/>
        <v>0</v>
      </c>
      <c r="S35" s="441">
        <f t="shared" si="14"/>
        <v>0</v>
      </c>
      <c r="T35" s="441">
        <f t="shared" si="14"/>
        <v>0</v>
      </c>
      <c r="U35" s="615">
        <f t="shared" si="14"/>
        <v>0</v>
      </c>
      <c r="V35" s="441">
        <f>SUM(R35:U35)</f>
        <v>0</v>
      </c>
    </row>
    <row r="36" spans="1:22" x14ac:dyDescent="0.2">
      <c r="A36" s="749">
        <v>27</v>
      </c>
      <c r="B36" s="217" t="s">
        <v>181</v>
      </c>
      <c r="C36" s="43"/>
      <c r="D36" s="43"/>
      <c r="E36" s="43"/>
      <c r="F36" s="484"/>
      <c r="G36" s="502"/>
      <c r="H36" s="596">
        <f>SUM(J36:M36)</f>
        <v>15.899999999999999</v>
      </c>
      <c r="I36" s="471">
        <f>Q36</f>
        <v>52.999999999999993</v>
      </c>
      <c r="J36" s="57"/>
      <c r="K36" s="441"/>
      <c r="L36" s="441"/>
      <c r="M36" s="441">
        <f>M35+L36</f>
        <v>15.899999999999999</v>
      </c>
      <c r="N36" s="614">
        <f t="shared" ref="N36:U36" si="15">N35+M36</f>
        <v>34.449999999999996</v>
      </c>
      <c r="O36" s="441">
        <f t="shared" si="15"/>
        <v>52.999999999999993</v>
      </c>
      <c r="P36" s="441">
        <f t="shared" si="15"/>
        <v>52.999999999999993</v>
      </c>
      <c r="Q36" s="615">
        <f t="shared" si="15"/>
        <v>52.999999999999993</v>
      </c>
      <c r="R36" s="614">
        <f t="shared" si="15"/>
        <v>52.999999999999993</v>
      </c>
      <c r="S36" s="441">
        <f t="shared" si="15"/>
        <v>52.999999999999993</v>
      </c>
      <c r="T36" s="441">
        <f t="shared" si="15"/>
        <v>52.999999999999993</v>
      </c>
      <c r="U36" s="615">
        <f t="shared" si="15"/>
        <v>52.999999999999993</v>
      </c>
      <c r="V36" s="441">
        <f>U36</f>
        <v>52.999999999999993</v>
      </c>
    </row>
    <row r="37" spans="1:22" ht="15.75" x14ac:dyDescent="0.2">
      <c r="A37" s="750">
        <v>28</v>
      </c>
      <c r="B37" s="217" t="s">
        <v>368</v>
      </c>
      <c r="C37" s="43"/>
      <c r="D37" s="43"/>
      <c r="E37" s="43"/>
      <c r="F37" s="484"/>
      <c r="G37" s="502"/>
      <c r="H37" s="597">
        <f>SUM(J37:M37)</f>
        <v>0.85</v>
      </c>
      <c r="I37" s="594">
        <f>AVERAGE(N37:Q37)</f>
        <v>0.17500000000000002</v>
      </c>
      <c r="J37" s="418"/>
      <c r="K37" s="418"/>
      <c r="L37" s="418"/>
      <c r="M37" s="418">
        <f>1-AVERAGE(L36/$Q$36,M36/$Q$36)</f>
        <v>0.85</v>
      </c>
      <c r="N37" s="616">
        <f t="shared" ref="N37:U37" si="16">1-AVERAGE(M36/$Q$36,N36/$Q$36)</f>
        <v>0.52500000000000002</v>
      </c>
      <c r="O37" s="418">
        <f t="shared" si="16"/>
        <v>0.17500000000000004</v>
      </c>
      <c r="P37" s="418">
        <f t="shared" si="16"/>
        <v>0</v>
      </c>
      <c r="Q37" s="617">
        <f t="shared" si="16"/>
        <v>0</v>
      </c>
      <c r="R37" s="616">
        <f t="shared" si="16"/>
        <v>0</v>
      </c>
      <c r="S37" s="418">
        <f t="shared" si="16"/>
        <v>0</v>
      </c>
      <c r="T37" s="418">
        <f t="shared" si="16"/>
        <v>0</v>
      </c>
      <c r="U37" s="617">
        <f t="shared" si="16"/>
        <v>0</v>
      </c>
      <c r="V37" s="59">
        <f>AVERAGE(R37:U37)</f>
        <v>0</v>
      </c>
    </row>
    <row r="38" spans="1:22" x14ac:dyDescent="0.2">
      <c r="A38" s="749">
        <v>29</v>
      </c>
      <c r="B38" s="45" t="s">
        <v>98</v>
      </c>
      <c r="C38" s="45"/>
      <c r="D38" s="57"/>
      <c r="E38" s="417">
        <v>0.05</v>
      </c>
      <c r="F38" s="484"/>
      <c r="G38" s="503"/>
      <c r="H38" s="597">
        <f>M38</f>
        <v>0</v>
      </c>
      <c r="I38" s="594">
        <f>Q38</f>
        <v>0.05</v>
      </c>
      <c r="J38" s="418"/>
      <c r="K38" s="418"/>
      <c r="L38" s="418"/>
      <c r="M38" s="418">
        <f>IF(M37&gt;$E$38,0,$E$38-M37)</f>
        <v>0</v>
      </c>
      <c r="N38" s="616">
        <f t="shared" ref="N38:U38" si="17">IF(N37&gt;$E$38,0,$E$38-N37)</f>
        <v>0</v>
      </c>
      <c r="O38" s="418">
        <f t="shared" si="17"/>
        <v>0</v>
      </c>
      <c r="P38" s="418">
        <f t="shared" si="17"/>
        <v>0.05</v>
      </c>
      <c r="Q38" s="617">
        <f t="shared" si="17"/>
        <v>0.05</v>
      </c>
      <c r="R38" s="616">
        <f t="shared" si="17"/>
        <v>0.05</v>
      </c>
      <c r="S38" s="418">
        <f t="shared" si="17"/>
        <v>0.05</v>
      </c>
      <c r="T38" s="418">
        <f t="shared" si="17"/>
        <v>0.05</v>
      </c>
      <c r="U38" s="617">
        <f t="shared" si="17"/>
        <v>0.05</v>
      </c>
      <c r="V38" s="59">
        <f>U38</f>
        <v>0.05</v>
      </c>
    </row>
    <row r="39" spans="1:22" x14ac:dyDescent="0.2">
      <c r="A39" s="750">
        <v>30</v>
      </c>
      <c r="B39" s="50" t="s">
        <v>99</v>
      </c>
      <c r="C39" s="50"/>
      <c r="D39" s="50"/>
      <c r="E39" s="50"/>
      <c r="F39" s="487"/>
      <c r="G39" s="504"/>
      <c r="H39" s="598">
        <f>SUM(J39:M39)</f>
        <v>0.85</v>
      </c>
      <c r="I39" s="595">
        <f>AVERAGE(N39:Q39)</f>
        <v>0.20000000000000004</v>
      </c>
      <c r="J39" s="155"/>
      <c r="K39" s="155"/>
      <c r="L39" s="155"/>
      <c r="M39" s="155">
        <f>SUM(M37:M38)</f>
        <v>0.85</v>
      </c>
      <c r="N39" s="618">
        <f t="shared" ref="N39:U39" si="18">SUM(N37:N38)</f>
        <v>0.52500000000000002</v>
      </c>
      <c r="O39" s="155">
        <f t="shared" si="18"/>
        <v>0.17500000000000004</v>
      </c>
      <c r="P39" s="155">
        <f t="shared" si="18"/>
        <v>0.05</v>
      </c>
      <c r="Q39" s="619">
        <f t="shared" si="18"/>
        <v>0.05</v>
      </c>
      <c r="R39" s="618">
        <f t="shared" si="18"/>
        <v>0.05</v>
      </c>
      <c r="S39" s="155">
        <f t="shared" si="18"/>
        <v>0.05</v>
      </c>
      <c r="T39" s="155">
        <f t="shared" si="18"/>
        <v>0.05</v>
      </c>
      <c r="U39" s="619">
        <f t="shared" si="18"/>
        <v>0.05</v>
      </c>
      <c r="V39" s="599">
        <f>AVERAGE(R39:U39)</f>
        <v>0.05</v>
      </c>
    </row>
    <row r="40" spans="1:22" ht="15.75" x14ac:dyDescent="0.2">
      <c r="A40" s="749">
        <v>31</v>
      </c>
      <c r="B40" s="407" t="s">
        <v>369</v>
      </c>
      <c r="C40" s="55"/>
      <c r="D40" s="51">
        <v>0.03</v>
      </c>
      <c r="E40" s="419">
        <f>'4-3b-Stage 1b Pro Forma NOI'!D5/4</f>
        <v>223079.2503966279</v>
      </c>
      <c r="F40" s="489">
        <f t="shared" ref="F40:F45" si="19">SUM(G40:I40)</f>
        <v>892317.00158651161</v>
      </c>
      <c r="G40" s="505"/>
      <c r="H40" s="55"/>
      <c r="I40" s="478">
        <f t="shared" ref="I40:I45" si="20">SUM(N40:Q40)</f>
        <v>892317.00158651161</v>
      </c>
      <c r="J40" s="62"/>
      <c r="K40" s="62"/>
      <c r="L40" s="62"/>
      <c r="M40" s="62"/>
      <c r="N40" s="611">
        <f>$E$40</f>
        <v>223079.2503966279</v>
      </c>
      <c r="O40" s="62">
        <f>$E$40</f>
        <v>223079.2503966279</v>
      </c>
      <c r="P40" s="62">
        <f>$E$40</f>
        <v>223079.2503966279</v>
      </c>
      <c r="Q40" s="478">
        <f>$E$40</f>
        <v>223079.2503966279</v>
      </c>
      <c r="R40" s="611">
        <f>$E$40*(1+$D$40)</f>
        <v>229771.62790852675</v>
      </c>
      <c r="S40" s="62">
        <f>$E$40*(1+$D$40)</f>
        <v>229771.62790852675</v>
      </c>
      <c r="T40" s="62">
        <f>$E$40*(1+$D$40)</f>
        <v>229771.62790852675</v>
      </c>
      <c r="U40" s="478">
        <f>$E$40*(1+$D$40)</f>
        <v>229771.62790852675</v>
      </c>
      <c r="V40" s="62">
        <f>SUM(R40:U40)</f>
        <v>919086.51163410698</v>
      </c>
    </row>
    <row r="41" spans="1:22" ht="15.75" x14ac:dyDescent="0.2">
      <c r="A41" s="750">
        <v>32</v>
      </c>
      <c r="B41" s="408" t="s">
        <v>370</v>
      </c>
      <c r="C41" s="45"/>
      <c r="D41" s="45"/>
      <c r="E41" s="45"/>
      <c r="F41" s="490">
        <f t="shared" si="19"/>
        <v>-178463.40031730235</v>
      </c>
      <c r="G41" s="502"/>
      <c r="H41" s="45"/>
      <c r="I41" s="471">
        <f t="shared" si="20"/>
        <v>-178463.40031730235</v>
      </c>
      <c r="J41" s="61"/>
      <c r="K41" s="61"/>
      <c r="L41" s="61"/>
      <c r="M41" s="61"/>
      <c r="N41" s="596">
        <f t="shared" ref="N41:U41" si="21">-N39*N40</f>
        <v>-117116.60645822965</v>
      </c>
      <c r="O41" s="61">
        <f t="shared" si="21"/>
        <v>-39038.868819409894</v>
      </c>
      <c r="P41" s="61">
        <f t="shared" si="21"/>
        <v>-11153.962519831395</v>
      </c>
      <c r="Q41" s="471">
        <f t="shared" si="21"/>
        <v>-11153.962519831395</v>
      </c>
      <c r="R41" s="596">
        <f t="shared" si="21"/>
        <v>-11488.581395426338</v>
      </c>
      <c r="S41" s="61">
        <f t="shared" si="21"/>
        <v>-11488.581395426338</v>
      </c>
      <c r="T41" s="61">
        <f t="shared" si="21"/>
        <v>-11488.581395426338</v>
      </c>
      <c r="U41" s="471">
        <f t="shared" si="21"/>
        <v>-11488.581395426338</v>
      </c>
      <c r="V41" s="61">
        <f>SUM(R41:U41)</f>
        <v>-45954.32558170535</v>
      </c>
    </row>
    <row r="42" spans="1:22" ht="15.75" x14ac:dyDescent="0.2">
      <c r="A42" s="749">
        <v>33</v>
      </c>
      <c r="B42" s="408" t="s">
        <v>371</v>
      </c>
      <c r="C42" s="45"/>
      <c r="D42" s="45"/>
      <c r="E42" s="338">
        <f>'4-3b-Stage 1b Pro Forma NOI'!B7</f>
        <v>5.0000000000000001E-3</v>
      </c>
      <c r="F42" s="490">
        <f>SUM(G42:I42)</f>
        <v>-4461.5850079325583</v>
      </c>
      <c r="G42" s="502"/>
      <c r="H42" s="45"/>
      <c r="I42" s="471">
        <f>SUM(N42:Q42)</f>
        <v>-4461.5850079325583</v>
      </c>
      <c r="J42" s="61"/>
      <c r="K42" s="61"/>
      <c r="L42" s="61"/>
      <c r="M42" s="61"/>
      <c r="N42" s="596">
        <f>-N40*$E$42</f>
        <v>-1115.3962519831396</v>
      </c>
      <c r="O42" s="61">
        <f t="shared" ref="O42:V42" si="22">-O40*$E$42</f>
        <v>-1115.3962519831396</v>
      </c>
      <c r="P42" s="61">
        <f t="shared" si="22"/>
        <v>-1115.3962519831396</v>
      </c>
      <c r="Q42" s="471">
        <f t="shared" si="22"/>
        <v>-1115.3962519831396</v>
      </c>
      <c r="R42" s="596">
        <f t="shared" si="22"/>
        <v>-1148.8581395426338</v>
      </c>
      <c r="S42" s="61">
        <f t="shared" si="22"/>
        <v>-1148.8581395426338</v>
      </c>
      <c r="T42" s="61">
        <f t="shared" si="22"/>
        <v>-1148.8581395426338</v>
      </c>
      <c r="U42" s="471">
        <f t="shared" si="22"/>
        <v>-1148.8581395426338</v>
      </c>
      <c r="V42" s="61">
        <f t="shared" si="22"/>
        <v>-4595.4325581705352</v>
      </c>
    </row>
    <row r="43" spans="1:22" x14ac:dyDescent="0.2">
      <c r="A43" s="750">
        <v>34</v>
      </c>
      <c r="B43" s="408" t="s">
        <v>217</v>
      </c>
      <c r="C43" s="45"/>
      <c r="D43" s="45"/>
      <c r="E43" s="249"/>
      <c r="F43" s="490">
        <f t="shared" si="19"/>
        <v>709392.01626127679</v>
      </c>
      <c r="G43" s="502"/>
      <c r="H43" s="45"/>
      <c r="I43" s="477">
        <f t="shared" si="20"/>
        <v>709392.01626127679</v>
      </c>
      <c r="J43" s="60"/>
      <c r="K43" s="60"/>
      <c r="L43" s="60"/>
      <c r="M43" s="60"/>
      <c r="N43" s="620">
        <f>SUM(N40:N42)</f>
        <v>104847.24768641511</v>
      </c>
      <c r="O43" s="60">
        <f t="shared" ref="O43:U43" si="23">SUM(O40:O42)</f>
        <v>182924.98532523488</v>
      </c>
      <c r="P43" s="60">
        <f t="shared" si="23"/>
        <v>210809.89162481338</v>
      </c>
      <c r="Q43" s="477">
        <f t="shared" si="23"/>
        <v>210809.89162481338</v>
      </c>
      <c r="R43" s="620">
        <f t="shared" si="23"/>
        <v>217134.18837355779</v>
      </c>
      <c r="S43" s="60">
        <f t="shared" si="23"/>
        <v>217134.18837355779</v>
      </c>
      <c r="T43" s="60">
        <f t="shared" si="23"/>
        <v>217134.18837355779</v>
      </c>
      <c r="U43" s="477">
        <f t="shared" si="23"/>
        <v>217134.18837355779</v>
      </c>
      <c r="V43" s="60">
        <f>SUM(R43:U43)</f>
        <v>868536.75349423115</v>
      </c>
    </row>
    <row r="44" spans="1:22" s="193" customFormat="1" ht="15.75" x14ac:dyDescent="0.2">
      <c r="A44" s="749">
        <v>35</v>
      </c>
      <c r="B44" s="264" t="s">
        <v>372</v>
      </c>
      <c r="C44" s="420"/>
      <c r="D44" s="51">
        <v>0.03</v>
      </c>
      <c r="E44" s="420"/>
      <c r="F44" s="491">
        <f t="shared" si="19"/>
        <v>-319297.18699497747</v>
      </c>
      <c r="G44" s="506"/>
      <c r="H44" s="50"/>
      <c r="I44" s="481">
        <f t="shared" si="20"/>
        <v>-319297.18699497747</v>
      </c>
      <c r="J44" s="212"/>
      <c r="K44" s="212"/>
      <c r="L44" s="212"/>
      <c r="M44" s="212"/>
      <c r="N44" s="621">
        <f>-'4-3b-Stage 1b Pro Forma NOI'!$D$18/4</f>
        <v>-79824.296748744368</v>
      </c>
      <c r="O44" s="212">
        <f>-'4-3b-Stage 1b Pro Forma NOI'!$D$18/4</f>
        <v>-79824.296748744368</v>
      </c>
      <c r="P44" s="212">
        <f>-'4-3b-Stage 1b Pro Forma NOI'!$D$18/4</f>
        <v>-79824.296748744368</v>
      </c>
      <c r="Q44" s="638">
        <f>-'4-3b-Stage 1b Pro Forma NOI'!$D$18/4</f>
        <v>-79824.296748744368</v>
      </c>
      <c r="R44" s="621">
        <f>-'4-3b-Stage 1b Pro Forma NOI'!$D$18/4*(1+$D$44)</f>
        <v>-82219.025651206699</v>
      </c>
      <c r="S44" s="265">
        <f>-'4-3b-Stage 1b Pro Forma NOI'!$D$18/4*(1+$D$44)</f>
        <v>-82219.025651206699</v>
      </c>
      <c r="T44" s="265">
        <f>-'4-3b-Stage 1b Pro Forma NOI'!$D$18/4*(1+$D$44)</f>
        <v>-82219.025651206699</v>
      </c>
      <c r="U44" s="491">
        <f>-'4-3b-Stage 1b Pro Forma NOI'!$D$18/4*(1+$D$44)</f>
        <v>-82219.025651206699</v>
      </c>
      <c r="V44" s="600">
        <f>SUM(R44:U44)</f>
        <v>-328876.1026048268</v>
      </c>
    </row>
    <row r="45" spans="1:22" ht="13.5" thickBot="1" x14ac:dyDescent="0.25">
      <c r="A45" s="750">
        <v>36</v>
      </c>
      <c r="B45" s="54" t="s">
        <v>65</v>
      </c>
      <c r="C45" s="54"/>
      <c r="D45" s="54"/>
      <c r="E45" s="54"/>
      <c r="F45" s="492">
        <f t="shared" si="19"/>
        <v>390094.82926629926</v>
      </c>
      <c r="G45" s="507"/>
      <c r="H45" s="54"/>
      <c r="I45" s="480">
        <f t="shared" si="20"/>
        <v>390094.82926629926</v>
      </c>
      <c r="J45" s="421"/>
      <c r="K45" s="421"/>
      <c r="L45" s="421"/>
      <c r="M45" s="421"/>
      <c r="N45" s="622">
        <f>SUM(N43:N44)</f>
        <v>25022.950937670743</v>
      </c>
      <c r="O45" s="421">
        <f t="shared" ref="O45:V45" si="24">SUM(O43:O44)</f>
        <v>103100.68857649052</v>
      </c>
      <c r="P45" s="421">
        <f t="shared" si="24"/>
        <v>130985.59487606901</v>
      </c>
      <c r="Q45" s="623">
        <f t="shared" si="24"/>
        <v>130985.59487606901</v>
      </c>
      <c r="R45" s="622">
        <f t="shared" si="24"/>
        <v>134915.16272235109</v>
      </c>
      <c r="S45" s="421">
        <f t="shared" si="24"/>
        <v>134915.16272235109</v>
      </c>
      <c r="T45" s="421">
        <f t="shared" si="24"/>
        <v>134915.16272235109</v>
      </c>
      <c r="U45" s="623">
        <f t="shared" si="24"/>
        <v>134915.16272235109</v>
      </c>
      <c r="V45" s="421">
        <f t="shared" si="24"/>
        <v>539660.65088940435</v>
      </c>
    </row>
    <row r="46" spans="1:22" s="57" customFormat="1" x14ac:dyDescent="0.2">
      <c r="B46" s="446"/>
      <c r="C46" s="446"/>
      <c r="D46" s="446"/>
      <c r="E46" s="446"/>
      <c r="F46" s="446"/>
      <c r="G46" s="515"/>
      <c r="H46" s="446"/>
      <c r="I46" s="448"/>
      <c r="J46" s="447"/>
      <c r="K46" s="447"/>
      <c r="L46" s="447"/>
      <c r="M46" s="447"/>
      <c r="N46" s="447"/>
      <c r="O46" s="447"/>
      <c r="P46" s="447"/>
      <c r="Q46" s="447"/>
      <c r="R46" s="447"/>
      <c r="S46" s="447"/>
      <c r="T46" s="447"/>
      <c r="U46" s="447"/>
      <c r="V46" s="448"/>
    </row>
    <row r="47" spans="1:22" s="57" customFormat="1" ht="13.5" thickBot="1" x14ac:dyDescent="0.25">
      <c r="B47" s="45"/>
      <c r="C47" s="45"/>
      <c r="D47" s="45"/>
      <c r="E47" s="45"/>
      <c r="F47" s="45"/>
      <c r="G47" s="409"/>
      <c r="H47" s="45"/>
      <c r="I47" s="60"/>
      <c r="V47" s="60"/>
    </row>
    <row r="48" spans="1:22" ht="14.25" thickTop="1" thickBot="1" x14ac:dyDescent="0.25">
      <c r="A48" s="749">
        <v>37</v>
      </c>
      <c r="B48" s="516" t="s">
        <v>373</v>
      </c>
      <c r="C48" s="517"/>
      <c r="D48" s="517"/>
      <c r="E48" s="517"/>
      <c r="F48" s="518">
        <f>SUM(G48:I48)</f>
        <v>-6084872.9873301266</v>
      </c>
      <c r="G48" s="519">
        <f>-G20+G29+G45</f>
        <v>-1718085</v>
      </c>
      <c r="H48" s="520">
        <f>SUM(J48:M48)</f>
        <v>-4579820.0757707953</v>
      </c>
      <c r="I48" s="521">
        <f>SUM(N48:Q48)</f>
        <v>213032.08844066921</v>
      </c>
      <c r="J48" s="520">
        <f t="shared" ref="J48:U48" si="25">-J20+J29+J45</f>
        <v>-1672205.0189426988</v>
      </c>
      <c r="K48" s="522">
        <f t="shared" si="25"/>
        <v>-1294205.0189426988</v>
      </c>
      <c r="L48" s="522">
        <f t="shared" si="25"/>
        <v>-1294205.0189426988</v>
      </c>
      <c r="M48" s="522">
        <f t="shared" si="25"/>
        <v>-319205.01894269884</v>
      </c>
      <c r="N48" s="624">
        <f t="shared" si="25"/>
        <v>-19242.734268736771</v>
      </c>
      <c r="O48" s="522">
        <f t="shared" si="25"/>
        <v>58835.003370083003</v>
      </c>
      <c r="P48" s="522">
        <f t="shared" si="25"/>
        <v>86719.909669661487</v>
      </c>
      <c r="Q48" s="521">
        <f t="shared" si="25"/>
        <v>86719.909669661487</v>
      </c>
      <c r="R48" s="624">
        <f t="shared" si="25"/>
        <v>134915.16272235109</v>
      </c>
      <c r="S48" s="522">
        <f t="shared" si="25"/>
        <v>134915.16272235109</v>
      </c>
      <c r="T48" s="522">
        <f t="shared" si="25"/>
        <v>134915.16272235109</v>
      </c>
      <c r="U48" s="521">
        <f t="shared" si="25"/>
        <v>134915.16272235109</v>
      </c>
      <c r="V48" s="523">
        <f>SUM(R48:U48)</f>
        <v>539660.65088940435</v>
      </c>
    </row>
    <row r="49" spans="1:23" x14ac:dyDescent="0.2">
      <c r="F49" s="40"/>
    </row>
    <row r="50" spans="1:23" x14ac:dyDescent="0.2">
      <c r="F50" s="40"/>
    </row>
    <row r="51" spans="1:23" x14ac:dyDescent="0.2">
      <c r="A51" s="750">
        <v>38</v>
      </c>
      <c r="B51" s="52" t="s">
        <v>239</v>
      </c>
      <c r="C51" s="50"/>
      <c r="D51" s="50"/>
      <c r="E51" s="50"/>
      <c r="F51" s="50"/>
      <c r="G51" s="50"/>
      <c r="H51" s="50"/>
      <c r="I51" s="50"/>
      <c r="J51" s="50"/>
      <c r="K51" s="50"/>
      <c r="L51" s="422"/>
      <c r="M51" s="422"/>
      <c r="N51" s="422"/>
      <c r="O51" s="422"/>
      <c r="P51" s="422"/>
      <c r="Q51" s="422"/>
      <c r="R51" s="422"/>
      <c r="S51" s="422"/>
      <c r="T51" s="422"/>
      <c r="U51" s="422"/>
      <c r="V51" s="50"/>
      <c r="W51" s="65"/>
    </row>
    <row r="52" spans="1:23" ht="15.75" x14ac:dyDescent="0.2">
      <c r="A52" s="749">
        <v>39</v>
      </c>
      <c r="B52" s="217" t="s">
        <v>374</v>
      </c>
      <c r="C52" s="43"/>
      <c r="D52" s="43"/>
      <c r="E52" s="423">
        <f>netcost_total</f>
        <v>8274207.5716760866</v>
      </c>
      <c r="F52" s="484"/>
      <c r="G52" s="497"/>
      <c r="H52" s="43"/>
      <c r="I52" s="470"/>
      <c r="J52" s="45"/>
      <c r="K52" s="45"/>
      <c r="L52" s="45"/>
      <c r="M52" s="45"/>
      <c r="N52" s="625"/>
      <c r="O52" s="55"/>
      <c r="P52" s="55"/>
      <c r="Q52" s="626"/>
      <c r="R52" s="625"/>
      <c r="S52" s="55"/>
      <c r="T52" s="55"/>
      <c r="U52" s="626"/>
      <c r="V52" s="43"/>
    </row>
    <row r="53" spans="1:23" ht="15.75" x14ac:dyDescent="0.2">
      <c r="A53" s="750">
        <v>40</v>
      </c>
      <c r="B53" s="217" t="s">
        <v>375</v>
      </c>
      <c r="C53" s="43"/>
      <c r="D53" s="11"/>
      <c r="E53" s="250">
        <f>MIN(E52,'4-3c-Stage 1c Debt Calculation'!C25)</f>
        <v>6917349.1818680372</v>
      </c>
      <c r="F53" s="486"/>
      <c r="G53" s="497"/>
      <c r="H53" s="43"/>
      <c r="I53" s="470"/>
      <c r="J53" s="45"/>
      <c r="K53" s="45"/>
      <c r="L53" s="45"/>
      <c r="M53" s="45"/>
      <c r="N53" s="627"/>
      <c r="O53" s="45"/>
      <c r="P53" s="45"/>
      <c r="Q53" s="470"/>
      <c r="R53" s="627"/>
      <c r="S53" s="45"/>
      <c r="T53" s="45"/>
      <c r="U53" s="470"/>
      <c r="V53" s="43"/>
    </row>
    <row r="54" spans="1:23" x14ac:dyDescent="0.2">
      <c r="A54" s="749">
        <v>41</v>
      </c>
      <c r="B54" s="264" t="s">
        <v>238</v>
      </c>
      <c r="C54" s="50"/>
      <c r="D54" s="50"/>
      <c r="E54" s="412">
        <f>E52-E53</f>
        <v>1356858.3898080494</v>
      </c>
      <c r="F54" s="484">
        <f>SUM(G54:I54)</f>
        <v>1356858.3898080494</v>
      </c>
      <c r="G54" s="499">
        <f>IF(E54+G48&gt;0,-G48,E54)</f>
        <v>1356858.3898080494</v>
      </c>
      <c r="H54" s="50">
        <f>SUM(J54:M54)</f>
        <v>0</v>
      </c>
      <c r="I54" s="482">
        <f>SUM(N54:Q54)</f>
        <v>0</v>
      </c>
      <c r="J54" s="50">
        <f>IF(G54&lt;$E$54,MIN($E$54-SUM($G$54:G54),-J48),0)</f>
        <v>0</v>
      </c>
      <c r="K54" s="50">
        <f>IF(SUM($G$54,$J$54:J54)&lt;$E$54,MIN($E$54-SUM($G$54,$J$54:J54),-K48),0)</f>
        <v>0</v>
      </c>
      <c r="L54" s="50">
        <f>IF(SUM($G$54,$J$54:K54)&lt;$E$54,MIN($E$54-SUM($G$54,$J$54:K54),-L48),0)</f>
        <v>0</v>
      </c>
      <c r="M54" s="50">
        <f>IF(SUM($G$54,$J$54:L54)&lt;$E$54,MIN($E$54-SUM($G$54,$J$54:L54),-M48),0)</f>
        <v>0</v>
      </c>
      <c r="N54" s="628">
        <f>IF(SUM($G$54,$J$54:M54)&lt;$E$54,MIN($E$54-SUM($G$54,$J$54:M54),-N48),0)</f>
        <v>0</v>
      </c>
      <c r="O54" s="50">
        <f>IF(SUM($G$54,$J$54:N54)&lt;$E$54,MIN($E$54-SUM($G$54,$J$54:N54),-O48),0)</f>
        <v>0</v>
      </c>
      <c r="P54" s="50">
        <f>IF(SUM($G$54,$J$54:O54)&lt;$E$54,MIN($E$54-SUM($G$54,$J$54:O54),-P48),0)</f>
        <v>0</v>
      </c>
      <c r="Q54" s="482">
        <f>IF(SUM($G$54,$J$54:P54)&lt;$E$54,MIN($E$54-SUM($G$54,$J$54:P54),-Q48),0)</f>
        <v>0</v>
      </c>
      <c r="R54" s="628"/>
      <c r="S54" s="50"/>
      <c r="T54" s="50"/>
      <c r="U54" s="482"/>
      <c r="V54" s="50"/>
    </row>
    <row r="55" spans="1:23" ht="16.5" thickBot="1" x14ac:dyDescent="0.25">
      <c r="A55" s="750">
        <v>42</v>
      </c>
      <c r="B55" s="424" t="s">
        <v>376</v>
      </c>
      <c r="C55" s="425"/>
      <c r="D55" s="425"/>
      <c r="E55" s="425"/>
      <c r="F55" s="488">
        <f>I55</f>
        <v>1356858.3898080494</v>
      </c>
      <c r="G55" s="500">
        <f>G54</f>
        <v>1356858.3898080494</v>
      </c>
      <c r="H55" s="425">
        <f>M55</f>
        <v>1356858.3898080494</v>
      </c>
      <c r="I55" s="483">
        <f>Q55</f>
        <v>1356858.3898080494</v>
      </c>
      <c r="J55" s="425">
        <f>J54+G54</f>
        <v>1356858.3898080494</v>
      </c>
      <c r="K55" s="425">
        <f t="shared" ref="K55:Q55" si="26">K54+J55</f>
        <v>1356858.3898080494</v>
      </c>
      <c r="L55" s="425">
        <f t="shared" si="26"/>
        <v>1356858.3898080494</v>
      </c>
      <c r="M55" s="425">
        <f t="shared" si="26"/>
        <v>1356858.3898080494</v>
      </c>
      <c r="N55" s="629">
        <f t="shared" si="26"/>
        <v>1356858.3898080494</v>
      </c>
      <c r="O55" s="425">
        <f t="shared" si="26"/>
        <v>1356858.3898080494</v>
      </c>
      <c r="P55" s="425">
        <f t="shared" si="26"/>
        <v>1356858.3898080494</v>
      </c>
      <c r="Q55" s="483">
        <f t="shared" si="26"/>
        <v>1356858.3898080494</v>
      </c>
      <c r="R55" s="629"/>
      <c r="S55" s="425"/>
      <c r="T55" s="425"/>
      <c r="U55" s="483"/>
      <c r="V55" s="425"/>
    </row>
    <row r="57" spans="1:23" x14ac:dyDescent="0.2">
      <c r="B57" s="43"/>
      <c r="C57" s="43"/>
      <c r="D57" s="43"/>
      <c r="E57" s="43"/>
      <c r="F57" s="45"/>
      <c r="G57" s="43"/>
      <c r="H57" s="43"/>
      <c r="I57" s="43"/>
      <c r="J57" s="43"/>
      <c r="K57" s="43"/>
      <c r="L57" s="43"/>
      <c r="M57" s="43"/>
      <c r="N57" s="43"/>
      <c r="O57" s="43"/>
      <c r="P57" s="43"/>
      <c r="Q57" s="45"/>
      <c r="R57" s="43"/>
      <c r="S57" s="43"/>
      <c r="T57" s="43"/>
      <c r="U57" s="45"/>
      <c r="V57" s="43"/>
    </row>
    <row r="58" spans="1:23" x14ac:dyDescent="0.2">
      <c r="A58" s="749">
        <v>43</v>
      </c>
      <c r="B58" s="52" t="s">
        <v>240</v>
      </c>
      <c r="C58" s="50"/>
      <c r="D58" s="50"/>
      <c r="E58" s="50"/>
      <c r="F58" s="50"/>
      <c r="G58" s="50"/>
      <c r="H58" s="50"/>
      <c r="I58" s="50"/>
      <c r="J58" s="50"/>
      <c r="K58" s="50"/>
      <c r="L58" s="50"/>
      <c r="M58" s="50"/>
      <c r="N58" s="50"/>
      <c r="O58" s="50"/>
      <c r="P58" s="50"/>
      <c r="Q58" s="50"/>
      <c r="R58" s="50"/>
      <c r="S58" s="50"/>
      <c r="T58" s="50"/>
      <c r="U58" s="50"/>
      <c r="V58" s="50"/>
    </row>
    <row r="59" spans="1:23" x14ac:dyDescent="0.2">
      <c r="A59" s="750">
        <v>44</v>
      </c>
      <c r="B59" s="43" t="s">
        <v>101</v>
      </c>
      <c r="C59" s="43"/>
      <c r="D59" s="43"/>
      <c r="E59" s="43"/>
      <c r="F59" s="484"/>
      <c r="G59" s="497"/>
      <c r="H59" s="43">
        <f>J59</f>
        <v>366645.00934482983</v>
      </c>
      <c r="I59" s="470">
        <f>N59</f>
        <v>5588891.0561928311</v>
      </c>
      <c r="J59" s="55">
        <f>G77</f>
        <v>366645.00934482983</v>
      </c>
      <c r="K59" s="55">
        <f>J77</f>
        <v>2074932.4538520139</v>
      </c>
      <c r="L59" s="55">
        <f t="shared" ref="L59:Q59" si="27">K77</f>
        <v>3450798.5216944134</v>
      </c>
      <c r="M59" s="55">
        <f t="shared" si="27"/>
        <v>4867940.5715720849</v>
      </c>
      <c r="N59" s="625">
        <f>M77</f>
        <v>5588891.0561928311</v>
      </c>
      <c r="O59" s="55">
        <f t="shared" si="27"/>
        <v>5776464.5074254489</v>
      </c>
      <c r="P59" s="55">
        <f t="shared" si="27"/>
        <v>5891587.4245562255</v>
      </c>
      <c r="Q59" s="626">
        <f t="shared" si="27"/>
        <v>5982279.1229013475</v>
      </c>
      <c r="R59" s="625"/>
      <c r="S59" s="55"/>
      <c r="T59" s="55"/>
      <c r="U59" s="626"/>
      <c r="V59" s="43"/>
    </row>
    <row r="60" spans="1:23" x14ac:dyDescent="0.2">
      <c r="A60" s="749">
        <v>45</v>
      </c>
      <c r="C60" s="427" t="s">
        <v>377</v>
      </c>
      <c r="D60" s="43"/>
      <c r="E60" s="43"/>
      <c r="F60" s="484"/>
      <c r="G60" s="497"/>
      <c r="H60" s="43"/>
      <c r="I60" s="470"/>
      <c r="J60" s="45"/>
      <c r="K60" s="45"/>
      <c r="L60" s="45"/>
      <c r="M60" s="45"/>
      <c r="N60" s="627"/>
      <c r="O60" s="45"/>
      <c r="P60" s="45"/>
      <c r="Q60" s="470"/>
      <c r="R60" s="627"/>
      <c r="S60" s="45"/>
      <c r="T60" s="45"/>
      <c r="U60" s="470"/>
      <c r="V60" s="43"/>
    </row>
    <row r="61" spans="1:23" ht="15.75" x14ac:dyDescent="0.2">
      <c r="A61" s="750">
        <v>46</v>
      </c>
      <c r="B61" s="43"/>
      <c r="C61" s="217" t="s">
        <v>378</v>
      </c>
      <c r="D61" s="43"/>
      <c r="E61" s="43"/>
      <c r="F61" s="484">
        <f>SUM(G61:I61)</f>
        <v>6093109.4267883757</v>
      </c>
      <c r="G61" s="497">
        <f>G20-G54</f>
        <v>361226.61019195057</v>
      </c>
      <c r="H61" s="43">
        <f>SUM(J61:M61)</f>
        <v>5554820.0757707953</v>
      </c>
      <c r="I61" s="470">
        <f t="shared" ref="I61:I72" si="28">SUM(N61:Q61)</f>
        <v>177062.74082563006</v>
      </c>
      <c r="J61" s="45">
        <f t="shared" ref="J61:Q61" si="29">J20-J54</f>
        <v>1672205.0189426988</v>
      </c>
      <c r="K61" s="45">
        <f t="shared" si="29"/>
        <v>1294205.0189426988</v>
      </c>
      <c r="L61" s="45">
        <f t="shared" si="29"/>
        <v>1294205.0189426988</v>
      </c>
      <c r="M61" s="45">
        <f t="shared" si="29"/>
        <v>1294205.0189426988</v>
      </c>
      <c r="N61" s="627">
        <f t="shared" si="29"/>
        <v>44265.685206407514</v>
      </c>
      <c r="O61" s="45">
        <f t="shared" si="29"/>
        <v>44265.685206407514</v>
      </c>
      <c r="P61" s="45">
        <f t="shared" si="29"/>
        <v>44265.685206407514</v>
      </c>
      <c r="Q61" s="470">
        <f t="shared" si="29"/>
        <v>44265.685206407514</v>
      </c>
      <c r="R61" s="627"/>
      <c r="S61" s="45"/>
      <c r="T61" s="45"/>
      <c r="U61" s="470"/>
      <c r="V61" s="43"/>
    </row>
    <row r="62" spans="1:23" ht="15.75" x14ac:dyDescent="0.2">
      <c r="A62" s="749">
        <v>47</v>
      </c>
      <c r="B62" s="43"/>
      <c r="C62" s="217" t="s">
        <v>454</v>
      </c>
      <c r="D62" s="43"/>
      <c r="E62" s="11">
        <v>0.7</v>
      </c>
      <c r="F62" s="484">
        <f>SUM(G62:I62)</f>
        <v>-682500</v>
      </c>
      <c r="G62" s="497">
        <f>-$E$62*G29</f>
        <v>0</v>
      </c>
      <c r="H62" s="43">
        <f>SUM(J62:M62)</f>
        <v>-682500</v>
      </c>
      <c r="I62" s="470">
        <f>SUM(N62:Q62)</f>
        <v>0</v>
      </c>
      <c r="J62" s="45">
        <f t="shared" ref="J62:Q62" si="30">-$E$62*J29</f>
        <v>0</v>
      </c>
      <c r="K62" s="45">
        <f t="shared" si="30"/>
        <v>0</v>
      </c>
      <c r="L62" s="45">
        <f t="shared" si="30"/>
        <v>0</v>
      </c>
      <c r="M62" s="45">
        <f t="shared" si="30"/>
        <v>-682500</v>
      </c>
      <c r="N62" s="627">
        <f t="shared" si="30"/>
        <v>0</v>
      </c>
      <c r="O62" s="45">
        <f t="shared" si="30"/>
        <v>0</v>
      </c>
      <c r="P62" s="45">
        <f t="shared" si="30"/>
        <v>0</v>
      </c>
      <c r="Q62" s="470">
        <f t="shared" si="30"/>
        <v>0</v>
      </c>
      <c r="R62" s="627"/>
      <c r="S62" s="45"/>
      <c r="T62" s="45"/>
      <c r="U62" s="470"/>
      <c r="V62" s="43"/>
    </row>
    <row r="63" spans="1:23" x14ac:dyDescent="0.2">
      <c r="A63" s="750">
        <v>48</v>
      </c>
      <c r="B63" s="43"/>
      <c r="C63" s="43" t="s">
        <v>102</v>
      </c>
      <c r="D63" s="43"/>
      <c r="E63" s="43"/>
      <c r="F63" s="484">
        <f>SUM(G63:I63)</f>
        <v>0</v>
      </c>
      <c r="G63" s="497">
        <f>IF(G45&lt;0,-G45,0)</f>
        <v>0</v>
      </c>
      <c r="H63" s="43">
        <f>SUM(J63:M63)</f>
        <v>0</v>
      </c>
      <c r="I63" s="470">
        <f t="shared" si="28"/>
        <v>0</v>
      </c>
      <c r="J63" s="45">
        <f t="shared" ref="J63:Q63" si="31">IF(J45&lt;0,-J45,0)</f>
        <v>0</v>
      </c>
      <c r="K63" s="45">
        <f t="shared" si="31"/>
        <v>0</v>
      </c>
      <c r="L63" s="45">
        <f t="shared" si="31"/>
        <v>0</v>
      </c>
      <c r="M63" s="45">
        <f t="shared" si="31"/>
        <v>0</v>
      </c>
      <c r="N63" s="627">
        <f t="shared" si="31"/>
        <v>0</v>
      </c>
      <c r="O63" s="45">
        <f t="shared" si="31"/>
        <v>0</v>
      </c>
      <c r="P63" s="45">
        <f t="shared" si="31"/>
        <v>0</v>
      </c>
      <c r="Q63" s="470">
        <f t="shared" si="31"/>
        <v>0</v>
      </c>
      <c r="R63" s="627"/>
      <c r="S63" s="45"/>
      <c r="T63" s="45"/>
      <c r="U63" s="470"/>
      <c r="V63" s="43"/>
    </row>
    <row r="64" spans="1:23" x14ac:dyDescent="0.2">
      <c r="A64" s="749">
        <v>49</v>
      </c>
      <c r="B64" s="43"/>
      <c r="C64" s="217" t="s">
        <v>379</v>
      </c>
      <c r="D64" s="43"/>
      <c r="E64" s="43"/>
      <c r="F64" s="484">
        <f>I64</f>
        <v>6026544.8081077551</v>
      </c>
      <c r="G64" s="497">
        <f>G59+G61+G62+G63</f>
        <v>361226.61019195057</v>
      </c>
      <c r="H64" s="43">
        <f>'4-5 St3a Development period'!M64</f>
        <v>5479645.5905147837</v>
      </c>
      <c r="I64" s="470">
        <f>Q64</f>
        <v>6026544.8081077551</v>
      </c>
      <c r="J64" s="45">
        <f t="shared" ref="J64:Q64" si="32">J59+J61+J62+J63</f>
        <v>2038850.0282875285</v>
      </c>
      <c r="K64" s="45">
        <f t="shared" si="32"/>
        <v>3369137.4727947125</v>
      </c>
      <c r="L64" s="45">
        <f t="shared" si="32"/>
        <v>4745003.5406371122</v>
      </c>
      <c r="M64" s="45">
        <f t="shared" si="32"/>
        <v>5479645.5905147837</v>
      </c>
      <c r="N64" s="627">
        <f t="shared" si="32"/>
        <v>5633156.7413992388</v>
      </c>
      <c r="O64" s="45">
        <f t="shared" si="32"/>
        <v>5820730.1926318565</v>
      </c>
      <c r="P64" s="45">
        <f t="shared" si="32"/>
        <v>5935853.1097626332</v>
      </c>
      <c r="Q64" s="470">
        <f t="shared" si="32"/>
        <v>6026544.8081077551</v>
      </c>
      <c r="R64" s="627"/>
      <c r="S64" s="45"/>
      <c r="T64" s="45"/>
      <c r="U64" s="470"/>
      <c r="V64" s="43"/>
    </row>
    <row r="65" spans="1:23" x14ac:dyDescent="0.2">
      <c r="A65" s="750">
        <v>50</v>
      </c>
      <c r="B65" s="43"/>
      <c r="C65" s="217" t="s">
        <v>188</v>
      </c>
      <c r="D65" s="43"/>
      <c r="E65" s="43"/>
      <c r="F65" s="484">
        <f>SUM(G65:I65)</f>
        <v>0</v>
      </c>
      <c r="G65" s="497">
        <f>-IF(G64&gt;$E$53,G64-$E$53,0)</f>
        <v>0</v>
      </c>
      <c r="H65" s="43">
        <f>SUM(J65:M65)</f>
        <v>0</v>
      </c>
      <c r="I65" s="470">
        <f>SUM(N65:Q65)</f>
        <v>0</v>
      </c>
      <c r="J65" s="45">
        <f>-IF(J64&gt;$E$53,J64-$E$53,0)</f>
        <v>0</v>
      </c>
      <c r="K65" s="45">
        <f t="shared" ref="K65:Q65" si="33">-IF(K64&gt;$E$53,K64-$E$53,0)</f>
        <v>0</v>
      </c>
      <c r="L65" s="45">
        <f t="shared" si="33"/>
        <v>0</v>
      </c>
      <c r="M65" s="45">
        <f t="shared" si="33"/>
        <v>0</v>
      </c>
      <c r="N65" s="627">
        <f t="shared" si="33"/>
        <v>0</v>
      </c>
      <c r="O65" s="45">
        <f t="shared" si="33"/>
        <v>0</v>
      </c>
      <c r="P65" s="45">
        <f t="shared" si="33"/>
        <v>0</v>
      </c>
      <c r="Q65" s="470">
        <f t="shared" si="33"/>
        <v>0</v>
      </c>
      <c r="R65" s="627"/>
      <c r="S65" s="45"/>
      <c r="T65" s="45"/>
      <c r="U65" s="470"/>
      <c r="V65" s="43"/>
    </row>
    <row r="66" spans="1:23" ht="15.75" x14ac:dyDescent="0.2">
      <c r="A66" s="749">
        <v>51</v>
      </c>
      <c r="B66" s="43"/>
      <c r="C66" s="217" t="s">
        <v>380</v>
      </c>
      <c r="D66" s="43"/>
      <c r="E66" s="43"/>
      <c r="F66" s="484">
        <f>SUM(G66:I66)</f>
        <v>6093109.4267883766</v>
      </c>
      <c r="G66" s="497">
        <f>SUM(G64:G65,G63)-G59-G62</f>
        <v>361226.61019195057</v>
      </c>
      <c r="H66" s="43">
        <f>SUM(J66:M66)</f>
        <v>5554820.0757707953</v>
      </c>
      <c r="I66" s="470">
        <f>SUM(N66:Q66)</f>
        <v>177062.74082563072</v>
      </c>
      <c r="J66" s="45">
        <f>SUM(J64:J65,J63)-J59-J62</f>
        <v>1672205.0189426988</v>
      </c>
      <c r="K66" s="45">
        <f t="shared" ref="K66:Q66" si="34">SUM(K64:K65,K63)-K59-K62</f>
        <v>1294205.0189426986</v>
      </c>
      <c r="L66" s="45">
        <f t="shared" si="34"/>
        <v>1294205.0189426988</v>
      </c>
      <c r="M66" s="45">
        <f t="shared" si="34"/>
        <v>1294205.0189426988</v>
      </c>
      <c r="N66" s="627">
        <f t="shared" si="34"/>
        <v>44265.685206407681</v>
      </c>
      <c r="O66" s="45">
        <f t="shared" si="34"/>
        <v>44265.685206407681</v>
      </c>
      <c r="P66" s="45">
        <f t="shared" si="34"/>
        <v>44265.685206407681</v>
      </c>
      <c r="Q66" s="470">
        <f t="shared" si="34"/>
        <v>44265.685206407681</v>
      </c>
      <c r="R66" s="627"/>
      <c r="S66" s="45"/>
      <c r="T66" s="45"/>
      <c r="U66" s="470"/>
      <c r="V66" s="43"/>
    </row>
    <row r="67" spans="1:23" x14ac:dyDescent="0.2">
      <c r="A67" s="750">
        <v>52</v>
      </c>
      <c r="B67" s="217" t="s">
        <v>381</v>
      </c>
      <c r="C67" s="43"/>
      <c r="D67" s="43"/>
      <c r="E67" s="43"/>
      <c r="F67" s="484"/>
      <c r="G67" s="497">
        <f>G64+G65</f>
        <v>361226.61019195057</v>
      </c>
      <c r="H67" s="43">
        <f>M67</f>
        <v>5479645.5905147837</v>
      </c>
      <c r="I67" s="470">
        <f>Q67</f>
        <v>6026544.8081077551</v>
      </c>
      <c r="J67" s="45">
        <f>J64+J65</f>
        <v>2038850.0282875285</v>
      </c>
      <c r="K67" s="45">
        <f t="shared" ref="K67:Q67" si="35">K64+K65</f>
        <v>3369137.4727947125</v>
      </c>
      <c r="L67" s="45">
        <f t="shared" si="35"/>
        <v>4745003.5406371122</v>
      </c>
      <c r="M67" s="45">
        <f t="shared" si="35"/>
        <v>5479645.5905147837</v>
      </c>
      <c r="N67" s="627">
        <f t="shared" si="35"/>
        <v>5633156.7413992388</v>
      </c>
      <c r="O67" s="45">
        <f t="shared" si="35"/>
        <v>5820730.1926318565</v>
      </c>
      <c r="P67" s="45">
        <f t="shared" si="35"/>
        <v>5935853.1097626332</v>
      </c>
      <c r="Q67" s="470">
        <f t="shared" si="35"/>
        <v>6026544.8081077551</v>
      </c>
      <c r="R67" s="627"/>
      <c r="S67" s="45"/>
      <c r="T67" s="45"/>
      <c r="U67" s="470"/>
      <c r="V67" s="43"/>
    </row>
    <row r="68" spans="1:23" x14ac:dyDescent="0.2">
      <c r="A68" s="749">
        <v>53</v>
      </c>
      <c r="B68" s="217" t="s">
        <v>270</v>
      </c>
      <c r="C68" s="43"/>
      <c r="D68" s="43"/>
      <c r="E68" s="43"/>
      <c r="F68" s="484"/>
      <c r="G68" s="497">
        <f>(G59+G67)/2</f>
        <v>180613.30509597529</v>
      </c>
      <c r="H68" s="43">
        <f>(H59+H67)/2</f>
        <v>2923145.299929807</v>
      </c>
      <c r="I68" s="470">
        <f>(I59+I67)/2</f>
        <v>5807717.9321502931</v>
      </c>
      <c r="J68" s="45">
        <f t="shared" ref="J68:Q68" si="36">(J59+J67)/2</f>
        <v>1202747.5188161791</v>
      </c>
      <c r="K68" s="45">
        <f t="shared" si="36"/>
        <v>2722034.9633233631</v>
      </c>
      <c r="L68" s="45">
        <f t="shared" si="36"/>
        <v>4097901.0311657628</v>
      </c>
      <c r="M68" s="45">
        <f t="shared" si="36"/>
        <v>5173793.0810434343</v>
      </c>
      <c r="N68" s="627">
        <f t="shared" si="36"/>
        <v>5611023.898796035</v>
      </c>
      <c r="O68" s="45">
        <f t="shared" si="36"/>
        <v>5798597.3500286527</v>
      </c>
      <c r="P68" s="45">
        <f t="shared" si="36"/>
        <v>5913720.2671594294</v>
      </c>
      <c r="Q68" s="470">
        <f t="shared" si="36"/>
        <v>6004411.9655045513</v>
      </c>
      <c r="R68" s="627"/>
      <c r="S68" s="45"/>
      <c r="T68" s="45"/>
      <c r="U68" s="470"/>
      <c r="V68" s="43"/>
    </row>
    <row r="69" spans="1:23" x14ac:dyDescent="0.2">
      <c r="A69" s="750">
        <v>54</v>
      </c>
      <c r="C69" s="426" t="s">
        <v>382</v>
      </c>
      <c r="E69" s="405">
        <f>constr_rate</f>
        <v>0.12</v>
      </c>
      <c r="F69" s="484">
        <f>SUM(G69:I69)</f>
        <v>1101145.3014280014</v>
      </c>
      <c r="G69" s="497">
        <f>G68*$E$69/4</f>
        <v>5418.3991528792585</v>
      </c>
      <c r="H69" s="43">
        <f>SUM(J69:M69)</f>
        <v>395894.29783046222</v>
      </c>
      <c r="I69" s="470">
        <f t="shared" si="28"/>
        <v>699832.60444466001</v>
      </c>
      <c r="J69" s="45">
        <f t="shared" ref="J69:Q69" si="37">J68*$E$69/4</f>
        <v>36082.425564485369</v>
      </c>
      <c r="K69" s="45">
        <f t="shared" si="37"/>
        <v>81661.048899700894</v>
      </c>
      <c r="L69" s="45">
        <f t="shared" si="37"/>
        <v>122937.03093497288</v>
      </c>
      <c r="M69" s="45">
        <f t="shared" si="37"/>
        <v>155213.79243130304</v>
      </c>
      <c r="N69" s="627">
        <f t="shared" si="37"/>
        <v>168330.71696388104</v>
      </c>
      <c r="O69" s="45">
        <f t="shared" si="37"/>
        <v>173957.92050085956</v>
      </c>
      <c r="P69" s="45">
        <f t="shared" si="37"/>
        <v>177411.60801478286</v>
      </c>
      <c r="Q69" s="470">
        <f t="shared" si="37"/>
        <v>180132.35896513652</v>
      </c>
      <c r="R69" s="627"/>
      <c r="S69" s="45"/>
      <c r="T69" s="45"/>
      <c r="U69" s="470"/>
      <c r="V69" s="43"/>
    </row>
    <row r="70" spans="1:23" x14ac:dyDescent="0.2">
      <c r="A70" s="749">
        <v>55</v>
      </c>
      <c r="B70" s="43"/>
      <c r="C70" s="43" t="s">
        <v>383</v>
      </c>
      <c r="D70" s="43"/>
      <c r="E70" s="43"/>
      <c r="F70" s="484">
        <f>SUM(G70:I70)</f>
        <v>401312.69698334148</v>
      </c>
      <c r="G70" s="497">
        <f>G69</f>
        <v>5418.3991528792585</v>
      </c>
      <c r="H70" s="43">
        <f>SUM(J70:M70)</f>
        <v>395894.29783046222</v>
      </c>
      <c r="I70" s="470">
        <f t="shared" si="28"/>
        <v>0</v>
      </c>
      <c r="J70" s="45">
        <f>J69</f>
        <v>36082.425564485369</v>
      </c>
      <c r="K70" s="45">
        <f>K69</f>
        <v>81661.048899700894</v>
      </c>
      <c r="L70" s="45">
        <f>L69</f>
        <v>122937.03093497288</v>
      </c>
      <c r="M70" s="45">
        <f>M69</f>
        <v>155213.79243130304</v>
      </c>
      <c r="N70" s="627">
        <v>0</v>
      </c>
      <c r="O70" s="45">
        <v>0</v>
      </c>
      <c r="P70" s="45">
        <v>0</v>
      </c>
      <c r="Q70" s="470">
        <v>0</v>
      </c>
      <c r="R70" s="627"/>
      <c r="S70" s="45"/>
      <c r="T70" s="45"/>
      <c r="U70" s="470"/>
      <c r="V70" s="43"/>
    </row>
    <row r="71" spans="1:23" x14ac:dyDescent="0.2">
      <c r="A71" s="750">
        <v>56</v>
      </c>
      <c r="B71" s="43"/>
      <c r="C71" s="217" t="s">
        <v>384</v>
      </c>
      <c r="D71" s="43"/>
      <c r="E71" s="43"/>
      <c r="F71" s="484">
        <f>SUM(G71:I71)</f>
        <v>699832.60444466001</v>
      </c>
      <c r="G71" s="497">
        <f>G69-G70</f>
        <v>0</v>
      </c>
      <c r="H71" s="43">
        <f>SUM(J71:M71)</f>
        <v>0</v>
      </c>
      <c r="I71" s="470">
        <f t="shared" si="28"/>
        <v>699832.60444466001</v>
      </c>
      <c r="J71" s="45">
        <f>J69-J70</f>
        <v>0</v>
      </c>
      <c r="K71" s="45">
        <f t="shared" ref="K71:Q71" si="38">K69-K70</f>
        <v>0</v>
      </c>
      <c r="L71" s="45">
        <f t="shared" si="38"/>
        <v>0</v>
      </c>
      <c r="M71" s="45">
        <f t="shared" si="38"/>
        <v>0</v>
      </c>
      <c r="N71" s="627">
        <f t="shared" si="38"/>
        <v>168330.71696388104</v>
      </c>
      <c r="O71" s="45">
        <f t="shared" si="38"/>
        <v>173957.92050085956</v>
      </c>
      <c r="P71" s="45">
        <f t="shared" si="38"/>
        <v>177411.60801478286</v>
      </c>
      <c r="Q71" s="470">
        <f t="shared" si="38"/>
        <v>180132.35896513652</v>
      </c>
      <c r="R71" s="627"/>
      <c r="S71" s="45"/>
      <c r="T71" s="45"/>
      <c r="U71" s="470"/>
      <c r="V71" s="43"/>
    </row>
    <row r="72" spans="1:23" x14ac:dyDescent="0.2">
      <c r="A72" s="749">
        <v>57</v>
      </c>
      <c r="B72" s="45"/>
      <c r="C72" s="45" t="s">
        <v>104</v>
      </c>
      <c r="D72" s="45"/>
      <c r="E72" s="45"/>
      <c r="F72" s="484">
        <f>SUM(G72:I72)</f>
        <v>-390094.82926629926</v>
      </c>
      <c r="G72" s="497">
        <f>-MAX(0,MIN(G45,G69-G70))</f>
        <v>0</v>
      </c>
      <c r="H72" s="45">
        <f>SUM(J72:M72)</f>
        <v>0</v>
      </c>
      <c r="I72" s="470">
        <f t="shared" si="28"/>
        <v>-390094.82926629926</v>
      </c>
      <c r="J72" s="45">
        <f t="shared" ref="J72:Q72" si="39">-MAX(0,MIN(J45+J29+J62,J71))</f>
        <v>0</v>
      </c>
      <c r="K72" s="45">
        <f t="shared" si="39"/>
        <v>0</v>
      </c>
      <c r="L72" s="45">
        <f t="shared" si="39"/>
        <v>0</v>
      </c>
      <c r="M72" s="45">
        <f t="shared" si="39"/>
        <v>0</v>
      </c>
      <c r="N72" s="627">
        <f t="shared" si="39"/>
        <v>-25022.950937670743</v>
      </c>
      <c r="O72" s="45">
        <f t="shared" si="39"/>
        <v>-103100.68857649052</v>
      </c>
      <c r="P72" s="45">
        <f t="shared" si="39"/>
        <v>-130985.59487606901</v>
      </c>
      <c r="Q72" s="470">
        <f t="shared" si="39"/>
        <v>-130985.59487606901</v>
      </c>
      <c r="R72" s="627"/>
      <c r="S72" s="45"/>
      <c r="T72" s="45"/>
      <c r="U72" s="470"/>
      <c r="V72" s="45"/>
    </row>
    <row r="73" spans="1:23" ht="15.75" x14ac:dyDescent="0.2">
      <c r="A73" s="750">
        <v>58</v>
      </c>
      <c r="B73" s="45"/>
      <c r="C73" s="408" t="s">
        <v>385</v>
      </c>
      <c r="D73" s="45"/>
      <c r="E73" s="45"/>
      <c r="F73" s="484">
        <f>SUM(G73:I73)</f>
        <v>-45968.326753255846</v>
      </c>
      <c r="G73" s="497">
        <v>0</v>
      </c>
      <c r="H73" s="45">
        <f>SUM(J73:M73)</f>
        <v>-45968.326753255846</v>
      </c>
      <c r="I73" s="470">
        <f>SUM(N73:Q73)</f>
        <v>0</v>
      </c>
      <c r="J73" s="45">
        <v>0</v>
      </c>
      <c r="K73" s="45">
        <v>0</v>
      </c>
      <c r="L73" s="45">
        <v>0</v>
      </c>
      <c r="M73" s="45">
        <f>'4-4b - St2b Condo Add'!B26</f>
        <v>-45968.326753255846</v>
      </c>
      <c r="N73" s="627">
        <v>0</v>
      </c>
      <c r="O73" s="45">
        <v>0</v>
      </c>
      <c r="P73" s="45">
        <v>0</v>
      </c>
      <c r="Q73" s="470">
        <v>0</v>
      </c>
      <c r="R73" s="627"/>
      <c r="S73" s="45"/>
      <c r="T73" s="45"/>
      <c r="U73" s="470"/>
      <c r="V73" s="45"/>
    </row>
    <row r="74" spans="1:23" x14ac:dyDescent="0.2">
      <c r="A74" s="749">
        <v>59</v>
      </c>
      <c r="B74" s="45"/>
      <c r="C74" s="408" t="s">
        <v>187</v>
      </c>
      <c r="D74" s="45"/>
      <c r="E74" s="45"/>
      <c r="F74" s="484">
        <f>I74</f>
        <v>6075691.5721968226</v>
      </c>
      <c r="G74" s="497">
        <f>G67+G70+G71+G72</f>
        <v>366645.00934482983</v>
      </c>
      <c r="H74" s="45">
        <f>'4-5 St3a Development period'!M74</f>
        <v>5588891.0561928311</v>
      </c>
      <c r="I74" s="470">
        <f>Q74</f>
        <v>6075691.5721968226</v>
      </c>
      <c r="J74" s="45">
        <f t="shared" ref="J74:Q74" si="40">J67+J70+J71+J72+J73</f>
        <v>2074932.4538520139</v>
      </c>
      <c r="K74" s="45">
        <f t="shared" si="40"/>
        <v>3450798.5216944134</v>
      </c>
      <c r="L74" s="45">
        <f t="shared" si="40"/>
        <v>4867940.5715720849</v>
      </c>
      <c r="M74" s="45">
        <f t="shared" si="40"/>
        <v>5588891.0561928311</v>
      </c>
      <c r="N74" s="627">
        <f t="shared" si="40"/>
        <v>5776464.5074254489</v>
      </c>
      <c r="O74" s="45">
        <f t="shared" si="40"/>
        <v>5891587.4245562255</v>
      </c>
      <c r="P74" s="45">
        <f t="shared" si="40"/>
        <v>5982279.1229013475</v>
      </c>
      <c r="Q74" s="470">
        <f t="shared" si="40"/>
        <v>6075691.5721968226</v>
      </c>
      <c r="R74" s="627"/>
      <c r="S74" s="45"/>
      <c r="T74" s="45"/>
      <c r="U74" s="470"/>
      <c r="V74" s="45"/>
      <c r="W74" s="57"/>
    </row>
    <row r="75" spans="1:23" x14ac:dyDescent="0.2">
      <c r="A75" s="750">
        <v>60</v>
      </c>
      <c r="B75" s="45"/>
      <c r="C75" s="408" t="s">
        <v>188</v>
      </c>
      <c r="D75" s="45"/>
      <c r="E75" s="45"/>
      <c r="F75" s="484">
        <f>SUM(G75:I75)</f>
        <v>0</v>
      </c>
      <c r="G75" s="497">
        <f>-IF(G74&gt;$E$53,G74-$E$53,0)</f>
        <v>0</v>
      </c>
      <c r="H75" s="45">
        <f>SUM(J75:M75)</f>
        <v>0</v>
      </c>
      <c r="I75" s="470">
        <f>SUM(N75:Q75)</f>
        <v>0</v>
      </c>
      <c r="J75" s="45">
        <f>-IF(J74&gt;$E$53,J74-$E$53,0)</f>
        <v>0</v>
      </c>
      <c r="K75" s="45">
        <f t="shared" ref="K75:Q75" si="41">-IF(K74&gt;$E$53,K74-$E$53,0)</f>
        <v>0</v>
      </c>
      <c r="L75" s="45">
        <f t="shared" si="41"/>
        <v>0</v>
      </c>
      <c r="M75" s="45">
        <f t="shared" si="41"/>
        <v>0</v>
      </c>
      <c r="N75" s="627">
        <f t="shared" si="41"/>
        <v>0</v>
      </c>
      <c r="O75" s="45">
        <f t="shared" si="41"/>
        <v>0</v>
      </c>
      <c r="P75" s="45">
        <f t="shared" si="41"/>
        <v>0</v>
      </c>
      <c r="Q75" s="470">
        <f t="shared" si="41"/>
        <v>0</v>
      </c>
      <c r="R75" s="627"/>
      <c r="S75" s="45"/>
      <c r="T75" s="45"/>
      <c r="U75" s="470"/>
      <c r="V75" s="45"/>
    </row>
    <row r="76" spans="1:23" ht="15.75" x14ac:dyDescent="0.2">
      <c r="A76" s="749">
        <v>61</v>
      </c>
      <c r="B76" s="45"/>
      <c r="C76" s="408" t="s">
        <v>386</v>
      </c>
      <c r="D76" s="45"/>
      <c r="E76" s="45"/>
      <c r="F76" s="484">
        <f>SUM(G76:I76)</f>
        <v>665082.1454084462</v>
      </c>
      <c r="G76" s="498">
        <f>SUM(G70:G72,G75)</f>
        <v>5418.3991528792585</v>
      </c>
      <c r="H76" s="45">
        <f>SUM(J76:M76)</f>
        <v>349925.97107720631</v>
      </c>
      <c r="I76" s="470">
        <f>SUM(N76:Q76)</f>
        <v>309737.77517836069</v>
      </c>
      <c r="J76" s="45">
        <f>SUM(J70:J73,J75)</f>
        <v>36082.425564485369</v>
      </c>
      <c r="K76" s="45">
        <f>SUM(K70:K73,K75)</f>
        <v>81661.048899700894</v>
      </c>
      <c r="L76" s="45">
        <f t="shared" ref="L76:Q76" si="42">SUM(L70:L73,L75)</f>
        <v>122937.03093497288</v>
      </c>
      <c r="M76" s="50">
        <f t="shared" si="42"/>
        <v>109245.46567804719</v>
      </c>
      <c r="N76" s="627">
        <f t="shared" si="42"/>
        <v>143307.7660262103</v>
      </c>
      <c r="O76" s="45">
        <f t="shared" si="42"/>
        <v>70857.231924369044</v>
      </c>
      <c r="P76" s="45">
        <f t="shared" si="42"/>
        <v>46426.013138713854</v>
      </c>
      <c r="Q76" s="470">
        <f t="shared" si="42"/>
        <v>49146.76408906751</v>
      </c>
      <c r="R76" s="627"/>
      <c r="S76" s="45"/>
      <c r="T76" s="45"/>
      <c r="U76" s="470"/>
      <c r="V76" s="45"/>
    </row>
    <row r="77" spans="1:23" x14ac:dyDescent="0.2">
      <c r="A77" s="750">
        <v>62</v>
      </c>
      <c r="B77" s="442" t="s">
        <v>105</v>
      </c>
      <c r="C77" s="442"/>
      <c r="D77" s="442"/>
      <c r="E77" s="443"/>
      <c r="F77" s="533">
        <f>Q77</f>
        <v>6075691.5721968226</v>
      </c>
      <c r="G77" s="530">
        <f>G74-G75</f>
        <v>366645.00934482983</v>
      </c>
      <c r="H77" s="442">
        <f>M77</f>
        <v>5588891.0561928311</v>
      </c>
      <c r="I77" s="529">
        <f>Q77</f>
        <v>6075691.5721968226</v>
      </c>
      <c r="J77" s="444">
        <f t="shared" ref="J77:Q77" si="43">J74+J75</f>
        <v>2074932.4538520139</v>
      </c>
      <c r="K77" s="444">
        <f t="shared" si="43"/>
        <v>3450798.5216944134</v>
      </c>
      <c r="L77" s="444">
        <f t="shared" si="43"/>
        <v>4867940.5715720849</v>
      </c>
      <c r="M77" s="444">
        <f t="shared" si="43"/>
        <v>5588891.0561928311</v>
      </c>
      <c r="N77" s="630">
        <f t="shared" si="43"/>
        <v>5776464.5074254489</v>
      </c>
      <c r="O77" s="444">
        <f t="shared" si="43"/>
        <v>5891587.4245562255</v>
      </c>
      <c r="P77" s="444">
        <f t="shared" si="43"/>
        <v>5982279.1229013475</v>
      </c>
      <c r="Q77" s="631">
        <f t="shared" si="43"/>
        <v>6075691.5721968226</v>
      </c>
      <c r="R77" s="630"/>
      <c r="S77" s="444"/>
      <c r="T77" s="444"/>
      <c r="U77" s="631"/>
      <c r="V77" s="442"/>
    </row>
    <row r="78" spans="1:23" s="57" customFormat="1" x14ac:dyDescent="0.2">
      <c r="B78" s="45"/>
      <c r="C78" s="45"/>
      <c r="D78" s="45"/>
      <c r="E78" s="45"/>
      <c r="F78" s="45"/>
      <c r="G78" s="61"/>
      <c r="H78" s="45"/>
      <c r="I78" s="45"/>
      <c r="J78" s="61"/>
      <c r="K78" s="61"/>
      <c r="L78" s="61"/>
      <c r="M78" s="61"/>
      <c r="N78" s="61"/>
      <c r="O78" s="61"/>
      <c r="P78" s="61"/>
      <c r="Q78" s="61"/>
      <c r="R78" s="61"/>
      <c r="S78" s="61"/>
      <c r="T78" s="61"/>
      <c r="U78" s="61"/>
      <c r="V78" s="45"/>
    </row>
    <row r="79" spans="1:23" s="57" customFormat="1" x14ac:dyDescent="0.2">
      <c r="A79" s="749">
        <v>63</v>
      </c>
      <c r="B79" s="527" t="s">
        <v>189</v>
      </c>
      <c r="C79" s="527"/>
      <c r="D79" s="527"/>
      <c r="E79" s="528"/>
      <c r="F79" s="529">
        <f>SUM(G79:I79)</f>
        <v>0</v>
      </c>
      <c r="G79" s="530">
        <f>G65+G75</f>
        <v>0</v>
      </c>
      <c r="H79" s="442">
        <f>SUM(J79:M79)</f>
        <v>0</v>
      </c>
      <c r="I79" s="529">
        <f>SUM(N79:Q79)</f>
        <v>0</v>
      </c>
      <c r="J79" s="444">
        <f t="shared" ref="J79:Q79" si="44">J65+J75</f>
        <v>0</v>
      </c>
      <c r="K79" s="444">
        <f t="shared" si="44"/>
        <v>0</v>
      </c>
      <c r="L79" s="444">
        <f t="shared" si="44"/>
        <v>0</v>
      </c>
      <c r="M79" s="444">
        <f t="shared" si="44"/>
        <v>0</v>
      </c>
      <c r="N79" s="630">
        <f t="shared" si="44"/>
        <v>0</v>
      </c>
      <c r="O79" s="444">
        <f t="shared" si="44"/>
        <v>0</v>
      </c>
      <c r="P79" s="444">
        <f t="shared" si="44"/>
        <v>0</v>
      </c>
      <c r="Q79" s="631">
        <f t="shared" si="44"/>
        <v>0</v>
      </c>
      <c r="R79" s="630"/>
      <c r="S79" s="444"/>
      <c r="T79" s="444"/>
      <c r="U79" s="631"/>
      <c r="V79" s="442"/>
    </row>
    <row r="80" spans="1:23" s="57" customFormat="1" ht="13.5" thickBot="1" x14ac:dyDescent="0.25">
      <c r="F80" s="45"/>
      <c r="G80" s="61"/>
      <c r="H80" s="45"/>
      <c r="I80" s="45"/>
      <c r="J80" s="61"/>
      <c r="K80" s="61"/>
      <c r="L80" s="61"/>
      <c r="M80" s="61"/>
      <c r="N80" s="61"/>
      <c r="O80" s="61"/>
      <c r="P80" s="61"/>
      <c r="Q80" s="61"/>
      <c r="R80" s="61"/>
      <c r="S80" s="61"/>
      <c r="T80" s="61"/>
      <c r="U80" s="61"/>
      <c r="V80" s="45"/>
    </row>
    <row r="81" spans="1:22" s="57" customFormat="1" ht="14.25" thickTop="1" thickBot="1" x14ac:dyDescent="0.25">
      <c r="A81" s="750">
        <v>64</v>
      </c>
      <c r="B81" s="739" t="s">
        <v>387</v>
      </c>
      <c r="C81" s="524"/>
      <c r="D81" s="524"/>
      <c r="E81" s="524"/>
      <c r="F81" s="518">
        <f>SUM(G81:I81)</f>
        <v>246531.67324674415</v>
      </c>
      <c r="G81" s="525">
        <f>G29+G45+G72+G62</f>
        <v>0</v>
      </c>
      <c r="H81" s="517">
        <f>SUM(J81:M81)</f>
        <v>246531.67324674415</v>
      </c>
      <c r="I81" s="526">
        <f>SUM(N81:Q81)</f>
        <v>0</v>
      </c>
      <c r="J81" s="523">
        <f t="shared" ref="J81:Q81" si="45">J29+J45+J72+J62+J73</f>
        <v>0</v>
      </c>
      <c r="K81" s="523">
        <f t="shared" si="45"/>
        <v>0</v>
      </c>
      <c r="L81" s="523">
        <f t="shared" si="45"/>
        <v>0</v>
      </c>
      <c r="M81" s="523">
        <f t="shared" si="45"/>
        <v>246531.67324674415</v>
      </c>
      <c r="N81" s="632">
        <f t="shared" si="45"/>
        <v>0</v>
      </c>
      <c r="O81" s="523">
        <f t="shared" si="45"/>
        <v>0</v>
      </c>
      <c r="P81" s="523">
        <f t="shared" si="45"/>
        <v>0</v>
      </c>
      <c r="Q81" s="633">
        <f t="shared" si="45"/>
        <v>0</v>
      </c>
      <c r="R81" s="632"/>
      <c r="S81" s="523"/>
      <c r="T81" s="523"/>
      <c r="U81" s="633"/>
      <c r="V81" s="517"/>
    </row>
    <row r="82" spans="1:22" x14ac:dyDescent="0.2">
      <c r="A82" s="749"/>
    </row>
    <row r="83" spans="1:22" x14ac:dyDescent="0.2">
      <c r="A83" s="750"/>
      <c r="F83" s="40"/>
      <c r="G83" s="40"/>
      <c r="H83" s="40"/>
      <c r="I83" s="40"/>
      <c r="J83" s="41"/>
      <c r="N83" s="40"/>
      <c r="R83" s="40"/>
    </row>
    <row r="84" spans="1:22" x14ac:dyDescent="0.2">
      <c r="A84" s="749"/>
      <c r="B84" s="150"/>
      <c r="C84" s="151" t="s">
        <v>172</v>
      </c>
      <c r="F84" s="40"/>
    </row>
    <row r="85" spans="1:22" x14ac:dyDescent="0.2">
      <c r="A85" s="749"/>
    </row>
    <row r="86" spans="1:22" x14ac:dyDescent="0.2">
      <c r="A86" s="750"/>
    </row>
    <row r="87" spans="1:22" x14ac:dyDescent="0.2">
      <c r="A87" s="749"/>
    </row>
    <row r="88" spans="1:22" ht="14.25" x14ac:dyDescent="0.2">
      <c r="A88" s="750"/>
      <c r="B88" s="642" t="s">
        <v>388</v>
      </c>
    </row>
    <row r="89" spans="1:22" x14ac:dyDescent="0.2">
      <c r="A89" s="749"/>
    </row>
    <row r="90" spans="1:22" ht="14.25" x14ac:dyDescent="0.2">
      <c r="A90" s="750"/>
      <c r="B90" s="642" t="s">
        <v>433</v>
      </c>
    </row>
    <row r="92" spans="1:22" ht="14.25" x14ac:dyDescent="0.2">
      <c r="B92" s="642" t="s">
        <v>434</v>
      </c>
    </row>
    <row r="94" spans="1:22" ht="14.25" x14ac:dyDescent="0.2">
      <c r="B94" s="642" t="s">
        <v>389</v>
      </c>
    </row>
    <row r="96" spans="1:22" x14ac:dyDescent="0.2">
      <c r="B96" s="804" t="s">
        <v>390</v>
      </c>
      <c r="C96" s="805"/>
      <c r="D96" s="805"/>
      <c r="E96" s="805"/>
      <c r="F96" s="805"/>
      <c r="G96" s="805"/>
      <c r="H96" s="805"/>
      <c r="I96" s="805"/>
      <c r="J96" s="805"/>
      <c r="K96" s="805"/>
      <c r="L96" s="805"/>
      <c r="M96" s="805"/>
      <c r="N96" s="805"/>
      <c r="O96" s="805"/>
      <c r="P96" s="805"/>
    </row>
    <row r="97" spans="2:20" x14ac:dyDescent="0.2">
      <c r="B97" s="805"/>
      <c r="C97" s="805"/>
      <c r="D97" s="805"/>
      <c r="E97" s="805"/>
      <c r="F97" s="805"/>
      <c r="G97" s="805"/>
      <c r="H97" s="805"/>
      <c r="I97" s="805"/>
      <c r="J97" s="805"/>
      <c r="K97" s="805"/>
      <c r="L97" s="805"/>
      <c r="M97" s="805"/>
      <c r="N97" s="805"/>
      <c r="O97" s="805"/>
      <c r="P97" s="805"/>
    </row>
    <row r="99" spans="2:20" ht="14.25" x14ac:dyDescent="0.2">
      <c r="B99" s="642" t="s">
        <v>391</v>
      </c>
    </row>
    <row r="101" spans="2:20" x14ac:dyDescent="0.2">
      <c r="B101" s="804" t="s">
        <v>435</v>
      </c>
      <c r="C101" s="805"/>
      <c r="D101" s="805"/>
      <c r="E101" s="805"/>
      <c r="F101" s="805"/>
      <c r="G101" s="805"/>
      <c r="H101" s="805"/>
      <c r="I101" s="805"/>
      <c r="J101" s="805"/>
      <c r="K101" s="805"/>
      <c r="L101" s="805"/>
      <c r="M101" s="805"/>
      <c r="N101" s="805"/>
      <c r="O101" s="805"/>
      <c r="P101" s="805"/>
    </row>
    <row r="102" spans="2:20" x14ac:dyDescent="0.2">
      <c r="B102" s="805"/>
      <c r="C102" s="805"/>
      <c r="D102" s="805"/>
      <c r="E102" s="805"/>
      <c r="F102" s="805"/>
      <c r="G102" s="805"/>
      <c r="H102" s="805"/>
      <c r="I102" s="805"/>
      <c r="J102" s="805"/>
      <c r="K102" s="805"/>
      <c r="L102" s="805"/>
      <c r="M102" s="805"/>
      <c r="N102" s="805"/>
      <c r="O102" s="805"/>
      <c r="P102" s="805"/>
    </row>
    <row r="103" spans="2:20" x14ac:dyDescent="0.2">
      <c r="B103" s="805"/>
      <c r="C103" s="805"/>
      <c r="D103" s="805"/>
      <c r="E103" s="805"/>
      <c r="F103" s="805"/>
      <c r="G103" s="805"/>
      <c r="H103" s="805"/>
      <c r="I103" s="805"/>
      <c r="J103" s="805"/>
      <c r="K103" s="805"/>
      <c r="L103" s="805"/>
      <c r="M103" s="805"/>
      <c r="N103" s="805"/>
      <c r="O103" s="805"/>
      <c r="P103" s="805"/>
    </row>
    <row r="105" spans="2:20" x14ac:dyDescent="0.2">
      <c r="B105" s="804" t="s">
        <v>436</v>
      </c>
      <c r="C105" s="805"/>
      <c r="D105" s="805"/>
      <c r="E105" s="805"/>
      <c r="F105" s="805"/>
      <c r="G105" s="805"/>
      <c r="H105" s="805"/>
      <c r="I105" s="805"/>
      <c r="J105" s="805"/>
      <c r="K105" s="805"/>
      <c r="L105" s="805"/>
      <c r="M105" s="805"/>
      <c r="N105" s="805"/>
      <c r="O105" s="805"/>
      <c r="P105" s="805"/>
    </row>
    <row r="106" spans="2:20" x14ac:dyDescent="0.2">
      <c r="B106" s="805"/>
      <c r="C106" s="805"/>
      <c r="D106" s="805"/>
      <c r="E106" s="805"/>
      <c r="F106" s="805"/>
      <c r="G106" s="805"/>
      <c r="H106" s="805"/>
      <c r="I106" s="805"/>
      <c r="J106" s="805"/>
      <c r="K106" s="805"/>
      <c r="L106" s="805"/>
      <c r="M106" s="805"/>
      <c r="N106" s="805"/>
      <c r="O106" s="805"/>
      <c r="P106" s="805"/>
    </row>
    <row r="108" spans="2:20" x14ac:dyDescent="0.2">
      <c r="B108" s="804" t="s">
        <v>437</v>
      </c>
      <c r="C108" s="805"/>
      <c r="D108" s="805"/>
      <c r="E108" s="805"/>
      <c r="F108" s="805"/>
      <c r="G108" s="805"/>
      <c r="H108" s="805"/>
      <c r="I108" s="805"/>
      <c r="J108" s="805"/>
      <c r="K108" s="805"/>
      <c r="L108" s="805"/>
      <c r="M108" s="805"/>
      <c r="N108" s="805"/>
      <c r="O108" s="805"/>
      <c r="P108" s="805"/>
    </row>
    <row r="109" spans="2:20" x14ac:dyDescent="0.2">
      <c r="B109" s="805"/>
      <c r="C109" s="805"/>
      <c r="D109" s="805"/>
      <c r="E109" s="805"/>
      <c r="F109" s="805"/>
      <c r="G109" s="805"/>
      <c r="H109" s="805"/>
      <c r="I109" s="805"/>
      <c r="J109" s="805"/>
      <c r="K109" s="805"/>
      <c r="L109" s="805"/>
      <c r="M109" s="805"/>
      <c r="N109" s="805"/>
      <c r="O109" s="805"/>
      <c r="P109" s="805"/>
    </row>
    <row r="111" spans="2:20" x14ac:dyDescent="0.2">
      <c r="B111" s="712"/>
      <c r="J111" s="279"/>
      <c r="K111" s="280"/>
      <c r="L111" s="280"/>
      <c r="M111" s="280"/>
      <c r="N111" s="280"/>
      <c r="O111" s="280"/>
      <c r="P111" s="280"/>
      <c r="R111" s="280"/>
      <c r="S111" s="280"/>
      <c r="T111" s="280"/>
    </row>
    <row r="112" spans="2:20" x14ac:dyDescent="0.2">
      <c r="J112" s="280"/>
      <c r="K112" s="280"/>
      <c r="L112" s="280"/>
      <c r="M112" s="280"/>
      <c r="N112" s="280"/>
      <c r="O112" s="280"/>
      <c r="P112" s="280"/>
      <c r="R112" s="280"/>
      <c r="S112" s="280"/>
      <c r="T112" s="280"/>
    </row>
    <row r="113" spans="10:20" x14ac:dyDescent="0.2">
      <c r="J113" s="280"/>
      <c r="K113" s="280"/>
      <c r="L113" s="280"/>
      <c r="M113" s="280"/>
      <c r="N113" s="280"/>
      <c r="O113" s="280"/>
      <c r="P113" s="280"/>
      <c r="R113" s="280"/>
      <c r="S113" s="280"/>
      <c r="T113" s="280"/>
    </row>
    <row r="114" spans="10:20" x14ac:dyDescent="0.2">
      <c r="J114" s="280"/>
      <c r="K114" s="280"/>
      <c r="L114" s="280"/>
      <c r="M114" s="280"/>
      <c r="N114" s="280"/>
      <c r="O114" s="280"/>
      <c r="P114" s="280"/>
      <c r="R114" s="280"/>
      <c r="S114" s="280"/>
      <c r="T114" s="280"/>
    </row>
    <row r="115" spans="10:20" x14ac:dyDescent="0.2">
      <c r="J115" s="280"/>
      <c r="K115" s="281"/>
      <c r="L115" s="280"/>
      <c r="M115" s="281"/>
      <c r="N115" s="280"/>
      <c r="O115" s="280"/>
      <c r="P115" s="280"/>
      <c r="R115" s="280"/>
      <c r="S115" s="280"/>
      <c r="T115" s="280"/>
    </row>
    <row r="116" spans="10:20" x14ac:dyDescent="0.2">
      <c r="J116" s="280"/>
      <c r="K116" s="281"/>
      <c r="L116" s="280"/>
      <c r="M116" s="280"/>
      <c r="N116" s="280"/>
      <c r="O116" s="280"/>
      <c r="P116" s="280"/>
      <c r="R116" s="280"/>
      <c r="S116" s="280"/>
      <c r="T116" s="280"/>
    </row>
    <row r="117" spans="10:20" x14ac:dyDescent="0.2">
      <c r="J117" s="280"/>
      <c r="K117" s="279"/>
      <c r="L117" s="279"/>
      <c r="M117" s="280"/>
      <c r="N117" s="280"/>
      <c r="O117" s="280"/>
      <c r="P117" s="280"/>
      <c r="R117" s="280"/>
      <c r="S117" s="280"/>
      <c r="T117" s="280"/>
    </row>
    <row r="118" spans="10:20" x14ac:dyDescent="0.2">
      <c r="J118" s="280"/>
      <c r="K118" s="280"/>
      <c r="L118" s="280"/>
      <c r="M118" s="280"/>
      <c r="N118" s="280"/>
      <c r="O118" s="280"/>
      <c r="P118" s="280"/>
      <c r="R118" s="280"/>
      <c r="S118" s="280"/>
      <c r="T118" s="280"/>
    </row>
    <row r="119" spans="10:20" x14ac:dyDescent="0.2">
      <c r="J119" s="280"/>
      <c r="K119" s="280"/>
      <c r="L119" s="280"/>
      <c r="M119" s="280"/>
      <c r="N119" s="280"/>
      <c r="O119" s="280"/>
      <c r="P119" s="280"/>
      <c r="R119" s="280"/>
      <c r="S119" s="280"/>
      <c r="T119" s="280"/>
    </row>
    <row r="120" spans="10:20" x14ac:dyDescent="0.2">
      <c r="J120" s="280"/>
      <c r="K120" s="280"/>
      <c r="L120" s="280"/>
      <c r="M120" s="280"/>
      <c r="N120" s="280"/>
      <c r="O120" s="280"/>
      <c r="P120" s="280"/>
      <c r="R120" s="280"/>
      <c r="S120" s="280"/>
      <c r="T120" s="280"/>
    </row>
    <row r="121" spans="10:20" x14ac:dyDescent="0.2">
      <c r="J121" s="280"/>
      <c r="K121" s="280"/>
      <c r="L121" s="280"/>
      <c r="M121" s="280"/>
      <c r="N121" s="280"/>
      <c r="O121" s="280"/>
      <c r="P121" s="280"/>
      <c r="R121" s="280"/>
      <c r="S121" s="280"/>
      <c r="T121" s="280"/>
    </row>
    <row r="122" spans="10:20" x14ac:dyDescent="0.2">
      <c r="J122" s="280"/>
      <c r="K122" s="280"/>
      <c r="L122" s="280"/>
      <c r="M122" s="280"/>
      <c r="N122" s="280"/>
      <c r="O122" s="280"/>
      <c r="P122" s="280"/>
      <c r="R122" s="280"/>
      <c r="S122" s="280"/>
      <c r="T122" s="280"/>
    </row>
    <row r="123" spans="10:20" x14ac:dyDescent="0.2">
      <c r="J123" s="280"/>
      <c r="K123" s="280"/>
      <c r="L123" s="280"/>
      <c r="M123" s="280"/>
      <c r="N123" s="280"/>
      <c r="O123" s="280"/>
      <c r="P123" s="280"/>
      <c r="R123" s="280"/>
      <c r="S123" s="280"/>
      <c r="T123" s="280"/>
    </row>
    <row r="124" spans="10:20" x14ac:dyDescent="0.2">
      <c r="J124" s="280"/>
      <c r="K124" s="280"/>
      <c r="L124" s="280"/>
      <c r="M124" s="280"/>
      <c r="N124" s="280"/>
      <c r="O124" s="280"/>
      <c r="P124" s="280"/>
      <c r="R124" s="280"/>
      <c r="S124" s="280"/>
      <c r="T124" s="280"/>
    </row>
    <row r="125" spans="10:20" x14ac:dyDescent="0.2">
      <c r="J125" s="280"/>
      <c r="K125" s="280"/>
      <c r="L125" s="280"/>
      <c r="M125" s="280"/>
      <c r="N125" s="280"/>
      <c r="O125" s="280"/>
      <c r="P125" s="280"/>
      <c r="R125" s="280"/>
      <c r="S125" s="280"/>
      <c r="T125" s="280"/>
    </row>
    <row r="126" spans="10:20" s="193" customFormat="1" x14ac:dyDescent="0.2">
      <c r="J126" s="282"/>
      <c r="K126" s="282"/>
      <c r="L126" s="282"/>
      <c r="M126" s="282"/>
      <c r="N126" s="282"/>
      <c r="O126" s="282"/>
      <c r="P126" s="282"/>
      <c r="R126" s="282"/>
      <c r="S126" s="282"/>
      <c r="T126" s="282"/>
    </row>
    <row r="127" spans="10:20" s="193" customFormat="1" x14ac:dyDescent="0.2">
      <c r="J127" s="282"/>
      <c r="K127" s="282"/>
      <c r="L127" s="282"/>
      <c r="M127" s="282"/>
      <c r="N127" s="282"/>
      <c r="O127" s="282"/>
      <c r="P127" s="282"/>
      <c r="R127" s="282"/>
      <c r="S127" s="282"/>
      <c r="T127" s="282"/>
    </row>
    <row r="128" spans="10:20" s="193" customFormat="1" x14ac:dyDescent="0.2">
      <c r="J128" s="282"/>
      <c r="K128" s="282"/>
      <c r="L128" s="282"/>
      <c r="M128" s="282"/>
      <c r="N128" s="282"/>
      <c r="O128" s="282"/>
      <c r="P128" s="282"/>
      <c r="R128" s="282"/>
      <c r="S128" s="282"/>
      <c r="T128" s="282"/>
    </row>
    <row r="129" spans="10:20" s="193" customFormat="1" x14ac:dyDescent="0.2">
      <c r="J129" s="282"/>
      <c r="K129" s="282"/>
      <c r="L129" s="282"/>
      <c r="M129" s="282"/>
      <c r="N129" s="282"/>
      <c r="O129" s="282"/>
      <c r="P129" s="282"/>
      <c r="R129" s="282"/>
      <c r="S129" s="282"/>
      <c r="T129" s="282"/>
    </row>
    <row r="130" spans="10:20" s="193" customFormat="1" x14ac:dyDescent="0.2">
      <c r="J130" s="282"/>
      <c r="K130" s="282"/>
      <c r="L130" s="282"/>
      <c r="M130" s="282"/>
      <c r="N130" s="282"/>
      <c r="O130" s="282"/>
      <c r="P130" s="282"/>
      <c r="R130" s="282"/>
      <c r="S130" s="282"/>
      <c r="T130" s="282"/>
    </row>
    <row r="131" spans="10:20" s="193" customFormat="1" x14ac:dyDescent="0.2">
      <c r="J131" s="282"/>
      <c r="K131" s="282"/>
      <c r="L131" s="282"/>
      <c r="M131" s="282"/>
      <c r="N131" s="282"/>
      <c r="O131" s="282"/>
      <c r="P131" s="282"/>
      <c r="R131" s="282"/>
      <c r="S131" s="282"/>
      <c r="T131" s="282"/>
    </row>
    <row r="132" spans="10:20" s="193" customFormat="1" x14ac:dyDescent="0.2">
      <c r="J132" s="282"/>
      <c r="K132" s="282"/>
      <c r="L132" s="282"/>
      <c r="M132" s="282"/>
      <c r="N132" s="282"/>
      <c r="O132" s="282"/>
      <c r="P132" s="282"/>
      <c r="R132" s="282"/>
      <c r="S132" s="282"/>
      <c r="T132" s="282"/>
    </row>
    <row r="133" spans="10:20" s="193" customFormat="1" x14ac:dyDescent="0.2">
      <c r="J133" s="282"/>
      <c r="K133" s="282"/>
      <c r="L133" s="282"/>
      <c r="M133" s="282"/>
      <c r="N133" s="282"/>
      <c r="O133" s="282"/>
      <c r="P133" s="282"/>
      <c r="R133" s="282"/>
      <c r="S133" s="282"/>
      <c r="T133" s="282"/>
    </row>
    <row r="134" spans="10:20" s="193" customFormat="1" x14ac:dyDescent="0.2"/>
    <row r="135" spans="10:20" s="193" customFormat="1" x14ac:dyDescent="0.2"/>
  </sheetData>
  <mergeCells count="5">
    <mergeCell ref="B20:D20"/>
    <mergeCell ref="B108:P109"/>
    <mergeCell ref="B101:P103"/>
    <mergeCell ref="B96:P97"/>
    <mergeCell ref="B105:P106"/>
  </mergeCells>
  <phoneticPr fontId="0" type="noConversion"/>
  <pageMargins left="0.75" right="0.75" top="1" bottom="1" header="0.5" footer="0.5"/>
  <pageSetup scale="3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List of Tables</vt:lpstr>
      <vt:lpstr>4-3a-Stage 1a Rents &amp; Sales</vt:lpstr>
      <vt:lpstr>4-3b-Stage 1b Pro Forma NOI</vt:lpstr>
      <vt:lpstr>4-3c-Stage 1c Debt Calculation</vt:lpstr>
      <vt:lpstr>4-3d-Stage 1d Development cost</vt:lpstr>
      <vt:lpstr>4-3e-Stage 1e Simple Ratios</vt:lpstr>
      <vt:lpstr>4-4a Stage 2a DCF</vt:lpstr>
      <vt:lpstr>4-4b - St2b Condo Add</vt:lpstr>
      <vt:lpstr>4-5 St3a Development period</vt:lpstr>
      <vt:lpstr>4-6 Stage3b Sources &amp; Uses</vt:lpstr>
      <vt:lpstr>4-7 St3c Combined Dev+Op Period</vt:lpstr>
      <vt:lpstr>4-9 Stage 5 Investors Analysis</vt:lpstr>
      <vt:lpstr>constr_rate</vt:lpstr>
      <vt:lpstr>cost_total</vt:lpstr>
      <vt:lpstr>int_rate</vt:lpstr>
      <vt:lpstr>land_rate</vt:lpstr>
      <vt:lpstr>netcost_total</vt:lpstr>
      <vt:lpstr>'4-3a-Stage 1a Rents &amp; Sales'!Print_Area</vt:lpstr>
      <vt:lpstr>'4-3b-Stage 1b Pro Forma NOI'!Print_Area</vt:lpstr>
      <vt:lpstr>'4-3c-Stage 1c Debt Calculation'!Print_Area</vt:lpstr>
      <vt:lpstr>'4-3d-Stage 1d Development cost'!Print_Area</vt:lpstr>
      <vt:lpstr>'4-3e-Stage 1e Simple Ratios'!Print_Area</vt:lpstr>
      <vt:lpstr>'4-4a Stage 2a DCF'!Print_Area</vt:lpstr>
      <vt:lpstr>'4-4b - St2b Condo Add'!Print_Area</vt:lpstr>
      <vt:lpstr>'4-5 St3a Development period'!Print_Area</vt:lpstr>
      <vt:lpstr>'4-6 Stage3b Sources &amp; Uses'!Print_Area</vt:lpstr>
      <vt:lpstr>'4-7 St3c Combined Dev+Op Period'!Print_Area</vt:lpstr>
      <vt:lpstr>'4-9 Stage 5 Investors Analysis'!Print_Area</vt:lpstr>
      <vt:lpstr>'List of Tables'!Print_Area</vt:lpstr>
      <vt:lpstr>'4-5 St3a Development period'!Print_Titles</vt:lpstr>
      <vt:lpstr>prorate</vt:lpstr>
      <vt:lpstr>units_apt</vt:lpstr>
      <vt:lpstr>units_condo</vt:lpstr>
      <vt:lpstr>units_retail</vt:lpstr>
    </vt:vector>
  </TitlesOfParts>
  <Company>Harvard Graduate School of Design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Resources</dc:creator>
  <cp:lastModifiedBy>Leigh Franke</cp:lastModifiedBy>
  <cp:lastPrinted>2012-05-08T14:59:51Z</cp:lastPrinted>
  <dcterms:created xsi:type="dcterms:W3CDTF">2002-10-13T19:36:52Z</dcterms:created>
  <dcterms:modified xsi:type="dcterms:W3CDTF">2013-02-28T18:55:52Z</dcterms:modified>
</cp:coreProperties>
</file>